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TH!$Q$10:$Q$2214</definedName>
    <definedName name="_C112">TH!$T$10:$T$2214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TH!$A$9:$AB$2093</definedName>
    <definedName name="_xlnm._FilterDatabase" localSheetId="15" hidden="1">TK!$A$1:$J$1</definedName>
    <definedName name="_M">TH!$B$10:$B$2214</definedName>
    <definedName name="_N111">TH!$P$10:$P$2214</definedName>
    <definedName name="_N112">TH!$S$10:$S$2214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TH!$H$10:$H$2214</definedName>
    <definedName name="KHC">TH!$M$10:$M$2214</definedName>
    <definedName name="KHN">TH!$L$10:$L$2214</definedName>
    <definedName name="Loai">OFFSET(TH!$N$5,,,COUNTA(TH!$N$5:$N$40524))</definedName>
    <definedName name="Loai1">OFFSET(TH!$O$5,,,COUNTA(TH!$O$5:$O$40524))</definedName>
    <definedName name="Loai2">OFFSET(TH!$R$5,,,COUNTA(TH!$R$5:$R$40524))</definedName>
    <definedName name="Loai3">OFFSET('SO-TS'!$P$14,,,COUNTA('SO-TS'!$P$14:$P$3889))</definedName>
    <definedName name="Loai4">OFFSET(TH!#REF!,,,COUNTA(TH!#REF!))</definedName>
    <definedName name="Loai5">OFFSET(TH!$U$5,,,COUNTA(TH!$U$5:$U$40524))</definedName>
    <definedName name="Loai6">OFFSET(TH!$Y$5,,,COUNTA(TH!$Y$5:$Y$40524))</definedName>
    <definedName name="Loai7">OFFSET(TH!$V$5,,,COUNTA(TH!$V$5:$V$40524))</definedName>
    <definedName name="Loai8">OFFSET(TH!$W$5,,,COUNTA(TH!$W$5:$W$40524))</definedName>
    <definedName name="Loai9">OFFSET(TH!$X$5,,,COUNTA(TH!$X$5:$X$40524))</definedName>
    <definedName name="MH">TH!$F$10:$F$2214</definedName>
    <definedName name="NXT">NXT!$A$12:$A$704</definedName>
    <definedName name="_xlnm.Print_Area" localSheetId="4">'111'!$A$1:$J$107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9">'331'!$A$1:$H$25</definedName>
    <definedName name="_xlnm.Print_Area" localSheetId="10">'331-CT'!$A$1:$J$116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TH!$I$10:$I$2214</definedName>
    <definedName name="TH">TH!$K$10:$K$2214</definedName>
    <definedName name="TM">TH!$A$10:$M$2214</definedName>
  </definedNames>
  <calcPr calcId="144525"/>
</workbook>
</file>

<file path=xl/calcChain.xml><?xml version="1.0" encoding="utf-8"?>
<calcChain xmlns="http://schemas.openxmlformats.org/spreadsheetml/2006/main">
  <c r="N13" i="34" l="1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W46" i="34"/>
  <c r="X46" i="34"/>
  <c r="N47" i="34"/>
  <c r="R47" i="34"/>
  <c r="S47" i="34"/>
  <c r="T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W122" i="34"/>
  <c r="X122" i="34"/>
  <c r="N123" i="34"/>
  <c r="R123" i="34"/>
  <c r="S123" i="34"/>
  <c r="T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R140" i="34"/>
  <c r="S140" i="34"/>
  <c r="T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R184" i="34"/>
  <c r="S184" i="34"/>
  <c r="T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W187" i="34"/>
  <c r="X187" i="34"/>
  <c r="N188" i="34"/>
  <c r="R188" i="34"/>
  <c r="S188" i="34"/>
  <c r="T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N191" i="34"/>
  <c r="W191" i="34"/>
  <c r="X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R197" i="34"/>
  <c r="S197" i="34"/>
  <c r="T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W203" i="34"/>
  <c r="X203" i="34"/>
  <c r="N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N246" i="34"/>
  <c r="W246" i="34"/>
  <c r="X246" i="34"/>
  <c r="N247" i="34"/>
  <c r="W247" i="34"/>
  <c r="X247" i="34"/>
  <c r="N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W305" i="34"/>
  <c r="X305" i="34"/>
  <c r="N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N328" i="34"/>
  <c r="W328" i="34"/>
  <c r="X328" i="34"/>
  <c r="N329" i="34"/>
  <c r="W329" i="34"/>
  <c r="X329" i="34"/>
  <c r="N330" i="34"/>
  <c r="R330" i="34"/>
  <c r="S330" i="34"/>
  <c r="T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W333" i="34"/>
  <c r="X333" i="34"/>
  <c r="N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W380" i="34"/>
  <c r="X380" i="34"/>
  <c r="N381" i="34"/>
  <c r="W381" i="34"/>
  <c r="X381" i="34"/>
  <c r="N382" i="34"/>
  <c r="R382" i="34"/>
  <c r="S382" i="34"/>
  <c r="T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W391" i="34"/>
  <c r="X391" i="34"/>
  <c r="N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N404" i="34"/>
  <c r="W404" i="34"/>
  <c r="X404" i="34"/>
  <c r="N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R459" i="34"/>
  <c r="S459" i="34"/>
  <c r="T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N469" i="34"/>
  <c r="R469" i="34"/>
  <c r="S469" i="34"/>
  <c r="T469" i="34"/>
  <c r="W469" i="34"/>
  <c r="X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W506" i="34"/>
  <c r="X506" i="34"/>
  <c r="N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W549" i="34"/>
  <c r="X549" i="34"/>
  <c r="N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W572" i="34"/>
  <c r="X572" i="34"/>
  <c r="N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W576" i="34"/>
  <c r="X576" i="34"/>
  <c r="N577" i="34"/>
  <c r="R577" i="34"/>
  <c r="S577" i="34"/>
  <c r="T577" i="34"/>
  <c r="W577" i="34"/>
  <c r="X577" i="34"/>
  <c r="N578" i="34"/>
  <c r="W578" i="34"/>
  <c r="X578" i="34"/>
  <c r="N579" i="34"/>
  <c r="W579" i="34"/>
  <c r="X579" i="34"/>
  <c r="N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W605" i="34"/>
  <c r="X605" i="34"/>
  <c r="N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N643" i="34"/>
  <c r="W643" i="34"/>
  <c r="X643" i="34"/>
  <c r="N644" i="34"/>
  <c r="R644" i="34"/>
  <c r="S644" i="34"/>
  <c r="T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W662" i="34"/>
  <c r="X662" i="34"/>
  <c r="N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W671" i="34"/>
  <c r="X671" i="34"/>
  <c r="N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W696" i="34"/>
  <c r="X696" i="34"/>
  <c r="N697" i="34"/>
  <c r="W697" i="34"/>
  <c r="X697" i="34"/>
  <c r="N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N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W756" i="34"/>
  <c r="X756" i="34"/>
  <c r="N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W763" i="34"/>
  <c r="X763" i="34"/>
  <c r="N764" i="34"/>
  <c r="W764" i="34"/>
  <c r="X764" i="34"/>
  <c r="N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W837" i="34"/>
  <c r="X837" i="34"/>
  <c r="N838" i="34"/>
  <c r="W838" i="34"/>
  <c r="X838" i="34"/>
  <c r="N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W850" i="34"/>
  <c r="X850" i="34"/>
  <c r="N851" i="34"/>
  <c r="R851" i="34"/>
  <c r="S851" i="34"/>
  <c r="T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W874" i="34"/>
  <c r="X874" i="34"/>
  <c r="N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W890" i="34"/>
  <c r="X890" i="34"/>
  <c r="N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W985" i="34"/>
  <c r="X985" i="34"/>
  <c r="N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W1004" i="34"/>
  <c r="X1004" i="34"/>
  <c r="N1005" i="34"/>
  <c r="W1005" i="34"/>
  <c r="X1005" i="34"/>
  <c r="N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W1020" i="34"/>
  <c r="X1020" i="34"/>
  <c r="N1021" i="34"/>
  <c r="W1021" i="34"/>
  <c r="X1021" i="34"/>
  <c r="N1022" i="34"/>
  <c r="R1022" i="34"/>
  <c r="S1022" i="34"/>
  <c r="T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W1050" i="34"/>
  <c r="X1050" i="34"/>
  <c r="N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N1071" i="34"/>
  <c r="W1071" i="34"/>
  <c r="X1071" i="34"/>
  <c r="N1072" i="34"/>
  <c r="R1072" i="34"/>
  <c r="S1072" i="34"/>
  <c r="T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C1054" i="34" l="1"/>
  <c r="B1054" i="34" s="1"/>
  <c r="C1057" i="34"/>
  <c r="B1057" i="34" s="1"/>
  <c r="A1057" i="34" l="1"/>
  <c r="V1057" i="34"/>
  <c r="Y1057" i="34"/>
  <c r="A1054" i="34"/>
  <c r="R1054" i="34"/>
  <c r="S1054" i="34"/>
  <c r="T1054" i="34"/>
  <c r="Y1054" i="34"/>
  <c r="V1054" i="34"/>
  <c r="C577" i="34"/>
  <c r="B577" i="34" s="1"/>
  <c r="Y577" i="34" l="1"/>
  <c r="V577" i="34"/>
  <c r="A577" i="34"/>
  <c r="AA1067" i="34" l="1"/>
  <c r="C1067" i="34"/>
  <c r="B1067" i="34" s="1"/>
  <c r="AA922" i="34"/>
  <c r="C922" i="34"/>
  <c r="B922" i="34" s="1"/>
  <c r="AA630" i="34"/>
  <c r="C630" i="34"/>
  <c r="B630" i="34" s="1"/>
  <c r="AA409" i="34"/>
  <c r="C409" i="34"/>
  <c r="B409" i="34" s="1"/>
  <c r="A630" i="34" l="1"/>
  <c r="V630" i="34"/>
  <c r="Y630" i="34"/>
  <c r="A922" i="34"/>
  <c r="V922" i="34"/>
  <c r="Y922" i="34"/>
  <c r="A409" i="34"/>
  <c r="Y409" i="34"/>
  <c r="V409" i="34"/>
  <c r="A1067" i="34"/>
  <c r="Y1067" i="34"/>
  <c r="V1067" i="34"/>
  <c r="AA272" i="34"/>
  <c r="C272" i="34"/>
  <c r="B272" i="34" s="1"/>
  <c r="AA979" i="34"/>
  <c r="C979" i="34"/>
  <c r="B979" i="34" s="1"/>
  <c r="AA639" i="34"/>
  <c r="C639" i="34"/>
  <c r="B639" i="34" s="1"/>
  <c r="AA1049" i="34"/>
  <c r="C1049" i="34"/>
  <c r="B1049" i="34" s="1"/>
  <c r="AA950" i="34"/>
  <c r="C950" i="34"/>
  <c r="B950" i="34" s="1"/>
  <c r="AA162" i="34"/>
  <c r="C162" i="34"/>
  <c r="B162" i="34" s="1"/>
  <c r="AA966" i="34"/>
  <c r="C966" i="34"/>
  <c r="B966" i="34" s="1"/>
  <c r="AA889" i="34"/>
  <c r="C889" i="34"/>
  <c r="B889" i="34" s="1"/>
  <c r="AA442" i="34"/>
  <c r="C442" i="34"/>
  <c r="B442" i="34" s="1"/>
  <c r="AA338" i="34"/>
  <c r="C338" i="34"/>
  <c r="B338" i="34" s="1"/>
  <c r="AA225" i="34"/>
  <c r="C225" i="34"/>
  <c r="B225" i="34" s="1"/>
  <c r="AA813" i="34"/>
  <c r="C813" i="34"/>
  <c r="B813" i="34" s="1"/>
  <c r="AA600" i="34"/>
  <c r="C600" i="34"/>
  <c r="B600" i="34" s="1"/>
  <c r="A600" i="34" l="1"/>
  <c r="Y600" i="34"/>
  <c r="V600" i="34"/>
  <c r="A225" i="34"/>
  <c r="Y225" i="34"/>
  <c r="V225" i="34"/>
  <c r="A442" i="34"/>
  <c r="Y442" i="34"/>
  <c r="V442" i="34"/>
  <c r="A889" i="34"/>
  <c r="Y889" i="34"/>
  <c r="V889" i="34"/>
  <c r="A162" i="34"/>
  <c r="Y162" i="34"/>
  <c r="V162" i="34"/>
  <c r="A1049" i="34"/>
  <c r="V1049" i="34"/>
  <c r="Y1049" i="34"/>
  <c r="A813" i="34"/>
  <c r="Y813" i="34"/>
  <c r="V813" i="34"/>
  <c r="A338" i="34"/>
  <c r="Y338" i="34"/>
  <c r="V338" i="34"/>
  <c r="A966" i="34"/>
  <c r="Y966" i="34"/>
  <c r="V966" i="34"/>
  <c r="A950" i="34"/>
  <c r="V950" i="34"/>
  <c r="Y950" i="34"/>
  <c r="A639" i="34"/>
  <c r="Y639" i="34"/>
  <c r="V639" i="34"/>
  <c r="A979" i="34"/>
  <c r="V979" i="34"/>
  <c r="Y979" i="34"/>
  <c r="A272" i="34"/>
  <c r="Y272" i="34"/>
  <c r="V272" i="34"/>
  <c r="AA1031" i="34"/>
  <c r="C1031" i="34"/>
  <c r="B1031" i="34" s="1"/>
  <c r="AA963" i="34"/>
  <c r="C963" i="34"/>
  <c r="B963" i="34" s="1"/>
  <c r="AA958" i="34"/>
  <c r="C958" i="34"/>
  <c r="B958" i="34" s="1"/>
  <c r="AA931" i="34"/>
  <c r="C931" i="34"/>
  <c r="B931" i="34" s="1"/>
  <c r="AA868" i="34"/>
  <c r="C868" i="34"/>
  <c r="B868" i="34" s="1"/>
  <c r="AA715" i="34"/>
  <c r="C715" i="34"/>
  <c r="B715" i="34" s="1"/>
  <c r="AA609" i="34"/>
  <c r="C609" i="34"/>
  <c r="B609" i="34" s="1"/>
  <c r="AA522" i="34"/>
  <c r="C522" i="34"/>
  <c r="B522" i="34" s="1"/>
  <c r="C530" i="34"/>
  <c r="B530" i="34" s="1"/>
  <c r="K530" i="34"/>
  <c r="AA461" i="34"/>
  <c r="C461" i="34"/>
  <c r="B461" i="34" s="1"/>
  <c r="A461" i="34" s="1"/>
  <c r="AA288" i="34"/>
  <c r="C288" i="34"/>
  <c r="B288" i="34" s="1"/>
  <c r="AA211" i="34"/>
  <c r="C211" i="34"/>
  <c r="B211" i="34" s="1"/>
  <c r="AA159" i="34"/>
  <c r="C159" i="34"/>
  <c r="B159" i="34" s="1"/>
  <c r="AA62" i="34"/>
  <c r="C62" i="34"/>
  <c r="B62" i="34" s="1"/>
  <c r="AA216" i="34"/>
  <c r="C216" i="34"/>
  <c r="B216" i="34" s="1"/>
  <c r="AA207" i="34"/>
  <c r="C207" i="34"/>
  <c r="B207" i="34" s="1"/>
  <c r="AA755" i="34"/>
  <c r="C755" i="34"/>
  <c r="B755" i="34" s="1"/>
  <c r="AA675" i="34"/>
  <c r="C675" i="34"/>
  <c r="B675" i="34" s="1"/>
  <c r="AA594" i="34"/>
  <c r="C594" i="34"/>
  <c r="B594" i="34" s="1"/>
  <c r="AA475" i="34"/>
  <c r="C475" i="34"/>
  <c r="B475" i="34" s="1"/>
  <c r="AA228" i="34"/>
  <c r="C228" i="34"/>
  <c r="B228" i="34" s="1"/>
  <c r="AA175" i="34"/>
  <c r="C175" i="34"/>
  <c r="B175" i="34" s="1"/>
  <c r="AA742" i="34"/>
  <c r="C742" i="34"/>
  <c r="B742" i="34" s="1"/>
  <c r="AA388" i="34"/>
  <c r="C388" i="34"/>
  <c r="B388" i="34" s="1"/>
  <c r="AA186" i="34"/>
  <c r="C186" i="34"/>
  <c r="B186" i="34" s="1"/>
  <c r="AA129" i="34"/>
  <c r="C129" i="34"/>
  <c r="B129" i="34" s="1"/>
  <c r="AA255" i="34"/>
  <c r="C255" i="34"/>
  <c r="B255" i="34" s="1"/>
  <c r="AA564" i="34"/>
  <c r="C564" i="34"/>
  <c r="B564" i="34" s="1"/>
  <c r="AA873" i="34"/>
  <c r="C873" i="34"/>
  <c r="B873" i="34" s="1"/>
  <c r="AA684" i="34"/>
  <c r="C684" i="34"/>
  <c r="B684" i="34" s="1"/>
  <c r="AA437" i="34"/>
  <c r="C437" i="34"/>
  <c r="B437" i="34" s="1"/>
  <c r="AA806" i="34"/>
  <c r="C806" i="34"/>
  <c r="B806" i="34" s="1"/>
  <c r="AA1062" i="34"/>
  <c r="C1062" i="34"/>
  <c r="B1062" i="34" s="1"/>
  <c r="AA939" i="34"/>
  <c r="C939" i="34"/>
  <c r="B939" i="34" s="1"/>
  <c r="AA810" i="34"/>
  <c r="C810" i="34"/>
  <c r="B810" i="34" s="1"/>
  <c r="AA373" i="34"/>
  <c r="C373" i="34"/>
  <c r="B373" i="34" s="1"/>
  <c r="AA285" i="34"/>
  <c r="C285" i="34"/>
  <c r="B285" i="34" s="1"/>
  <c r="AA264" i="34"/>
  <c r="C264" i="34"/>
  <c r="B264" i="34" s="1"/>
  <c r="AA258" i="34"/>
  <c r="C258" i="34"/>
  <c r="B258" i="34" s="1"/>
  <c r="AA368" i="34"/>
  <c r="C368" i="34"/>
  <c r="B368" i="34" s="1"/>
  <c r="AA364" i="34"/>
  <c r="C364" i="34"/>
  <c r="B364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A368" i="34" l="1"/>
  <c r="Y368" i="34"/>
  <c r="V368" i="34"/>
  <c r="A264" i="34"/>
  <c r="Y264" i="34"/>
  <c r="V264" i="34"/>
  <c r="A373" i="34"/>
  <c r="Y373" i="34"/>
  <c r="V373" i="34"/>
  <c r="A810" i="34"/>
  <c r="Y810" i="34"/>
  <c r="V810" i="34"/>
  <c r="A873" i="34"/>
  <c r="Y873" i="34"/>
  <c r="V873" i="34"/>
  <c r="A564" i="34"/>
  <c r="Y564" i="34"/>
  <c r="V564" i="34"/>
  <c r="A388" i="34"/>
  <c r="Y388" i="34"/>
  <c r="V388" i="34"/>
  <c r="A742" i="34"/>
  <c r="Y742" i="34"/>
  <c r="V742" i="34"/>
  <c r="A175" i="34"/>
  <c r="Y175" i="34"/>
  <c r="V175" i="34"/>
  <c r="A755" i="34"/>
  <c r="Y755" i="34"/>
  <c r="V755" i="34"/>
  <c r="A216" i="34"/>
  <c r="Y216" i="34"/>
  <c r="V216" i="34"/>
  <c r="A288" i="34"/>
  <c r="Y288" i="34"/>
  <c r="V288" i="34"/>
  <c r="Y461" i="34"/>
  <c r="V461" i="34"/>
  <c r="A931" i="34"/>
  <c r="Y931" i="34"/>
  <c r="V931" i="34"/>
  <c r="A963" i="34"/>
  <c r="V963" i="34"/>
  <c r="Y963" i="34"/>
  <c r="A1031" i="34"/>
  <c r="Y1031" i="34"/>
  <c r="V1031" i="34"/>
  <c r="A530" i="34"/>
  <c r="Y530" i="34"/>
  <c r="V530" i="34"/>
  <c r="A364" i="34"/>
  <c r="V364" i="34"/>
  <c r="Y364" i="34"/>
  <c r="A258" i="34"/>
  <c r="Y258" i="34"/>
  <c r="V258" i="34"/>
  <c r="A285" i="34"/>
  <c r="Y285" i="34"/>
  <c r="V285" i="34"/>
  <c r="A939" i="34"/>
  <c r="Y939" i="34"/>
  <c r="V939" i="34"/>
  <c r="A1062" i="34"/>
  <c r="Y1062" i="34"/>
  <c r="V1062" i="34"/>
  <c r="A806" i="34"/>
  <c r="Y806" i="34"/>
  <c r="V806" i="34"/>
  <c r="A437" i="34"/>
  <c r="Y437" i="34"/>
  <c r="V437" i="34"/>
  <c r="A684" i="34"/>
  <c r="V684" i="34"/>
  <c r="Y684" i="34"/>
  <c r="A255" i="34"/>
  <c r="V255" i="34"/>
  <c r="Y255" i="34"/>
  <c r="A129" i="34"/>
  <c r="V129" i="34"/>
  <c r="Y129" i="34"/>
  <c r="A186" i="34"/>
  <c r="Y186" i="34"/>
  <c r="V186" i="34"/>
  <c r="A228" i="34"/>
  <c r="V228" i="34"/>
  <c r="Y228" i="34"/>
  <c r="A475" i="34"/>
  <c r="Y475" i="34"/>
  <c r="V475" i="34"/>
  <c r="A594" i="34"/>
  <c r="V594" i="34"/>
  <c r="Y594" i="34"/>
  <c r="A675" i="34"/>
  <c r="Y675" i="34"/>
  <c r="V675" i="34"/>
  <c r="A207" i="34"/>
  <c r="Y207" i="34"/>
  <c r="V207" i="34"/>
  <c r="A62" i="34"/>
  <c r="Y62" i="34"/>
  <c r="V62" i="34"/>
  <c r="A159" i="34"/>
  <c r="Y159" i="34"/>
  <c r="V159" i="34"/>
  <c r="A211" i="34"/>
  <c r="Y211" i="34"/>
  <c r="V211" i="34"/>
  <c r="A522" i="34"/>
  <c r="Y522" i="34"/>
  <c r="V522" i="34"/>
  <c r="A609" i="34"/>
  <c r="Y609" i="34"/>
  <c r="V609" i="34"/>
  <c r="A715" i="34"/>
  <c r="V715" i="34"/>
  <c r="Y715" i="34"/>
  <c r="A868" i="34"/>
  <c r="V868" i="34"/>
  <c r="Y868" i="34"/>
  <c r="A958" i="34"/>
  <c r="Y958" i="34"/>
  <c r="V958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34" i="34" l="1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1753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083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083" i="34"/>
  <c r="C861" i="34" l="1"/>
  <c r="C862" i="34"/>
  <c r="C863" i="34"/>
  <c r="F863" i="34"/>
  <c r="K863" i="34"/>
  <c r="C972" i="34"/>
  <c r="C973" i="34"/>
  <c r="C974" i="34"/>
  <c r="F974" i="34"/>
  <c r="K974" i="34"/>
  <c r="C1068" i="34"/>
  <c r="C1069" i="34"/>
  <c r="C1070" i="34"/>
  <c r="F1070" i="34"/>
  <c r="K1070" i="34"/>
  <c r="C466" i="34"/>
  <c r="C467" i="34"/>
  <c r="C468" i="34"/>
  <c r="F468" i="34"/>
  <c r="K468" i="34"/>
  <c r="C524" i="34"/>
  <c r="C525" i="34"/>
  <c r="C526" i="34"/>
  <c r="F526" i="34"/>
  <c r="K526" i="34"/>
  <c r="C640" i="34"/>
  <c r="C641" i="34"/>
  <c r="C642" i="34"/>
  <c r="F642" i="34"/>
  <c r="K642" i="34"/>
  <c r="C707" i="34"/>
  <c r="C708" i="34"/>
  <c r="C709" i="34"/>
  <c r="F709" i="34"/>
  <c r="K709" i="34"/>
  <c r="C188" i="34"/>
  <c r="C189" i="34"/>
  <c r="C190" i="34"/>
  <c r="F190" i="34"/>
  <c r="K190" i="34"/>
  <c r="C243" i="34"/>
  <c r="C244" i="34"/>
  <c r="C245" i="34"/>
  <c r="F245" i="34"/>
  <c r="K245" i="34"/>
  <c r="C325" i="34"/>
  <c r="C326" i="34"/>
  <c r="C327" i="34"/>
  <c r="F327" i="34"/>
  <c r="K327" i="34"/>
  <c r="C401" i="34"/>
  <c r="C402" i="34"/>
  <c r="C403" i="34"/>
  <c r="F403" i="34"/>
  <c r="K403" i="34"/>
  <c r="C169" i="34"/>
  <c r="C170" i="34"/>
  <c r="C168" i="34"/>
  <c r="F170" i="34"/>
  <c r="K170" i="34"/>
  <c r="X709" i="34" l="1"/>
  <c r="W709" i="34"/>
  <c r="W245" i="34"/>
  <c r="X245" i="34"/>
  <c r="W526" i="34"/>
  <c r="X526" i="34"/>
  <c r="W863" i="34"/>
  <c r="X863" i="34"/>
  <c r="W403" i="34"/>
  <c r="X403" i="34"/>
  <c r="X170" i="34"/>
  <c r="W170" i="34"/>
  <c r="W190" i="34"/>
  <c r="X190" i="34"/>
  <c r="X468" i="34"/>
  <c r="W468" i="34"/>
  <c r="W1070" i="34"/>
  <c r="X1070" i="34"/>
  <c r="W327" i="34"/>
  <c r="X327" i="34"/>
  <c r="W642" i="34"/>
  <c r="X642" i="34"/>
  <c r="W974" i="34"/>
  <c r="X974" i="34"/>
  <c r="B21" i="34"/>
  <c r="B22" i="34"/>
  <c r="B23" i="34"/>
  <c r="B24" i="34"/>
  <c r="C18" i="34"/>
  <c r="B18" i="34" s="1"/>
  <c r="C19" i="34"/>
  <c r="B19" i="34" s="1"/>
  <c r="C20" i="34"/>
  <c r="B20" i="34" s="1"/>
  <c r="C17" i="34"/>
  <c r="B17" i="34" s="1"/>
  <c r="A18" i="34" l="1"/>
  <c r="Y18" i="34"/>
  <c r="V18" i="34"/>
  <c r="A17" i="34"/>
  <c r="Y17" i="34"/>
  <c r="V17" i="34"/>
  <c r="A24" i="34"/>
  <c r="Y24" i="34"/>
  <c r="V24" i="34"/>
  <c r="A20" i="34"/>
  <c r="Y20" i="34"/>
  <c r="V20" i="34"/>
  <c r="A19" i="34"/>
  <c r="V19" i="34"/>
  <c r="Y19" i="34"/>
  <c r="A23" i="34"/>
  <c r="V23" i="34"/>
  <c r="Y23" i="34"/>
  <c r="A22" i="34"/>
  <c r="Y22" i="34"/>
  <c r="V22" i="34"/>
  <c r="A21" i="34"/>
  <c r="Y21" i="34"/>
  <c r="V21" i="34"/>
  <c r="K1076" i="34"/>
  <c r="K1077" i="34"/>
  <c r="K1078" i="34"/>
  <c r="K1079" i="34"/>
  <c r="K1080" i="34"/>
  <c r="K1081" i="34"/>
  <c r="K1082" i="34"/>
  <c r="K1075" i="34"/>
  <c r="K1047" i="34"/>
  <c r="C1082" i="34"/>
  <c r="C1081" i="34"/>
  <c r="C1080" i="34"/>
  <c r="C1079" i="34"/>
  <c r="C1078" i="34"/>
  <c r="C1077" i="34"/>
  <c r="C1075" i="34"/>
  <c r="C1076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24" i="34"/>
  <c r="E16" i="55"/>
  <c r="B1024" i="34" l="1"/>
  <c r="J18" i="64"/>
  <c r="K18" i="64"/>
  <c r="H18" i="64"/>
  <c r="A1024" i="34" l="1"/>
  <c r="Y1024" i="34"/>
  <c r="V1024" i="34"/>
  <c r="K23" i="34"/>
  <c r="K688" i="34"/>
  <c r="C688" i="34"/>
  <c r="B688" i="34" s="1"/>
  <c r="K687" i="34"/>
  <c r="C687" i="34"/>
  <c r="B687" i="34" s="1"/>
  <c r="K689" i="34"/>
  <c r="C689" i="34"/>
  <c r="B689" i="34" s="1"/>
  <c r="AA691" i="34"/>
  <c r="C691" i="34"/>
  <c r="B691" i="34" s="1"/>
  <c r="K690" i="34"/>
  <c r="C690" i="34"/>
  <c r="B690" i="34" s="1"/>
  <c r="AA659" i="34"/>
  <c r="C659" i="34"/>
  <c r="B659" i="34" s="1"/>
  <c r="K658" i="34"/>
  <c r="C658" i="34"/>
  <c r="B658" i="34" s="1"/>
  <c r="K657" i="34"/>
  <c r="C657" i="34"/>
  <c r="B657" i="34" s="1"/>
  <c r="AA656" i="34"/>
  <c r="C656" i="34"/>
  <c r="B656" i="34" s="1"/>
  <c r="K655" i="34"/>
  <c r="C655" i="34"/>
  <c r="B655" i="34" s="1"/>
  <c r="AA654" i="34"/>
  <c r="C654" i="34"/>
  <c r="B654" i="34" s="1"/>
  <c r="K653" i="34"/>
  <c r="C653" i="34"/>
  <c r="B653" i="34" s="1"/>
  <c r="AA651" i="34"/>
  <c r="C651" i="34"/>
  <c r="B651" i="34" s="1"/>
  <c r="K650" i="34"/>
  <c r="C650" i="34"/>
  <c r="B650" i="34" s="1"/>
  <c r="K649" i="34"/>
  <c r="C649" i="34"/>
  <c r="B649" i="34" s="1"/>
  <c r="AA648" i="34"/>
  <c r="C648" i="34"/>
  <c r="B648" i="34" s="1"/>
  <c r="K647" i="34"/>
  <c r="C647" i="34"/>
  <c r="B647" i="34" s="1"/>
  <c r="AA633" i="34"/>
  <c r="C633" i="34"/>
  <c r="B633" i="34" s="1"/>
  <c r="K632" i="34"/>
  <c r="C632" i="34"/>
  <c r="B632" i="34" s="1"/>
  <c r="K631" i="34"/>
  <c r="C631" i="34"/>
  <c r="B631" i="34" s="1"/>
  <c r="K637" i="34"/>
  <c r="C637" i="34"/>
  <c r="B637" i="34" s="1"/>
  <c r="AA638" i="34"/>
  <c r="C638" i="34"/>
  <c r="B638" i="34" s="1"/>
  <c r="K636" i="34"/>
  <c r="C636" i="34"/>
  <c r="B636" i="34" s="1"/>
  <c r="K635" i="34"/>
  <c r="C635" i="34"/>
  <c r="B635" i="34" s="1"/>
  <c r="AA629" i="34"/>
  <c r="C629" i="34"/>
  <c r="B629" i="34" s="1"/>
  <c r="K628" i="34"/>
  <c r="C628" i="34"/>
  <c r="B628" i="34" s="1"/>
  <c r="K627" i="34"/>
  <c r="C627" i="34"/>
  <c r="B627" i="34" s="1"/>
  <c r="A628" i="34" l="1"/>
  <c r="Y628" i="34"/>
  <c r="V628" i="34"/>
  <c r="A635" i="34"/>
  <c r="Y635" i="34"/>
  <c r="V635" i="34"/>
  <c r="A638" i="34"/>
  <c r="V638" i="34"/>
  <c r="Y638" i="34"/>
  <c r="A631" i="34"/>
  <c r="Y631" i="34"/>
  <c r="V631" i="34"/>
  <c r="A633" i="34"/>
  <c r="Y633" i="34"/>
  <c r="V633" i="34"/>
  <c r="A648" i="34"/>
  <c r="Y648" i="34"/>
  <c r="V648" i="34"/>
  <c r="A650" i="34"/>
  <c r="V650" i="34"/>
  <c r="Y650" i="34"/>
  <c r="A653" i="34"/>
  <c r="Y653" i="34"/>
  <c r="V653" i="34"/>
  <c r="A655" i="34"/>
  <c r="Y655" i="34"/>
  <c r="V655" i="34"/>
  <c r="A657" i="34"/>
  <c r="V657" i="34"/>
  <c r="Y657" i="34"/>
  <c r="A659" i="34"/>
  <c r="Y659" i="34"/>
  <c r="V659" i="34"/>
  <c r="A691" i="34"/>
  <c r="Y691" i="34"/>
  <c r="V691" i="34"/>
  <c r="A687" i="34"/>
  <c r="Y687" i="34"/>
  <c r="V687" i="34"/>
  <c r="A627" i="34"/>
  <c r="Y627" i="34"/>
  <c r="V627" i="34"/>
  <c r="A629" i="34"/>
  <c r="Y629" i="34"/>
  <c r="V629" i="34"/>
  <c r="A636" i="34"/>
  <c r="Y636" i="34"/>
  <c r="V636" i="34"/>
  <c r="A637" i="34"/>
  <c r="Y637" i="34"/>
  <c r="V637" i="34"/>
  <c r="A632" i="34"/>
  <c r="Y632" i="34"/>
  <c r="V632" i="34"/>
  <c r="A647" i="34"/>
  <c r="Y647" i="34"/>
  <c r="V647" i="34"/>
  <c r="A649" i="34"/>
  <c r="Y649" i="34"/>
  <c r="V649" i="34"/>
  <c r="A651" i="34"/>
  <c r="Y651" i="34"/>
  <c r="V651" i="34"/>
  <c r="A654" i="34"/>
  <c r="V654" i="34"/>
  <c r="Y654" i="34"/>
  <c r="A656" i="34"/>
  <c r="Y656" i="34"/>
  <c r="V656" i="34"/>
  <c r="A658" i="34"/>
  <c r="Y658" i="34"/>
  <c r="V658" i="34"/>
  <c r="A690" i="34"/>
  <c r="Y690" i="34"/>
  <c r="V690" i="34"/>
  <c r="A689" i="34"/>
  <c r="Y689" i="34"/>
  <c r="V689" i="34"/>
  <c r="A688" i="34"/>
  <c r="V688" i="34"/>
  <c r="Y688" i="34"/>
  <c r="C33" i="15"/>
  <c r="D27" i="15"/>
  <c r="C27" i="15"/>
  <c r="C613" i="34" l="1"/>
  <c r="B613" i="34" l="1"/>
  <c r="C644" i="34"/>
  <c r="A9" i="12"/>
  <c r="A10" i="12"/>
  <c r="A11" i="12"/>
  <c r="A12" i="12"/>
  <c r="A613" i="34" l="1"/>
  <c r="Y613" i="34"/>
  <c r="V613" i="34"/>
  <c r="B644" i="34"/>
  <c r="C583" i="34"/>
  <c r="C1046" i="34"/>
  <c r="B1046" i="34" s="1"/>
  <c r="C1034" i="34"/>
  <c r="B1034" i="34" s="1"/>
  <c r="C1017" i="34"/>
  <c r="B1017" i="34" s="1"/>
  <c r="C1011" i="34"/>
  <c r="B1011" i="34" s="1"/>
  <c r="C1003" i="34"/>
  <c r="B1003" i="34" s="1"/>
  <c r="C903" i="34"/>
  <c r="B903" i="34" s="1"/>
  <c r="C885" i="34"/>
  <c r="B885" i="34" s="1"/>
  <c r="C878" i="34"/>
  <c r="B878" i="34" s="1"/>
  <c r="C858" i="34"/>
  <c r="B858" i="34" s="1"/>
  <c r="C849" i="34"/>
  <c r="B849" i="34" s="1"/>
  <c r="C843" i="34"/>
  <c r="B843" i="34" s="1"/>
  <c r="C836" i="34"/>
  <c r="B836" i="34" s="1"/>
  <c r="C830" i="34"/>
  <c r="B830" i="34" s="1"/>
  <c r="C827" i="34"/>
  <c r="B827" i="34" s="1"/>
  <c r="C817" i="34"/>
  <c r="B817" i="34" s="1"/>
  <c r="C762" i="34"/>
  <c r="C612" i="34"/>
  <c r="C597" i="34"/>
  <c r="C591" i="34"/>
  <c r="C529" i="34"/>
  <c r="B529" i="34" s="1"/>
  <c r="C400" i="34"/>
  <c r="C396" i="34"/>
  <c r="B396" i="34" s="1"/>
  <c r="C356" i="34"/>
  <c r="C349" i="34"/>
  <c r="C332" i="34"/>
  <c r="C324" i="34"/>
  <c r="B324" i="34" s="1"/>
  <c r="C294" i="34"/>
  <c r="C277" i="34"/>
  <c r="C167" i="34"/>
  <c r="C155" i="34"/>
  <c r="C151" i="34"/>
  <c r="C145" i="34"/>
  <c r="C133" i="34"/>
  <c r="C126" i="34"/>
  <c r="C111" i="34"/>
  <c r="B111" i="34" s="1"/>
  <c r="C107" i="34"/>
  <c r="C99" i="34"/>
  <c r="C87" i="34"/>
  <c r="B87" i="34" s="1"/>
  <c r="C74" i="34"/>
  <c r="B74" i="34" s="1"/>
  <c r="C68" i="34"/>
  <c r="B68" i="34" s="1"/>
  <c r="C58" i="34"/>
  <c r="B58" i="34" s="1"/>
  <c r="C53" i="34"/>
  <c r="C42" i="34"/>
  <c r="C29" i="34"/>
  <c r="A843" i="34" l="1"/>
  <c r="Y843" i="34"/>
  <c r="V843" i="34"/>
  <c r="A396" i="34"/>
  <c r="Y396" i="34"/>
  <c r="V396" i="34"/>
  <c r="A903" i="34"/>
  <c r="Y903" i="34"/>
  <c r="V903" i="34"/>
  <c r="A68" i="34"/>
  <c r="Y68" i="34"/>
  <c r="V68" i="34"/>
  <c r="A529" i="34"/>
  <c r="V529" i="34"/>
  <c r="Y529" i="34"/>
  <c r="A836" i="34"/>
  <c r="V836" i="34"/>
  <c r="Y836" i="34"/>
  <c r="A878" i="34"/>
  <c r="Y878" i="34"/>
  <c r="V878" i="34"/>
  <c r="A1011" i="34"/>
  <c r="Y1011" i="34"/>
  <c r="V1011" i="34"/>
  <c r="A74" i="34"/>
  <c r="Y74" i="34"/>
  <c r="V74" i="34"/>
  <c r="A885" i="34"/>
  <c r="Y885" i="34"/>
  <c r="V885" i="34"/>
  <c r="A1017" i="34"/>
  <c r="V1017" i="34"/>
  <c r="Y1017" i="34"/>
  <c r="A644" i="34"/>
  <c r="Y644" i="34"/>
  <c r="V644" i="34"/>
  <c r="A324" i="34"/>
  <c r="V324" i="34"/>
  <c r="Y324" i="34"/>
  <c r="A111" i="34"/>
  <c r="Y111" i="34"/>
  <c r="V111" i="34"/>
  <c r="A817" i="34"/>
  <c r="Y817" i="34"/>
  <c r="V817" i="34"/>
  <c r="A87" i="34"/>
  <c r="Y87" i="34"/>
  <c r="V87" i="34"/>
  <c r="A827" i="34"/>
  <c r="Y827" i="34"/>
  <c r="V827" i="34"/>
  <c r="A849" i="34"/>
  <c r="Y849" i="34"/>
  <c r="V849" i="34"/>
  <c r="A1034" i="34"/>
  <c r="Y1034" i="34"/>
  <c r="V1034" i="34"/>
  <c r="A58" i="34"/>
  <c r="Y58" i="34"/>
  <c r="V58" i="34"/>
  <c r="A830" i="34"/>
  <c r="Y830" i="34"/>
  <c r="V830" i="34"/>
  <c r="A858" i="34"/>
  <c r="Y858" i="34"/>
  <c r="V858" i="34"/>
  <c r="A1003" i="34"/>
  <c r="Y1003" i="34"/>
  <c r="V1003" i="34"/>
  <c r="A1046" i="34"/>
  <c r="Y1046" i="34"/>
  <c r="V1046" i="34"/>
  <c r="B42" i="34"/>
  <c r="B151" i="34"/>
  <c r="B294" i="34"/>
  <c r="B356" i="34"/>
  <c r="B400" i="34"/>
  <c r="B612" i="34"/>
  <c r="B29" i="34"/>
  <c r="B107" i="34"/>
  <c r="B145" i="34"/>
  <c r="B277" i="34"/>
  <c r="B349" i="34"/>
  <c r="B597" i="34"/>
  <c r="B99" i="34"/>
  <c r="B133" i="34"/>
  <c r="B167" i="34"/>
  <c r="B332" i="34"/>
  <c r="B591" i="34"/>
  <c r="B583" i="34"/>
  <c r="B53" i="34"/>
  <c r="B126" i="34"/>
  <c r="B155" i="34"/>
  <c r="B762" i="34"/>
  <c r="A37" i="70"/>
  <c r="A133" i="34" l="1"/>
  <c r="V133" i="34"/>
  <c r="Y133" i="34"/>
  <c r="A612" i="34"/>
  <c r="Y612" i="34"/>
  <c r="V612" i="34"/>
  <c r="A155" i="34"/>
  <c r="Y155" i="34"/>
  <c r="V155" i="34"/>
  <c r="A99" i="34"/>
  <c r="V99" i="34"/>
  <c r="Y99" i="34"/>
  <c r="A126" i="34"/>
  <c r="Y126" i="34"/>
  <c r="V126" i="34"/>
  <c r="A332" i="34"/>
  <c r="V332" i="34"/>
  <c r="Y332" i="34"/>
  <c r="A597" i="34"/>
  <c r="Y597" i="34"/>
  <c r="V597" i="34"/>
  <c r="A107" i="34"/>
  <c r="Y107" i="34"/>
  <c r="V107" i="34"/>
  <c r="A356" i="34"/>
  <c r="Y356" i="34"/>
  <c r="V356" i="34"/>
  <c r="A294" i="34"/>
  <c r="Y294" i="34"/>
  <c r="V294" i="34"/>
  <c r="A167" i="34"/>
  <c r="Y167" i="34"/>
  <c r="V167" i="34"/>
  <c r="A29" i="34"/>
  <c r="Y29" i="34"/>
  <c r="V29" i="34"/>
  <c r="A762" i="34"/>
  <c r="Y762" i="34"/>
  <c r="V762" i="34"/>
  <c r="A53" i="34"/>
  <c r="Y53" i="34"/>
  <c r="V53" i="34"/>
  <c r="A349" i="34"/>
  <c r="Y349" i="34"/>
  <c r="V349" i="34"/>
  <c r="A583" i="34"/>
  <c r="Y583" i="34"/>
  <c r="V583" i="34"/>
  <c r="A277" i="34"/>
  <c r="Y277" i="34"/>
  <c r="V277" i="34"/>
  <c r="A151" i="34"/>
  <c r="Y151" i="34"/>
  <c r="V151" i="34"/>
  <c r="A591" i="34"/>
  <c r="V591" i="34"/>
  <c r="Y591" i="34"/>
  <c r="A145" i="34"/>
  <c r="V145" i="34"/>
  <c r="Y145" i="34"/>
  <c r="A400" i="34"/>
  <c r="Y400" i="34"/>
  <c r="V400" i="34"/>
  <c r="A42" i="34"/>
  <c r="Y42" i="34"/>
  <c r="V42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A32" i="34"/>
  <c r="AA61" i="34"/>
  <c r="AA70" i="34"/>
  <c r="AA82" i="34"/>
  <c r="AA89" i="34"/>
  <c r="AA101" i="34"/>
  <c r="AA113" i="34"/>
  <c r="AA116" i="34"/>
  <c r="AA121" i="34"/>
  <c r="AA128" i="34"/>
  <c r="AA158" i="34"/>
  <c r="AA161" i="34"/>
  <c r="AA164" i="34"/>
  <c r="AA172" i="34"/>
  <c r="AA174" i="34"/>
  <c r="AA185" i="34"/>
  <c r="AA198" i="34"/>
  <c r="AA202" i="34"/>
  <c r="AA206" i="34"/>
  <c r="AA210" i="34"/>
  <c r="AA213" i="34"/>
  <c r="AA215" i="34"/>
  <c r="AA218" i="34"/>
  <c r="AA224" i="34"/>
  <c r="AA227" i="34"/>
  <c r="AA234" i="34"/>
  <c r="AA240" i="34"/>
  <c r="AA242" i="34"/>
  <c r="AA250" i="34"/>
  <c r="AA252" i="34"/>
  <c r="AA254" i="34"/>
  <c r="AA257" i="34"/>
  <c r="AA260" i="34"/>
  <c r="AA263" i="34"/>
  <c r="AA267" i="34"/>
  <c r="AA271" i="34"/>
  <c r="AA280" i="34"/>
  <c r="AA282" i="34"/>
  <c r="AA284" i="34"/>
  <c r="AA287" i="34"/>
  <c r="AA297" i="34"/>
  <c r="AA301" i="34"/>
  <c r="AA304" i="34"/>
  <c r="AA308" i="34"/>
  <c r="AA315" i="34"/>
  <c r="AA337" i="34"/>
  <c r="AA342" i="34"/>
  <c r="AA361" i="34"/>
  <c r="AA363" i="34"/>
  <c r="AA367" i="34"/>
  <c r="AA370" i="34"/>
  <c r="AA372" i="34"/>
  <c r="AA379" i="34"/>
  <c r="AA387" i="34"/>
  <c r="AA390" i="34"/>
  <c r="AA408" i="34"/>
  <c r="AA411" i="34"/>
  <c r="AA414" i="34"/>
  <c r="AA419" i="34"/>
  <c r="AA424" i="34"/>
  <c r="AA426" i="34"/>
  <c r="AA428" i="34"/>
  <c r="AA430" i="34"/>
  <c r="AA434" i="34"/>
  <c r="AA436" i="34"/>
  <c r="AA441" i="34"/>
  <c r="AA445" i="34"/>
  <c r="AA449" i="34"/>
  <c r="AA452" i="34"/>
  <c r="AA460" i="34"/>
  <c r="AA463" i="34"/>
  <c r="AA465" i="34"/>
  <c r="AA471" i="34"/>
  <c r="AA474" i="34"/>
  <c r="AA480" i="34"/>
  <c r="AA486" i="34"/>
  <c r="AA488" i="34"/>
  <c r="AA491" i="34"/>
  <c r="AA498" i="34"/>
  <c r="AA505" i="34"/>
  <c r="AA514" i="34"/>
  <c r="AA519" i="34"/>
  <c r="AA521" i="34"/>
  <c r="AA531" i="34"/>
  <c r="AA533" i="34"/>
  <c r="AA535" i="34"/>
  <c r="AA537" i="34"/>
  <c r="AA539" i="34"/>
  <c r="AA542" i="34"/>
  <c r="AA545" i="34"/>
  <c r="AA548" i="34"/>
  <c r="AA554" i="34"/>
  <c r="AA556" i="34"/>
  <c r="AA560" i="34"/>
  <c r="AA563" i="34"/>
  <c r="AA567" i="34"/>
  <c r="AA571" i="34"/>
  <c r="AA575" i="34"/>
  <c r="AA585" i="34"/>
  <c r="AA587" i="34"/>
  <c r="AA593" i="34"/>
  <c r="AA599" i="34"/>
  <c r="AA602" i="34"/>
  <c r="AA604" i="34"/>
  <c r="AA608" i="34"/>
  <c r="AA622" i="34"/>
  <c r="AA626" i="34"/>
  <c r="AA661" i="34"/>
  <c r="AA666" i="34"/>
  <c r="AA669" i="34"/>
  <c r="AA674" i="34"/>
  <c r="AA678" i="34"/>
  <c r="AA681" i="34"/>
  <c r="AA683" i="34"/>
  <c r="AA693" i="34"/>
  <c r="AA695" i="34"/>
  <c r="AA700" i="34"/>
  <c r="AA704" i="34"/>
  <c r="AA714" i="34"/>
  <c r="AA718" i="34"/>
  <c r="AA723" i="34"/>
  <c r="AA725" i="34"/>
  <c r="AA729" i="34"/>
  <c r="AA732" i="34"/>
  <c r="AA734" i="34"/>
  <c r="AA738" i="34"/>
  <c r="AA741" i="34"/>
  <c r="AA746" i="34"/>
  <c r="AA748" i="34"/>
  <c r="AA754" i="34"/>
  <c r="AA759" i="34"/>
  <c r="AA767" i="34"/>
  <c r="AA769" i="34"/>
  <c r="AA771" i="34"/>
  <c r="AA773" i="34"/>
  <c r="AA776" i="34"/>
  <c r="AA778" i="34"/>
  <c r="AA785" i="34"/>
  <c r="AA794" i="34"/>
  <c r="AA803" i="34"/>
  <c r="AA805" i="34"/>
  <c r="AA809" i="34"/>
  <c r="AA812" i="34"/>
  <c r="AA821" i="34"/>
  <c r="AA823" i="34"/>
  <c r="AA833" i="34"/>
  <c r="AA860" i="34"/>
  <c r="AA865" i="34"/>
  <c r="AA867" i="34"/>
  <c r="AA870" i="34"/>
  <c r="AA872" i="34"/>
  <c r="AA888" i="34"/>
  <c r="AA893" i="34"/>
  <c r="AA895" i="34"/>
  <c r="AA906" i="34"/>
  <c r="AA910" i="34"/>
  <c r="AA918" i="34"/>
  <c r="AA921" i="34"/>
  <c r="AA924" i="34"/>
  <c r="AA926" i="34"/>
  <c r="AA928" i="34"/>
  <c r="AA930" i="34"/>
  <c r="AA933" i="34"/>
  <c r="AA938" i="34"/>
  <c r="AA944" i="34"/>
  <c r="AA949" i="34"/>
  <c r="AA957" i="34"/>
  <c r="AA962" i="34"/>
  <c r="AA965" i="34"/>
  <c r="AA978" i="34"/>
  <c r="AA981" i="34"/>
  <c r="AA984" i="34"/>
  <c r="AA992" i="34"/>
  <c r="AA997" i="34"/>
  <c r="AA1008" i="34"/>
  <c r="AA1013" i="34"/>
  <c r="AA1019" i="34"/>
  <c r="AA1028" i="34"/>
  <c r="AA1030" i="34"/>
  <c r="AA1043" i="34"/>
  <c r="AA1048" i="34"/>
  <c r="AA1053" i="34"/>
  <c r="AA1061" i="34"/>
  <c r="AA1064" i="34"/>
  <c r="AA1066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074" i="34"/>
  <c r="C726" i="34"/>
  <c r="C1066" i="34"/>
  <c r="K1065" i="34"/>
  <c r="C1065" i="34"/>
  <c r="C1064" i="34"/>
  <c r="K1063" i="34"/>
  <c r="C1063" i="34"/>
  <c r="C1061" i="34"/>
  <c r="K1060" i="34"/>
  <c r="C1060" i="34"/>
  <c r="K1059" i="34"/>
  <c r="C1059" i="34"/>
  <c r="K1058" i="34"/>
  <c r="C1058" i="34"/>
  <c r="C1053" i="34"/>
  <c r="K1052" i="34"/>
  <c r="C1052" i="34"/>
  <c r="C1048" i="34"/>
  <c r="C1047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C1030" i="34"/>
  <c r="K1029" i="34"/>
  <c r="C1029" i="34"/>
  <c r="C1028" i="34"/>
  <c r="K1027" i="34"/>
  <c r="C1027" i="34"/>
  <c r="C1019" i="34"/>
  <c r="K1018" i="34"/>
  <c r="C1018" i="34"/>
  <c r="C1013" i="34"/>
  <c r="K1012" i="34"/>
  <c r="C1012" i="34"/>
  <c r="C1008" i="34"/>
  <c r="K1007" i="34"/>
  <c r="C1007" i="34"/>
  <c r="C997" i="34"/>
  <c r="K996" i="34"/>
  <c r="C996" i="34"/>
  <c r="C992" i="34"/>
  <c r="K991" i="34"/>
  <c r="C991" i="34"/>
  <c r="K990" i="34"/>
  <c r="C990" i="34"/>
  <c r="C984" i="34"/>
  <c r="K983" i="34"/>
  <c r="C983" i="34"/>
  <c r="K982" i="34"/>
  <c r="C982" i="34"/>
  <c r="C981" i="34"/>
  <c r="K980" i="34"/>
  <c r="C980" i="34"/>
  <c r="C978" i="34"/>
  <c r="K977" i="34"/>
  <c r="C977" i="34"/>
  <c r="K976" i="34"/>
  <c r="C976" i="34"/>
  <c r="K975" i="34"/>
  <c r="C975" i="34"/>
  <c r="C965" i="34"/>
  <c r="K964" i="34"/>
  <c r="C964" i="34"/>
  <c r="C962" i="34"/>
  <c r="K961" i="34"/>
  <c r="C961" i="34"/>
  <c r="K960" i="34"/>
  <c r="C960" i="34"/>
  <c r="C957" i="34"/>
  <c r="K956" i="34"/>
  <c r="C956" i="34"/>
  <c r="K955" i="34"/>
  <c r="C955" i="34"/>
  <c r="K954" i="34"/>
  <c r="C954" i="34"/>
  <c r="C949" i="34"/>
  <c r="K948" i="34"/>
  <c r="C948" i="34"/>
  <c r="C944" i="34"/>
  <c r="K943" i="34"/>
  <c r="C943" i="34"/>
  <c r="K942" i="34"/>
  <c r="C942" i="34"/>
  <c r="K941" i="34"/>
  <c r="C941" i="34"/>
  <c r="C938" i="34"/>
  <c r="K937" i="34"/>
  <c r="C937" i="34"/>
  <c r="K936" i="34"/>
  <c r="C936" i="34"/>
  <c r="K935" i="34"/>
  <c r="C935" i="34"/>
  <c r="K934" i="34"/>
  <c r="C934" i="34"/>
  <c r="C933" i="34"/>
  <c r="K932" i="34"/>
  <c r="C932" i="34"/>
  <c r="C930" i="34"/>
  <c r="K929" i="34"/>
  <c r="C929" i="34"/>
  <c r="C928" i="34"/>
  <c r="K927" i="34"/>
  <c r="C927" i="34"/>
  <c r="C926" i="34"/>
  <c r="K925" i="34"/>
  <c r="C925" i="34"/>
  <c r="C924" i="34"/>
  <c r="K923" i="34"/>
  <c r="C923" i="34"/>
  <c r="C921" i="34"/>
  <c r="K920" i="34"/>
  <c r="C920" i="34"/>
  <c r="C918" i="34"/>
  <c r="K917" i="34"/>
  <c r="C917" i="34"/>
  <c r="C910" i="34"/>
  <c r="K909" i="34"/>
  <c r="C909" i="34"/>
  <c r="K908" i="34"/>
  <c r="C908" i="34"/>
  <c r="K907" i="34"/>
  <c r="C907" i="34"/>
  <c r="C906" i="34"/>
  <c r="K905" i="34"/>
  <c r="C905" i="34"/>
  <c r="K904" i="34"/>
  <c r="C904" i="34"/>
  <c r="C895" i="34"/>
  <c r="K894" i="34"/>
  <c r="C894" i="34"/>
  <c r="C893" i="34"/>
  <c r="K892" i="34"/>
  <c r="C892" i="34"/>
  <c r="C888" i="34"/>
  <c r="K887" i="34"/>
  <c r="C887" i="34"/>
  <c r="K886" i="34"/>
  <c r="C886" i="34"/>
  <c r="C872" i="34"/>
  <c r="K871" i="34"/>
  <c r="C871" i="34"/>
  <c r="C870" i="34"/>
  <c r="K869" i="34"/>
  <c r="C869" i="34"/>
  <c r="C867" i="34"/>
  <c r="K866" i="34"/>
  <c r="C866" i="34"/>
  <c r="C865" i="34"/>
  <c r="K864" i="34"/>
  <c r="C864" i="34"/>
  <c r="C860" i="34"/>
  <c r="K859" i="34"/>
  <c r="C859" i="34"/>
  <c r="C833" i="34"/>
  <c r="K832" i="34"/>
  <c r="C832" i="34"/>
  <c r="K831" i="34"/>
  <c r="C831" i="34"/>
  <c r="C823" i="34"/>
  <c r="K822" i="34"/>
  <c r="C822" i="34"/>
  <c r="C821" i="34"/>
  <c r="K820" i="34"/>
  <c r="C820" i="34"/>
  <c r="K819" i="34"/>
  <c r="C819" i="34"/>
  <c r="K818" i="34"/>
  <c r="C818" i="34"/>
  <c r="C812" i="34"/>
  <c r="K811" i="34"/>
  <c r="C811" i="34"/>
  <c r="C809" i="34"/>
  <c r="K808" i="34"/>
  <c r="C808" i="34"/>
  <c r="K807" i="34"/>
  <c r="C807" i="34"/>
  <c r="C805" i="34"/>
  <c r="K804" i="34"/>
  <c r="C804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K795" i="34"/>
  <c r="C795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C776" i="34"/>
  <c r="K775" i="34"/>
  <c r="C775" i="34"/>
  <c r="K774" i="34"/>
  <c r="C774" i="34"/>
  <c r="C773" i="34"/>
  <c r="K772" i="34"/>
  <c r="C772" i="34"/>
  <c r="C771" i="34"/>
  <c r="K770" i="34"/>
  <c r="C770" i="34"/>
  <c r="C769" i="34"/>
  <c r="K768" i="34"/>
  <c r="C768" i="34"/>
  <c r="C767" i="34"/>
  <c r="K766" i="34"/>
  <c r="C766" i="34"/>
  <c r="C759" i="34"/>
  <c r="K758" i="34"/>
  <c r="C758" i="34"/>
  <c r="C754" i="34"/>
  <c r="K753" i="34"/>
  <c r="C753" i="34"/>
  <c r="C748" i="34"/>
  <c r="K747" i="34"/>
  <c r="C747" i="34"/>
  <c r="C746" i="34"/>
  <c r="K745" i="34"/>
  <c r="C745" i="34"/>
  <c r="K744" i="34"/>
  <c r="C744" i="34"/>
  <c r="C741" i="34"/>
  <c r="K740" i="34"/>
  <c r="C740" i="34"/>
  <c r="K739" i="34"/>
  <c r="C739" i="34"/>
  <c r="C738" i="34"/>
  <c r="K737" i="34"/>
  <c r="C737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5" i="34"/>
  <c r="K724" i="34"/>
  <c r="C724" i="34"/>
  <c r="C723" i="34"/>
  <c r="K722" i="34"/>
  <c r="C722" i="34"/>
  <c r="K721" i="34"/>
  <c r="C721" i="34"/>
  <c r="K720" i="34"/>
  <c r="C720" i="34"/>
  <c r="K719" i="34"/>
  <c r="C719" i="34"/>
  <c r="C718" i="34"/>
  <c r="K717" i="34"/>
  <c r="C717" i="34"/>
  <c r="K716" i="34"/>
  <c r="C716" i="34"/>
  <c r="C714" i="34"/>
  <c r="K713" i="34"/>
  <c r="C713" i="34"/>
  <c r="C704" i="34"/>
  <c r="K703" i="34"/>
  <c r="C703" i="34"/>
  <c r="C700" i="34"/>
  <c r="K699" i="34"/>
  <c r="C699" i="34"/>
  <c r="C695" i="34"/>
  <c r="K694" i="34"/>
  <c r="C694" i="34"/>
  <c r="C693" i="34"/>
  <c r="K692" i="34"/>
  <c r="C692" i="34"/>
  <c r="C683" i="34"/>
  <c r="K682" i="34"/>
  <c r="C682" i="34"/>
  <c r="C681" i="34"/>
  <c r="K680" i="34"/>
  <c r="C680" i="34"/>
  <c r="C678" i="34"/>
  <c r="K677" i="34"/>
  <c r="C677" i="34"/>
  <c r="C674" i="34"/>
  <c r="K673" i="34"/>
  <c r="C673" i="34"/>
  <c r="C669" i="34"/>
  <c r="K668" i="34"/>
  <c r="C668" i="34"/>
  <c r="C666" i="34"/>
  <c r="K665" i="34"/>
  <c r="C665" i="34"/>
  <c r="K664" i="34"/>
  <c r="C664" i="34"/>
  <c r="C661" i="34"/>
  <c r="K660" i="34"/>
  <c r="C660" i="34"/>
  <c r="C626" i="34"/>
  <c r="K625" i="34"/>
  <c r="C625" i="34"/>
  <c r="K624" i="34"/>
  <c r="C624" i="34"/>
  <c r="C622" i="34"/>
  <c r="K621" i="34"/>
  <c r="C621" i="34"/>
  <c r="K620" i="34"/>
  <c r="C620" i="34"/>
  <c r="K619" i="34"/>
  <c r="C619" i="34"/>
  <c r="K618" i="34"/>
  <c r="C618" i="34"/>
  <c r="C608" i="34"/>
  <c r="K607" i="34"/>
  <c r="C607" i="34"/>
  <c r="C604" i="34"/>
  <c r="K603" i="34"/>
  <c r="C603" i="34"/>
  <c r="C602" i="34"/>
  <c r="K601" i="34"/>
  <c r="C601" i="34"/>
  <c r="C599" i="34"/>
  <c r="K598" i="34"/>
  <c r="C598" i="34"/>
  <c r="C593" i="34"/>
  <c r="K592" i="34"/>
  <c r="C592" i="34"/>
  <c r="C587" i="34"/>
  <c r="K586" i="34"/>
  <c r="C586" i="34"/>
  <c r="C585" i="34"/>
  <c r="K584" i="34"/>
  <c r="C584" i="34"/>
  <c r="C575" i="34"/>
  <c r="K574" i="34"/>
  <c r="C574" i="34"/>
  <c r="C571" i="34"/>
  <c r="K570" i="34"/>
  <c r="C570" i="34"/>
  <c r="K569" i="34"/>
  <c r="C569" i="34"/>
  <c r="K568" i="34"/>
  <c r="C568" i="34"/>
  <c r="C567" i="34"/>
  <c r="K566" i="34"/>
  <c r="C566" i="34"/>
  <c r="C563" i="34"/>
  <c r="K562" i="34"/>
  <c r="C562" i="34"/>
  <c r="K561" i="34"/>
  <c r="C561" i="34"/>
  <c r="C560" i="34"/>
  <c r="K559" i="34"/>
  <c r="C559" i="34"/>
  <c r="C556" i="34"/>
  <c r="K555" i="34"/>
  <c r="C555" i="34"/>
  <c r="C554" i="34"/>
  <c r="K553" i="34"/>
  <c r="C553" i="34"/>
  <c r="C548" i="34"/>
  <c r="K547" i="34"/>
  <c r="C547" i="34"/>
  <c r="K546" i="34"/>
  <c r="C546" i="34"/>
  <c r="C545" i="34"/>
  <c r="K544" i="34"/>
  <c r="C544" i="34"/>
  <c r="K543" i="34"/>
  <c r="C543" i="34"/>
  <c r="C542" i="34"/>
  <c r="K541" i="34"/>
  <c r="C541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C521" i="34"/>
  <c r="K520" i="34"/>
  <c r="C520" i="34"/>
  <c r="C519" i="34"/>
  <c r="K518" i="34"/>
  <c r="C518" i="34"/>
  <c r="C514" i="34"/>
  <c r="K513" i="34"/>
  <c r="C513" i="34"/>
  <c r="K512" i="34"/>
  <c r="C512" i="34"/>
  <c r="K511" i="34"/>
  <c r="C511" i="34"/>
  <c r="K510" i="34"/>
  <c r="C510" i="34"/>
  <c r="C505" i="34"/>
  <c r="K504" i="34"/>
  <c r="C504" i="34"/>
  <c r="K503" i="34"/>
  <c r="C503" i="34"/>
  <c r="K502" i="34"/>
  <c r="C502" i="34"/>
  <c r="C498" i="34"/>
  <c r="K497" i="34"/>
  <c r="C497" i="34"/>
  <c r="K496" i="34"/>
  <c r="C496" i="34"/>
  <c r="K495" i="34"/>
  <c r="C495" i="34"/>
  <c r="K494" i="34"/>
  <c r="C494" i="34"/>
  <c r="K493" i="34"/>
  <c r="C493" i="34"/>
  <c r="K492" i="34"/>
  <c r="C492" i="34"/>
  <c r="C491" i="34"/>
  <c r="K490" i="34"/>
  <c r="C490" i="34"/>
  <c r="K489" i="34"/>
  <c r="C489" i="34"/>
  <c r="C488" i="34"/>
  <c r="K487" i="34"/>
  <c r="C487" i="34"/>
  <c r="C486" i="34"/>
  <c r="K485" i="34"/>
  <c r="C485" i="34"/>
  <c r="C480" i="34"/>
  <c r="K479" i="34"/>
  <c r="C479" i="34"/>
  <c r="K478" i="34"/>
  <c r="C478" i="34"/>
  <c r="K477" i="34"/>
  <c r="C477" i="34"/>
  <c r="K476" i="34"/>
  <c r="C476" i="34"/>
  <c r="C474" i="34"/>
  <c r="K473" i="34"/>
  <c r="C473" i="34"/>
  <c r="K472" i="34"/>
  <c r="C472" i="34"/>
  <c r="C471" i="34"/>
  <c r="K470" i="34"/>
  <c r="C470" i="34"/>
  <c r="K469" i="34"/>
  <c r="C469" i="34"/>
  <c r="C465" i="34"/>
  <c r="K464" i="34"/>
  <c r="C464" i="34"/>
  <c r="C463" i="34"/>
  <c r="K462" i="34"/>
  <c r="C462" i="34"/>
  <c r="C460" i="34"/>
  <c r="K459" i="34"/>
  <c r="C459" i="34"/>
  <c r="C452" i="34"/>
  <c r="K451" i="34"/>
  <c r="C451" i="34"/>
  <c r="C449" i="34"/>
  <c r="K448" i="34"/>
  <c r="C448" i="34"/>
  <c r="K447" i="34"/>
  <c r="C447" i="34"/>
  <c r="K446" i="34"/>
  <c r="C446" i="34"/>
  <c r="C445" i="34"/>
  <c r="K444" i="34"/>
  <c r="C444" i="34"/>
  <c r="K443" i="34"/>
  <c r="C443" i="34"/>
  <c r="C441" i="34"/>
  <c r="K440" i="34"/>
  <c r="C440" i="34"/>
  <c r="K439" i="34"/>
  <c r="C439" i="34"/>
  <c r="C436" i="34"/>
  <c r="K435" i="34"/>
  <c r="C435" i="34"/>
  <c r="C434" i="34"/>
  <c r="K433" i="34"/>
  <c r="C433" i="34"/>
  <c r="C430" i="34"/>
  <c r="K429" i="34"/>
  <c r="C429" i="34"/>
  <c r="C428" i="34"/>
  <c r="K427" i="34"/>
  <c r="C427" i="34"/>
  <c r="C426" i="34"/>
  <c r="K425" i="34"/>
  <c r="C425" i="34"/>
  <c r="C424" i="34"/>
  <c r="K423" i="34"/>
  <c r="C423" i="34"/>
  <c r="K422" i="34"/>
  <c r="C422" i="34"/>
  <c r="K421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C411" i="34"/>
  <c r="K410" i="34"/>
  <c r="C410" i="34"/>
  <c r="C408" i="34"/>
  <c r="K407" i="34"/>
  <c r="C407" i="34"/>
  <c r="C390" i="34"/>
  <c r="K389" i="34"/>
  <c r="C389" i="34"/>
  <c r="C387" i="34"/>
  <c r="K386" i="34"/>
  <c r="C386" i="34"/>
  <c r="K385" i="34"/>
  <c r="C385" i="34"/>
  <c r="K384" i="34"/>
  <c r="C384" i="34"/>
  <c r="K383" i="34"/>
  <c r="C383" i="34"/>
  <c r="K382" i="34"/>
  <c r="C382" i="34"/>
  <c r="C379" i="34"/>
  <c r="K378" i="34"/>
  <c r="C378" i="34"/>
  <c r="C372" i="34"/>
  <c r="K371" i="34"/>
  <c r="C371" i="34"/>
  <c r="C370" i="34"/>
  <c r="K369" i="34"/>
  <c r="C369" i="34"/>
  <c r="C367" i="34"/>
  <c r="K366" i="34"/>
  <c r="C366" i="34"/>
  <c r="C363" i="34"/>
  <c r="K362" i="34"/>
  <c r="C362" i="34"/>
  <c r="C361" i="34"/>
  <c r="K360" i="34"/>
  <c r="C360" i="34"/>
  <c r="K359" i="34"/>
  <c r="C359" i="34"/>
  <c r="K358" i="34"/>
  <c r="C358" i="34"/>
  <c r="K357" i="34"/>
  <c r="C357" i="34"/>
  <c r="C342" i="34"/>
  <c r="K341" i="34"/>
  <c r="C341" i="34"/>
  <c r="C337" i="34"/>
  <c r="K336" i="34"/>
  <c r="C336" i="34"/>
  <c r="K335" i="34"/>
  <c r="C335" i="34"/>
  <c r="C315" i="34"/>
  <c r="K314" i="34"/>
  <c r="C314" i="34"/>
  <c r="K313" i="34"/>
  <c r="C313" i="34"/>
  <c r="C308" i="34"/>
  <c r="K307" i="34"/>
  <c r="C307" i="34"/>
  <c r="C304" i="34"/>
  <c r="K303" i="34"/>
  <c r="C303" i="34"/>
  <c r="K302" i="34"/>
  <c r="C302" i="34"/>
  <c r="C301" i="34"/>
  <c r="K300" i="34"/>
  <c r="C300" i="34"/>
  <c r="K299" i="34"/>
  <c r="C299" i="34"/>
  <c r="C297" i="34"/>
  <c r="K296" i="34"/>
  <c r="C296" i="34"/>
  <c r="K295" i="34"/>
  <c r="C295" i="34"/>
  <c r="C287" i="34"/>
  <c r="K286" i="34"/>
  <c r="C286" i="34"/>
  <c r="C284" i="34"/>
  <c r="K283" i="34"/>
  <c r="C283" i="34"/>
  <c r="C282" i="34"/>
  <c r="K281" i="34"/>
  <c r="C281" i="34"/>
  <c r="C280" i="34"/>
  <c r="K279" i="34"/>
  <c r="C279" i="34"/>
  <c r="K278" i="34"/>
  <c r="C278" i="34"/>
  <c r="C271" i="34"/>
  <c r="K270" i="34"/>
  <c r="C270" i="34"/>
  <c r="K269" i="34"/>
  <c r="C269" i="34"/>
  <c r="K268" i="34"/>
  <c r="C268" i="34"/>
  <c r="C267" i="34"/>
  <c r="K266" i="34"/>
  <c r="C266" i="34"/>
  <c r="K265" i="34"/>
  <c r="C265" i="34"/>
  <c r="C263" i="34"/>
  <c r="K262" i="34"/>
  <c r="C262" i="34"/>
  <c r="K261" i="34"/>
  <c r="C261" i="34"/>
  <c r="C260" i="34"/>
  <c r="K259" i="34"/>
  <c r="C259" i="34"/>
  <c r="C257" i="34"/>
  <c r="K256" i="34"/>
  <c r="C256" i="34"/>
  <c r="C254" i="34"/>
  <c r="K253" i="34"/>
  <c r="C253" i="34"/>
  <c r="C252" i="34"/>
  <c r="K251" i="34"/>
  <c r="C251" i="34"/>
  <c r="C250" i="34"/>
  <c r="K249" i="34"/>
  <c r="C249" i="34"/>
  <c r="C242" i="34"/>
  <c r="K241" i="34"/>
  <c r="C241" i="34"/>
  <c r="C240" i="34"/>
  <c r="K239" i="34"/>
  <c r="C239" i="34"/>
  <c r="C234" i="34"/>
  <c r="K233" i="34"/>
  <c r="C233" i="34"/>
  <c r="K232" i="34"/>
  <c r="C232" i="34"/>
  <c r="K231" i="34"/>
  <c r="C231" i="34"/>
  <c r="K230" i="34"/>
  <c r="C230" i="34"/>
  <c r="K229" i="34"/>
  <c r="C229" i="34"/>
  <c r="C227" i="34"/>
  <c r="K226" i="34"/>
  <c r="C226" i="34"/>
  <c r="C224" i="34"/>
  <c r="K223" i="34"/>
  <c r="C223" i="34"/>
  <c r="K222" i="34"/>
  <c r="C222" i="34"/>
  <c r="C218" i="34"/>
  <c r="K217" i="34"/>
  <c r="C217" i="34"/>
  <c r="C215" i="34"/>
  <c r="K214" i="34"/>
  <c r="C214" i="34"/>
  <c r="C213" i="34"/>
  <c r="K212" i="34"/>
  <c r="C212" i="34"/>
  <c r="C210" i="34"/>
  <c r="K209" i="34"/>
  <c r="C209" i="34"/>
  <c r="K208" i="34"/>
  <c r="C208" i="34"/>
  <c r="C206" i="34"/>
  <c r="K205" i="34"/>
  <c r="C205" i="34"/>
  <c r="C202" i="34"/>
  <c r="K201" i="34"/>
  <c r="C201" i="34"/>
  <c r="K200" i="34"/>
  <c r="C200" i="34"/>
  <c r="K199" i="34"/>
  <c r="C199" i="34"/>
  <c r="C198" i="34"/>
  <c r="K197" i="34"/>
  <c r="C197" i="34"/>
  <c r="C185" i="34"/>
  <c r="K184" i="34"/>
  <c r="C184" i="34"/>
  <c r="C174" i="34"/>
  <c r="K173" i="34"/>
  <c r="C173" i="34"/>
  <c r="C172" i="34"/>
  <c r="K171" i="34"/>
  <c r="C171" i="34"/>
  <c r="C164" i="34"/>
  <c r="K163" i="34"/>
  <c r="C163" i="34"/>
  <c r="C161" i="34"/>
  <c r="K160" i="34"/>
  <c r="C160" i="34"/>
  <c r="C158" i="34"/>
  <c r="K157" i="34"/>
  <c r="C157" i="34"/>
  <c r="K156" i="34"/>
  <c r="C156" i="34"/>
  <c r="C128" i="34"/>
  <c r="K127" i="34"/>
  <c r="C127" i="34"/>
  <c r="C121" i="34"/>
  <c r="K120" i="34"/>
  <c r="C120" i="34"/>
  <c r="K119" i="34"/>
  <c r="C119" i="34"/>
  <c r="K118" i="34"/>
  <c r="C118" i="34"/>
  <c r="K117" i="34"/>
  <c r="C117" i="34"/>
  <c r="C116" i="34"/>
  <c r="K115" i="34"/>
  <c r="C115" i="34"/>
  <c r="K114" i="34"/>
  <c r="C114" i="34"/>
  <c r="C113" i="34"/>
  <c r="K112" i="34"/>
  <c r="C112" i="34"/>
  <c r="C101" i="34"/>
  <c r="K100" i="34"/>
  <c r="C100" i="34"/>
  <c r="C89" i="34"/>
  <c r="K88" i="34"/>
  <c r="C88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K75" i="34"/>
  <c r="C75" i="34"/>
  <c r="C70" i="34"/>
  <c r="K69" i="34"/>
  <c r="C69" i="34"/>
  <c r="C61" i="34"/>
  <c r="K60" i="34"/>
  <c r="C60" i="34"/>
  <c r="K59" i="34"/>
  <c r="C59" i="34"/>
  <c r="C32" i="34"/>
  <c r="K31" i="34"/>
  <c r="C31" i="34"/>
  <c r="K30" i="34"/>
  <c r="C30" i="34"/>
  <c r="C1056" i="34"/>
  <c r="K1055" i="34"/>
  <c r="C1055" i="34"/>
  <c r="C1045" i="34"/>
  <c r="K1044" i="34"/>
  <c r="C1044" i="34"/>
  <c r="C1033" i="34"/>
  <c r="K1032" i="34"/>
  <c r="C1032" i="34"/>
  <c r="C1016" i="34"/>
  <c r="K1015" i="34"/>
  <c r="C1015" i="34"/>
  <c r="C1010" i="34"/>
  <c r="K1009" i="34"/>
  <c r="C1009" i="34"/>
  <c r="C1002" i="34"/>
  <c r="K1001" i="34"/>
  <c r="C1001" i="34"/>
  <c r="C902" i="34"/>
  <c r="K901" i="34"/>
  <c r="C901" i="34"/>
  <c r="C884" i="34"/>
  <c r="K883" i="34"/>
  <c r="C883" i="34"/>
  <c r="K882" i="34"/>
  <c r="C882" i="34"/>
  <c r="C877" i="34"/>
  <c r="K876" i="34"/>
  <c r="C876" i="34"/>
  <c r="C857" i="34"/>
  <c r="K856" i="34"/>
  <c r="C856" i="34"/>
  <c r="K855" i="34"/>
  <c r="C855" i="34"/>
  <c r="C848" i="34"/>
  <c r="K847" i="34"/>
  <c r="C847" i="34"/>
  <c r="K846" i="34"/>
  <c r="C846" i="34"/>
  <c r="K845" i="34"/>
  <c r="C845" i="34"/>
  <c r="C842" i="34"/>
  <c r="K841" i="34"/>
  <c r="C841" i="34"/>
  <c r="K840" i="34"/>
  <c r="C840" i="34"/>
  <c r="C835" i="34"/>
  <c r="K834" i="34"/>
  <c r="C834" i="34"/>
  <c r="C829" i="34"/>
  <c r="K828" i="34"/>
  <c r="C828" i="34"/>
  <c r="C826" i="34"/>
  <c r="K825" i="34"/>
  <c r="C825" i="34"/>
  <c r="C816" i="34"/>
  <c r="K815" i="34"/>
  <c r="K817" i="34" s="1"/>
  <c r="C815" i="34"/>
  <c r="C761" i="34"/>
  <c r="B761" i="34" s="1"/>
  <c r="K760" i="34"/>
  <c r="C760" i="34"/>
  <c r="B760" i="34" s="1"/>
  <c r="C611" i="34"/>
  <c r="B611" i="34" s="1"/>
  <c r="K610" i="34"/>
  <c r="C610" i="34"/>
  <c r="B610" i="34" s="1"/>
  <c r="C596" i="34"/>
  <c r="B596" i="34" s="1"/>
  <c r="K595" i="34"/>
  <c r="C595" i="34"/>
  <c r="B595" i="34" s="1"/>
  <c r="C590" i="34"/>
  <c r="B590" i="34" s="1"/>
  <c r="K589" i="34"/>
  <c r="C589" i="34"/>
  <c r="B589" i="34" s="1"/>
  <c r="C582" i="34"/>
  <c r="B582" i="34" s="1"/>
  <c r="K581" i="34"/>
  <c r="K583" i="34" s="1"/>
  <c r="C581" i="34"/>
  <c r="B581" i="34" s="1"/>
  <c r="C528" i="34"/>
  <c r="B528" i="34" s="1"/>
  <c r="K527" i="34"/>
  <c r="C527" i="34"/>
  <c r="B527" i="34" s="1"/>
  <c r="C399" i="34"/>
  <c r="B399" i="34" s="1"/>
  <c r="K398" i="34"/>
  <c r="C398" i="34"/>
  <c r="B398" i="34" s="1"/>
  <c r="K397" i="34"/>
  <c r="C397" i="34"/>
  <c r="B397" i="34" s="1"/>
  <c r="C395" i="34"/>
  <c r="B395" i="34" s="1"/>
  <c r="K394" i="34"/>
  <c r="C394" i="34"/>
  <c r="B394" i="34" s="1"/>
  <c r="K393" i="34"/>
  <c r="C393" i="34"/>
  <c r="B393" i="34" s="1"/>
  <c r="C355" i="34"/>
  <c r="B355" i="34" s="1"/>
  <c r="K354" i="34"/>
  <c r="C354" i="34"/>
  <c r="B354" i="34" s="1"/>
  <c r="K353" i="34"/>
  <c r="C353" i="34"/>
  <c r="B353" i="34" s="1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C331" i="34"/>
  <c r="B331" i="34" s="1"/>
  <c r="K330" i="34"/>
  <c r="C330" i="34"/>
  <c r="B330" i="34" s="1"/>
  <c r="C323" i="34"/>
  <c r="B32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C293" i="34"/>
  <c r="B293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C276" i="34"/>
  <c r="B276" i="34" s="1"/>
  <c r="K275" i="34"/>
  <c r="C275" i="34"/>
  <c r="B275" i="34" s="1"/>
  <c r="K274" i="34"/>
  <c r="C274" i="34"/>
  <c r="B274" i="34" s="1"/>
  <c r="K273" i="34"/>
  <c r="C273" i="34"/>
  <c r="B273" i="34" s="1"/>
  <c r="C166" i="34"/>
  <c r="B166" i="34" s="1"/>
  <c r="K165" i="34"/>
  <c r="C165" i="34"/>
  <c r="B165" i="34" s="1"/>
  <c r="C154" i="34"/>
  <c r="B154" i="34" s="1"/>
  <c r="K153" i="34"/>
  <c r="C153" i="34"/>
  <c r="B153" i="34" s="1"/>
  <c r="K152" i="34"/>
  <c r="C152" i="34"/>
  <c r="B152" i="34" s="1"/>
  <c r="C150" i="34"/>
  <c r="B150" i="34" s="1"/>
  <c r="K149" i="34"/>
  <c r="C149" i="34"/>
  <c r="B149" i="34" s="1"/>
  <c r="C144" i="34"/>
  <c r="B144" i="34" s="1"/>
  <c r="K143" i="34"/>
  <c r="C143" i="34"/>
  <c r="B143" i="34" s="1"/>
  <c r="K142" i="34"/>
  <c r="C142" i="34"/>
  <c r="B142" i="34" s="1"/>
  <c r="K141" i="34"/>
  <c r="C141" i="34"/>
  <c r="B141" i="34" s="1"/>
  <c r="K140" i="34"/>
  <c r="C140" i="34"/>
  <c r="B140" i="34" s="1"/>
  <c r="C132" i="34"/>
  <c r="B132" i="34" s="1"/>
  <c r="K131" i="34"/>
  <c r="C131" i="34"/>
  <c r="B131" i="34" s="1"/>
  <c r="K130" i="34"/>
  <c r="C130" i="34"/>
  <c r="B130" i="34" s="1"/>
  <c r="C125" i="34"/>
  <c r="B125" i="34" s="1"/>
  <c r="K124" i="34"/>
  <c r="C124" i="34"/>
  <c r="B124" i="34" s="1"/>
  <c r="K123" i="34"/>
  <c r="C123" i="34"/>
  <c r="B123" i="34" s="1"/>
  <c r="C110" i="34"/>
  <c r="B110" i="34" s="1"/>
  <c r="K109" i="34"/>
  <c r="C109" i="34"/>
  <c r="B109" i="34" s="1"/>
  <c r="K108" i="34"/>
  <c r="C108" i="34"/>
  <c r="B108" i="34" s="1"/>
  <c r="C106" i="34"/>
  <c r="B106" i="34" s="1"/>
  <c r="K105" i="34"/>
  <c r="C105" i="34"/>
  <c r="B105" i="34" s="1"/>
  <c r="K104" i="34"/>
  <c r="C104" i="34"/>
  <c r="B104" i="34" s="1"/>
  <c r="K103" i="34"/>
  <c r="C103" i="34"/>
  <c r="B103" i="34" s="1"/>
  <c r="K102" i="34"/>
  <c r="C102" i="34"/>
  <c r="B102" i="34" s="1"/>
  <c r="C98" i="34"/>
  <c r="B98" i="34" s="1"/>
  <c r="K97" i="34"/>
  <c r="C97" i="34"/>
  <c r="B97" i="34" s="1"/>
  <c r="K96" i="34"/>
  <c r="C96" i="34"/>
  <c r="B96" i="34" s="1"/>
  <c r="K95" i="34"/>
  <c r="C95" i="34"/>
  <c r="B95" i="34" s="1"/>
  <c r="K94" i="34"/>
  <c r="C94" i="34"/>
  <c r="B94" i="34" s="1"/>
  <c r="K93" i="34"/>
  <c r="C93" i="34"/>
  <c r="B93" i="34" s="1"/>
  <c r="K92" i="34"/>
  <c r="C92" i="34"/>
  <c r="B92" i="34" s="1"/>
  <c r="K91" i="34"/>
  <c r="C91" i="34"/>
  <c r="B91" i="34" s="1"/>
  <c r="C86" i="34"/>
  <c r="B86" i="34" s="1"/>
  <c r="K85" i="34"/>
  <c r="C85" i="34"/>
  <c r="B85" i="34" s="1"/>
  <c r="K84" i="34"/>
  <c r="C84" i="34"/>
  <c r="B84" i="34" s="1"/>
  <c r="K83" i="34"/>
  <c r="C83" i="34"/>
  <c r="B83" i="34" s="1"/>
  <c r="C73" i="34"/>
  <c r="B73" i="34" s="1"/>
  <c r="K72" i="34"/>
  <c r="C72" i="34"/>
  <c r="B72" i="34" s="1"/>
  <c r="K71" i="34"/>
  <c r="C71" i="34"/>
  <c r="B71" i="34" s="1"/>
  <c r="C67" i="34"/>
  <c r="B67" i="34" s="1"/>
  <c r="K66" i="34"/>
  <c r="C66" i="34"/>
  <c r="B66" i="34" s="1"/>
  <c r="K65" i="34"/>
  <c r="C65" i="34"/>
  <c r="B65" i="34" s="1"/>
  <c r="K64" i="34"/>
  <c r="C64" i="34"/>
  <c r="B64" i="34" s="1"/>
  <c r="C57" i="34"/>
  <c r="B57" i="34" s="1"/>
  <c r="K56" i="34"/>
  <c r="C56" i="34"/>
  <c r="B56" i="34" s="1"/>
  <c r="K55" i="34"/>
  <c r="C55" i="34"/>
  <c r="B55" i="34" s="1"/>
  <c r="K54" i="34"/>
  <c r="C54" i="34"/>
  <c r="B54" i="34" s="1"/>
  <c r="C52" i="34"/>
  <c r="B52" i="34" s="1"/>
  <c r="K51" i="34"/>
  <c r="C51" i="34"/>
  <c r="B51" i="34" s="1"/>
  <c r="K50" i="34"/>
  <c r="C50" i="34"/>
  <c r="B50" i="34" s="1"/>
  <c r="K49" i="34"/>
  <c r="C49" i="34"/>
  <c r="B49" i="34" s="1"/>
  <c r="K48" i="34"/>
  <c r="C48" i="34"/>
  <c r="B48" i="34" s="1"/>
  <c r="K47" i="34"/>
  <c r="C47" i="34"/>
  <c r="B47" i="34" s="1"/>
  <c r="C41" i="34"/>
  <c r="B41" i="34" s="1"/>
  <c r="K40" i="34"/>
  <c r="C40" i="34"/>
  <c r="B40" i="34" s="1"/>
  <c r="C39" i="34"/>
  <c r="B39" i="34" s="1"/>
  <c r="K38" i="34"/>
  <c r="C38" i="34"/>
  <c r="B38" i="34" s="1"/>
  <c r="K37" i="34"/>
  <c r="C37" i="34"/>
  <c r="B37" i="34" s="1"/>
  <c r="C28" i="34"/>
  <c r="B28" i="34" s="1"/>
  <c r="K27" i="34"/>
  <c r="C27" i="34"/>
  <c r="B27" i="34" s="1"/>
  <c r="K26" i="34"/>
  <c r="C26" i="34"/>
  <c r="B26" i="34" s="1"/>
  <c r="K25" i="34"/>
  <c r="C25" i="34"/>
  <c r="B25" i="34" s="1"/>
  <c r="C1073" i="34"/>
  <c r="B1073" i="34" s="1"/>
  <c r="C1072" i="34"/>
  <c r="B1072" i="34" s="1"/>
  <c r="C1071" i="34"/>
  <c r="B1071" i="34" s="1"/>
  <c r="C1051" i="34"/>
  <c r="B1051" i="34" s="1"/>
  <c r="C1050" i="34"/>
  <c r="B1050" i="34" s="1"/>
  <c r="C1026" i="34"/>
  <c r="B1026" i="34" s="1"/>
  <c r="C1025" i="34"/>
  <c r="B1025" i="34" s="1"/>
  <c r="C1023" i="34"/>
  <c r="B1023" i="34" s="1"/>
  <c r="K1022" i="34"/>
  <c r="C1022" i="34"/>
  <c r="B1022" i="34" s="1"/>
  <c r="C1021" i="34"/>
  <c r="B1021" i="34" s="1"/>
  <c r="C1020" i="34"/>
  <c r="B1020" i="34" s="1"/>
  <c r="C1014" i="34"/>
  <c r="B1014" i="34" s="1"/>
  <c r="C1006" i="34"/>
  <c r="B1006" i="34" s="1"/>
  <c r="C1005" i="34"/>
  <c r="B1005" i="34" s="1"/>
  <c r="C1004" i="34"/>
  <c r="B1004" i="34" s="1"/>
  <c r="C1000" i="34"/>
  <c r="B1000" i="34" s="1"/>
  <c r="C999" i="34"/>
  <c r="B999" i="34" s="1"/>
  <c r="C998" i="34"/>
  <c r="B998" i="34" s="1"/>
  <c r="C995" i="34"/>
  <c r="B995" i="34" s="1"/>
  <c r="C994" i="34"/>
  <c r="B994" i="34" s="1"/>
  <c r="C993" i="34"/>
  <c r="B993" i="34" s="1"/>
  <c r="C989" i="34"/>
  <c r="B989" i="34" s="1"/>
  <c r="C988" i="34"/>
  <c r="B988" i="34" s="1"/>
  <c r="K987" i="34"/>
  <c r="C987" i="34"/>
  <c r="B987" i="34" s="1"/>
  <c r="C986" i="34"/>
  <c r="B986" i="34" s="1"/>
  <c r="C985" i="34"/>
  <c r="B985" i="34" s="1"/>
  <c r="C971" i="34"/>
  <c r="B971" i="34" s="1"/>
  <c r="K970" i="34"/>
  <c r="C970" i="34"/>
  <c r="B970" i="34" s="1"/>
  <c r="C969" i="34"/>
  <c r="B969" i="34" s="1"/>
  <c r="C968" i="34"/>
  <c r="B968" i="34" s="1"/>
  <c r="C967" i="34"/>
  <c r="B967" i="34" s="1"/>
  <c r="C959" i="34"/>
  <c r="B959" i="34" s="1"/>
  <c r="C953" i="34"/>
  <c r="B953" i="34" s="1"/>
  <c r="C952" i="34"/>
  <c r="B952" i="34" s="1"/>
  <c r="C951" i="34"/>
  <c r="B951" i="34" s="1"/>
  <c r="C947" i="34"/>
  <c r="B947" i="34" s="1"/>
  <c r="C946" i="34"/>
  <c r="B946" i="34" s="1"/>
  <c r="C945" i="34"/>
  <c r="B945" i="34" s="1"/>
  <c r="C940" i="34"/>
  <c r="B940" i="34" s="1"/>
  <c r="C919" i="34"/>
  <c r="B919" i="34" s="1"/>
  <c r="C916" i="34"/>
  <c r="B916" i="34" s="1"/>
  <c r="C915" i="34"/>
  <c r="B915" i="34" s="1"/>
  <c r="K914" i="34"/>
  <c r="C914" i="34"/>
  <c r="B914" i="34" s="1"/>
  <c r="K913" i="34"/>
  <c r="C913" i="34"/>
  <c r="B913" i="34" s="1"/>
  <c r="C912" i="34"/>
  <c r="B912" i="34" s="1"/>
  <c r="C911" i="34"/>
  <c r="B91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1" i="34"/>
  <c r="B891" i="34" s="1"/>
  <c r="C890" i="34"/>
  <c r="B890" i="34" s="1"/>
  <c r="C881" i="34"/>
  <c r="B881" i="34" s="1"/>
  <c r="C880" i="34"/>
  <c r="B880" i="34" s="1"/>
  <c r="C879" i="34"/>
  <c r="B879" i="34" s="1"/>
  <c r="C875" i="34"/>
  <c r="B875" i="34" s="1"/>
  <c r="C874" i="34"/>
  <c r="B874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4" i="34"/>
  <c r="B844" i="34" s="1"/>
  <c r="C839" i="34"/>
  <c r="B839" i="34" s="1"/>
  <c r="C838" i="34"/>
  <c r="B838" i="34" s="1"/>
  <c r="C837" i="34"/>
  <c r="B837" i="34" s="1"/>
  <c r="C824" i="34"/>
  <c r="B824" i="34" s="1"/>
  <c r="C814" i="34"/>
  <c r="B814" i="34" s="1"/>
  <c r="C765" i="34"/>
  <c r="B765" i="34" s="1"/>
  <c r="C764" i="34"/>
  <c r="B764" i="34" s="1"/>
  <c r="C763" i="34"/>
  <c r="B763" i="34" s="1"/>
  <c r="C757" i="34"/>
  <c r="B757" i="34" s="1"/>
  <c r="C756" i="34"/>
  <c r="B756" i="34" s="1"/>
  <c r="C752" i="34"/>
  <c r="B752" i="34" s="1"/>
  <c r="C751" i="34"/>
  <c r="B751" i="34" s="1"/>
  <c r="C750" i="34"/>
  <c r="B750" i="34" s="1"/>
  <c r="C749" i="34"/>
  <c r="B749" i="34" s="1"/>
  <c r="C743" i="34"/>
  <c r="B743" i="34" s="1"/>
  <c r="K736" i="34"/>
  <c r="C736" i="34"/>
  <c r="B736" i="34" s="1"/>
  <c r="K735" i="34"/>
  <c r="C735" i="34"/>
  <c r="B735" i="34" s="1"/>
  <c r="C712" i="34"/>
  <c r="B712" i="34" s="1"/>
  <c r="C711" i="34"/>
  <c r="B711" i="34" s="1"/>
  <c r="C710" i="34"/>
  <c r="B710" i="34" s="1"/>
  <c r="C706" i="34"/>
  <c r="B706" i="34" s="1"/>
  <c r="C705" i="34"/>
  <c r="B705" i="34" s="1"/>
  <c r="C702" i="34"/>
  <c r="B702" i="34" s="1"/>
  <c r="C701" i="34"/>
  <c r="B701" i="34" s="1"/>
  <c r="C698" i="34"/>
  <c r="B698" i="34" s="1"/>
  <c r="C697" i="34"/>
  <c r="B697" i="34" s="1"/>
  <c r="C696" i="34"/>
  <c r="B696" i="34" s="1"/>
  <c r="C686" i="34"/>
  <c r="B686" i="34" s="1"/>
  <c r="C685" i="34"/>
  <c r="B685" i="34" s="1"/>
  <c r="C679" i="34"/>
  <c r="B679" i="34" s="1"/>
  <c r="C676" i="34"/>
  <c r="B676" i="34" s="1"/>
  <c r="C672" i="34"/>
  <c r="B672" i="34" s="1"/>
  <c r="C671" i="34"/>
  <c r="B671" i="34" s="1"/>
  <c r="C670" i="34"/>
  <c r="B670" i="34" s="1"/>
  <c r="C667" i="34"/>
  <c r="B667" i="34" s="1"/>
  <c r="C663" i="34"/>
  <c r="B663" i="34" s="1"/>
  <c r="C662" i="34"/>
  <c r="B662" i="34" s="1"/>
  <c r="C652" i="34"/>
  <c r="B652" i="34" s="1"/>
  <c r="K646" i="34"/>
  <c r="C646" i="34"/>
  <c r="B646" i="34" s="1"/>
  <c r="K645" i="34"/>
  <c r="C645" i="34"/>
  <c r="B645" i="34" s="1"/>
  <c r="C643" i="34"/>
  <c r="B643" i="34" s="1"/>
  <c r="C634" i="34"/>
  <c r="B634" i="34" s="1"/>
  <c r="C623" i="34"/>
  <c r="B623" i="34" s="1"/>
  <c r="C617" i="34"/>
  <c r="B617" i="34" s="1"/>
  <c r="C616" i="34"/>
  <c r="B616" i="34" s="1"/>
  <c r="C615" i="34"/>
  <c r="B615" i="34" s="1"/>
  <c r="C614" i="34"/>
  <c r="B614" i="34" s="1"/>
  <c r="C606" i="34"/>
  <c r="B606" i="34" s="1"/>
  <c r="C605" i="34"/>
  <c r="B605" i="34" s="1"/>
  <c r="C588" i="34"/>
  <c r="B588" i="34" s="1"/>
  <c r="C580" i="34"/>
  <c r="B580" i="34" s="1"/>
  <c r="C579" i="34"/>
  <c r="B579" i="34" s="1"/>
  <c r="C578" i="34"/>
  <c r="B578" i="34" s="1"/>
  <c r="C576" i="34"/>
  <c r="B576" i="34" s="1"/>
  <c r="C573" i="34"/>
  <c r="B573" i="34" s="1"/>
  <c r="C572" i="34"/>
  <c r="B572" i="34" s="1"/>
  <c r="C565" i="34"/>
  <c r="B565" i="34" s="1"/>
  <c r="C558" i="34"/>
  <c r="B558" i="34" s="1"/>
  <c r="C557" i="34"/>
  <c r="B557" i="34" s="1"/>
  <c r="C552" i="34"/>
  <c r="B552" i="34" s="1"/>
  <c r="C551" i="34"/>
  <c r="B551" i="34" s="1"/>
  <c r="C550" i="34"/>
  <c r="B550" i="34" s="1"/>
  <c r="C549" i="34"/>
  <c r="B549" i="34" s="1"/>
  <c r="C540" i="34"/>
  <c r="B540" i="34" s="1"/>
  <c r="C523" i="34"/>
  <c r="B523" i="34" s="1"/>
  <c r="C517" i="34"/>
  <c r="B517" i="34" s="1"/>
  <c r="C516" i="34"/>
  <c r="B516" i="34" s="1"/>
  <c r="C515" i="34"/>
  <c r="B515" i="34" s="1"/>
  <c r="C509" i="34"/>
  <c r="B509" i="34" s="1"/>
  <c r="C508" i="34"/>
  <c r="B508" i="34" s="1"/>
  <c r="C507" i="34"/>
  <c r="B507" i="34" s="1"/>
  <c r="C506" i="34"/>
  <c r="B506" i="34" s="1"/>
  <c r="C501" i="34"/>
  <c r="B501" i="34" s="1"/>
  <c r="C500" i="34"/>
  <c r="B500" i="34" s="1"/>
  <c r="C499" i="34"/>
  <c r="B499" i="34" s="1"/>
  <c r="C484" i="34"/>
  <c r="B484" i="34" s="1"/>
  <c r="C483" i="34"/>
  <c r="B483" i="34" s="1"/>
  <c r="K482" i="34"/>
  <c r="C482" i="34"/>
  <c r="B482" i="34" s="1"/>
  <c r="K481" i="34"/>
  <c r="C481" i="34"/>
  <c r="B481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0" i="34"/>
  <c r="B450" i="34" s="1"/>
  <c r="C438" i="34"/>
  <c r="B438" i="34" s="1"/>
  <c r="C432" i="34"/>
  <c r="B432" i="34" s="1"/>
  <c r="C431" i="34"/>
  <c r="B431" i="34" s="1"/>
  <c r="C406" i="34"/>
  <c r="B406" i="34" s="1"/>
  <c r="C405" i="34"/>
  <c r="B405" i="34" s="1"/>
  <c r="C404" i="34"/>
  <c r="B404" i="34" s="1"/>
  <c r="C392" i="34"/>
  <c r="B392" i="34" s="1"/>
  <c r="C391" i="34"/>
  <c r="B391" i="34" s="1"/>
  <c r="C381" i="34"/>
  <c r="B381" i="34" s="1"/>
  <c r="C380" i="34"/>
  <c r="B380" i="34" s="1"/>
  <c r="C377" i="34"/>
  <c r="B377" i="34" s="1"/>
  <c r="C376" i="34"/>
  <c r="B376" i="34" s="1"/>
  <c r="C375" i="34"/>
  <c r="B375" i="34" s="1"/>
  <c r="C374" i="34"/>
  <c r="B374" i="34" s="1"/>
  <c r="C365" i="34"/>
  <c r="B365" i="34" s="1"/>
  <c r="C352" i="34"/>
  <c r="B352" i="34" s="1"/>
  <c r="C351" i="34"/>
  <c r="B351" i="34" s="1"/>
  <c r="C350" i="34"/>
  <c r="B350" i="34" s="1"/>
  <c r="C340" i="34"/>
  <c r="B340" i="34" s="1"/>
  <c r="C339" i="34"/>
  <c r="B339" i="34" s="1"/>
  <c r="C334" i="34"/>
  <c r="B334" i="34" s="1"/>
  <c r="C333" i="34"/>
  <c r="B333" i="34" s="1"/>
  <c r="C329" i="34"/>
  <c r="B329" i="34" s="1"/>
  <c r="C328" i="34"/>
  <c r="B328" i="34" s="1"/>
  <c r="C312" i="34"/>
  <c r="B312" i="34" s="1"/>
  <c r="C311" i="34"/>
  <c r="B311" i="34" s="1"/>
  <c r="C310" i="34"/>
  <c r="B310" i="34" s="1"/>
  <c r="C309" i="34"/>
  <c r="B309" i="34" s="1"/>
  <c r="C306" i="34"/>
  <c r="B306" i="34" s="1"/>
  <c r="C305" i="34"/>
  <c r="B305" i="34" s="1"/>
  <c r="C298" i="34"/>
  <c r="B298" i="34" s="1"/>
  <c r="C248" i="34"/>
  <c r="B248" i="34" s="1"/>
  <c r="C247" i="34"/>
  <c r="B247" i="34" s="1"/>
  <c r="C246" i="34"/>
  <c r="B246" i="34" s="1"/>
  <c r="C238" i="34"/>
  <c r="B238" i="34" s="1"/>
  <c r="C237" i="34"/>
  <c r="B237" i="34" s="1"/>
  <c r="C236" i="34"/>
  <c r="B236" i="34" s="1"/>
  <c r="C235" i="34"/>
  <c r="B235" i="34" s="1"/>
  <c r="C221" i="34"/>
  <c r="B221" i="34" s="1"/>
  <c r="C220" i="34"/>
  <c r="B220" i="34" s="1"/>
  <c r="C219" i="34"/>
  <c r="B219" i="34" s="1"/>
  <c r="C204" i="34"/>
  <c r="B204" i="34" s="1"/>
  <c r="C203" i="34"/>
  <c r="B203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87" i="34"/>
  <c r="B187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48" i="34"/>
  <c r="B148" i="34" s="1"/>
  <c r="C147" i="34"/>
  <c r="B147" i="34" s="1"/>
  <c r="C146" i="34"/>
  <c r="B146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22" i="34"/>
  <c r="B122" i="34" s="1"/>
  <c r="C90" i="34"/>
  <c r="B90" i="34" s="1"/>
  <c r="C63" i="34"/>
  <c r="B63" i="34" s="1"/>
  <c r="C46" i="34"/>
  <c r="B46" i="34" s="1"/>
  <c r="C45" i="34"/>
  <c r="B45" i="34" s="1"/>
  <c r="C44" i="34"/>
  <c r="B44" i="34" s="1"/>
  <c r="K43" i="34"/>
  <c r="C43" i="34"/>
  <c r="B43" i="34" s="1"/>
  <c r="C36" i="34"/>
  <c r="B36" i="34" s="1"/>
  <c r="C35" i="34"/>
  <c r="B35" i="34" s="1"/>
  <c r="C34" i="34"/>
  <c r="B34" i="34" s="1"/>
  <c r="C33" i="34"/>
  <c r="B33" i="34" s="1"/>
  <c r="K21" i="34"/>
  <c r="A36" i="34" l="1"/>
  <c r="R36" i="34"/>
  <c r="S36" i="34"/>
  <c r="T36" i="34"/>
  <c r="Y36" i="34"/>
  <c r="V36" i="34"/>
  <c r="A45" i="34"/>
  <c r="Y45" i="34"/>
  <c r="V45" i="34"/>
  <c r="A122" i="34"/>
  <c r="R122" i="34"/>
  <c r="T122" i="34"/>
  <c r="Y122" i="34"/>
  <c r="V122" i="34"/>
  <c r="S122" i="34"/>
  <c r="A137" i="34"/>
  <c r="V137" i="34"/>
  <c r="R137" i="34"/>
  <c r="S137" i="34"/>
  <c r="T137" i="34"/>
  <c r="Y137" i="34"/>
  <c r="A147" i="34"/>
  <c r="Y147" i="34"/>
  <c r="V147" i="34"/>
  <c r="A178" i="34"/>
  <c r="S178" i="34"/>
  <c r="T178" i="34"/>
  <c r="Y178" i="34"/>
  <c r="V178" i="34"/>
  <c r="R178" i="34"/>
  <c r="A182" i="34"/>
  <c r="S182" i="34"/>
  <c r="T182" i="34"/>
  <c r="Y182" i="34"/>
  <c r="V182" i="34"/>
  <c r="R182" i="34"/>
  <c r="A192" i="34"/>
  <c r="R192" i="34"/>
  <c r="S192" i="34"/>
  <c r="T192" i="34"/>
  <c r="Y192" i="34"/>
  <c r="V192" i="34"/>
  <c r="A196" i="34"/>
  <c r="R196" i="34"/>
  <c r="S196" i="34"/>
  <c r="T196" i="34"/>
  <c r="Y196" i="34"/>
  <c r="V196" i="34"/>
  <c r="A220" i="34"/>
  <c r="V220" i="34"/>
  <c r="Y220" i="34"/>
  <c r="A237" i="34"/>
  <c r="Y237" i="34"/>
  <c r="V237" i="34"/>
  <c r="A248" i="34"/>
  <c r="T248" i="34"/>
  <c r="Y248" i="34"/>
  <c r="R248" i="34"/>
  <c r="S248" i="34"/>
  <c r="V248" i="34"/>
  <c r="A309" i="34"/>
  <c r="R309" i="34"/>
  <c r="S309" i="34"/>
  <c r="T309" i="34"/>
  <c r="Y309" i="34"/>
  <c r="V309" i="34"/>
  <c r="A328" i="34"/>
  <c r="V328" i="34"/>
  <c r="R328" i="34"/>
  <c r="S328" i="34"/>
  <c r="T328" i="34"/>
  <c r="Y328" i="34"/>
  <c r="A339" i="34"/>
  <c r="Y339" i="34"/>
  <c r="V339" i="34"/>
  <c r="A352" i="34"/>
  <c r="Y352" i="34"/>
  <c r="V352" i="34"/>
  <c r="A376" i="34"/>
  <c r="R376" i="34"/>
  <c r="S376" i="34"/>
  <c r="T376" i="34"/>
  <c r="Y376" i="34"/>
  <c r="V376" i="34"/>
  <c r="A391" i="34"/>
  <c r="R391" i="34"/>
  <c r="S391" i="34"/>
  <c r="T391" i="34"/>
  <c r="Y391" i="34"/>
  <c r="V391" i="34"/>
  <c r="A406" i="34"/>
  <c r="V406" i="34"/>
  <c r="Y406" i="34"/>
  <c r="A450" i="34"/>
  <c r="T450" i="34"/>
  <c r="Y450" i="34"/>
  <c r="V450" i="34"/>
  <c r="R450" i="34"/>
  <c r="S450" i="34"/>
  <c r="A456" i="34"/>
  <c r="S456" i="34"/>
  <c r="T456" i="34"/>
  <c r="Y456" i="34"/>
  <c r="V456" i="34"/>
  <c r="R456" i="34"/>
  <c r="A484" i="34"/>
  <c r="Y484" i="34"/>
  <c r="V484" i="34"/>
  <c r="A506" i="34"/>
  <c r="R506" i="34"/>
  <c r="S506" i="34"/>
  <c r="T506" i="34"/>
  <c r="Y506" i="34"/>
  <c r="V506" i="34"/>
  <c r="A515" i="34"/>
  <c r="S515" i="34"/>
  <c r="T515" i="34"/>
  <c r="Y515" i="34"/>
  <c r="V515" i="34"/>
  <c r="R515" i="34"/>
  <c r="A540" i="34"/>
  <c r="R540" i="34"/>
  <c r="S540" i="34"/>
  <c r="T540" i="34"/>
  <c r="Y540" i="34"/>
  <c r="V540" i="34"/>
  <c r="A552" i="34"/>
  <c r="Y552" i="34"/>
  <c r="V552" i="34"/>
  <c r="A572" i="34"/>
  <c r="S572" i="34"/>
  <c r="T572" i="34"/>
  <c r="Y572" i="34"/>
  <c r="V572" i="34"/>
  <c r="R572" i="34"/>
  <c r="A579" i="34"/>
  <c r="R579" i="34"/>
  <c r="S579" i="34"/>
  <c r="T579" i="34"/>
  <c r="Y579" i="34"/>
  <c r="V579" i="34"/>
  <c r="A606" i="34"/>
  <c r="V606" i="34"/>
  <c r="R606" i="34"/>
  <c r="S606" i="34"/>
  <c r="T606" i="34"/>
  <c r="Y606" i="34"/>
  <c r="A617" i="34"/>
  <c r="T617" i="34"/>
  <c r="Y617" i="34"/>
  <c r="V617" i="34"/>
  <c r="R617" i="34"/>
  <c r="S617" i="34"/>
  <c r="A645" i="34"/>
  <c r="Y645" i="34"/>
  <c r="V645" i="34"/>
  <c r="A652" i="34"/>
  <c r="S652" i="34"/>
  <c r="T652" i="34"/>
  <c r="Y652" i="34"/>
  <c r="V652" i="34"/>
  <c r="R652" i="34"/>
  <c r="A670" i="34"/>
  <c r="S670" i="34"/>
  <c r="T670" i="34"/>
  <c r="Y670" i="34"/>
  <c r="V670" i="34"/>
  <c r="R670" i="34"/>
  <c r="A679" i="34"/>
  <c r="T679" i="34"/>
  <c r="Y679" i="34"/>
  <c r="V679" i="34"/>
  <c r="R679" i="34"/>
  <c r="S679" i="34"/>
  <c r="A697" i="34"/>
  <c r="S697" i="34"/>
  <c r="T697" i="34"/>
  <c r="Y697" i="34"/>
  <c r="V697" i="34"/>
  <c r="R697" i="34"/>
  <c r="A705" i="34"/>
  <c r="V705" i="34"/>
  <c r="Y705" i="34"/>
  <c r="A712" i="34"/>
  <c r="Y712" i="34"/>
  <c r="V712" i="34"/>
  <c r="A751" i="34"/>
  <c r="S751" i="34"/>
  <c r="T751" i="34"/>
  <c r="Y751" i="34"/>
  <c r="V751" i="34"/>
  <c r="R751" i="34"/>
  <c r="A763" i="34"/>
  <c r="S763" i="34"/>
  <c r="T763" i="34"/>
  <c r="Y763" i="34"/>
  <c r="V763" i="34"/>
  <c r="R763" i="34"/>
  <c r="A824" i="34"/>
  <c r="V824" i="34"/>
  <c r="R824" i="34"/>
  <c r="S824" i="34"/>
  <c r="T824" i="34"/>
  <c r="Y824" i="34"/>
  <c r="A844" i="34"/>
  <c r="V844" i="34"/>
  <c r="R844" i="34"/>
  <c r="S844" i="34"/>
  <c r="T844" i="34"/>
  <c r="Y844" i="34"/>
  <c r="A853" i="34"/>
  <c r="Y853" i="34"/>
  <c r="V853" i="34"/>
  <c r="A879" i="34"/>
  <c r="Y879" i="34"/>
  <c r="V879" i="34"/>
  <c r="A891" i="34"/>
  <c r="T891" i="34"/>
  <c r="Y891" i="34"/>
  <c r="V891" i="34"/>
  <c r="R891" i="34"/>
  <c r="S891" i="34"/>
  <c r="A899" i="34"/>
  <c r="T899" i="34"/>
  <c r="Y899" i="34"/>
  <c r="V899" i="34"/>
  <c r="R899" i="34"/>
  <c r="S899" i="34"/>
  <c r="A913" i="34"/>
  <c r="Y913" i="34"/>
  <c r="V913" i="34"/>
  <c r="A915" i="34"/>
  <c r="V915" i="34"/>
  <c r="Y915" i="34"/>
  <c r="A945" i="34"/>
  <c r="Y945" i="34"/>
  <c r="V945" i="34"/>
  <c r="A952" i="34"/>
  <c r="V952" i="34"/>
  <c r="Y952" i="34"/>
  <c r="A968" i="34"/>
  <c r="Y968" i="34"/>
  <c r="V968" i="34"/>
  <c r="A971" i="34"/>
  <c r="V971" i="34"/>
  <c r="Y971" i="34"/>
  <c r="A994" i="34"/>
  <c r="V994" i="34"/>
  <c r="Y994" i="34"/>
  <c r="A1000" i="34"/>
  <c r="S1000" i="34"/>
  <c r="T1000" i="34"/>
  <c r="Y1000" i="34"/>
  <c r="V1000" i="34"/>
  <c r="R1000" i="34"/>
  <c r="A1014" i="34"/>
  <c r="R1014" i="34"/>
  <c r="S1014" i="34"/>
  <c r="T1014" i="34"/>
  <c r="Y1014" i="34"/>
  <c r="V1014" i="34"/>
  <c r="A1050" i="34"/>
  <c r="R1050" i="34"/>
  <c r="S1050" i="34"/>
  <c r="T1050" i="34"/>
  <c r="Y1050" i="34"/>
  <c r="V1050" i="34"/>
  <c r="A1073" i="34"/>
  <c r="V1073" i="34"/>
  <c r="Y1073" i="34"/>
  <c r="A37" i="34"/>
  <c r="Y37" i="34"/>
  <c r="V37" i="34"/>
  <c r="A39" i="34"/>
  <c r="V39" i="34"/>
  <c r="Y39" i="34"/>
  <c r="A47" i="34"/>
  <c r="V47" i="34"/>
  <c r="Y47" i="34"/>
  <c r="A49" i="34"/>
  <c r="Y49" i="34"/>
  <c r="V49" i="34"/>
  <c r="A51" i="34"/>
  <c r="V51" i="34"/>
  <c r="Y51" i="34"/>
  <c r="A65" i="34"/>
  <c r="Y65" i="34"/>
  <c r="V65" i="34"/>
  <c r="A67" i="34"/>
  <c r="V67" i="34"/>
  <c r="Y67" i="34"/>
  <c r="A84" i="34"/>
  <c r="V84" i="34"/>
  <c r="Y84" i="34"/>
  <c r="A86" i="34"/>
  <c r="Y86" i="34"/>
  <c r="V86" i="34"/>
  <c r="A102" i="34"/>
  <c r="V102" i="34"/>
  <c r="Y102" i="34"/>
  <c r="A104" i="34"/>
  <c r="Y104" i="34"/>
  <c r="V104" i="34"/>
  <c r="A106" i="34"/>
  <c r="V106" i="34"/>
  <c r="Y106" i="34"/>
  <c r="A124" i="34"/>
  <c r="Y124" i="34"/>
  <c r="V124" i="34"/>
  <c r="A140" i="34"/>
  <c r="Y140" i="34"/>
  <c r="V140" i="34"/>
  <c r="A142" i="34"/>
  <c r="Y142" i="34"/>
  <c r="V142" i="34"/>
  <c r="A144" i="34"/>
  <c r="Y144" i="34"/>
  <c r="V144" i="34"/>
  <c r="A152" i="34"/>
  <c r="Y152" i="34"/>
  <c r="V152" i="34"/>
  <c r="A154" i="34"/>
  <c r="Y154" i="34"/>
  <c r="V154" i="34"/>
  <c r="A273" i="34"/>
  <c r="Y273" i="34"/>
  <c r="V273" i="34"/>
  <c r="A275" i="34"/>
  <c r="V275" i="34"/>
  <c r="Y275" i="34"/>
  <c r="A316" i="34"/>
  <c r="V316" i="34"/>
  <c r="Y316" i="34"/>
  <c r="A318" i="34"/>
  <c r="Y318" i="34"/>
  <c r="V318" i="34"/>
  <c r="A320" i="34"/>
  <c r="V320" i="34"/>
  <c r="Y320" i="34"/>
  <c r="A322" i="34"/>
  <c r="Y322" i="34"/>
  <c r="V322" i="34"/>
  <c r="A344" i="34"/>
  <c r="Y344" i="34"/>
  <c r="V344" i="34"/>
  <c r="A346" i="34"/>
  <c r="Y346" i="34"/>
  <c r="V346" i="34"/>
  <c r="A348" i="34"/>
  <c r="Y348" i="34"/>
  <c r="V348" i="34"/>
  <c r="A394" i="34"/>
  <c r="V394" i="34"/>
  <c r="Y394" i="34"/>
  <c r="A527" i="34"/>
  <c r="Y527" i="34"/>
  <c r="V527" i="34"/>
  <c r="A590" i="34"/>
  <c r="Y590" i="34"/>
  <c r="V590" i="34"/>
  <c r="A610" i="34"/>
  <c r="V610" i="34"/>
  <c r="Y610" i="34"/>
  <c r="A33" i="34"/>
  <c r="S33" i="34"/>
  <c r="T33" i="34"/>
  <c r="Y33" i="34"/>
  <c r="V33" i="34"/>
  <c r="R33" i="34"/>
  <c r="A43" i="34"/>
  <c r="V43" i="34"/>
  <c r="Y43" i="34"/>
  <c r="A46" i="34"/>
  <c r="T46" i="34"/>
  <c r="Y46" i="34"/>
  <c r="V46" i="34"/>
  <c r="R46" i="34"/>
  <c r="S46" i="34"/>
  <c r="A134" i="34"/>
  <c r="R134" i="34"/>
  <c r="V134" i="34"/>
  <c r="S134" i="34"/>
  <c r="Y134" i="34"/>
  <c r="T134" i="34"/>
  <c r="A138" i="34"/>
  <c r="R138" i="34"/>
  <c r="S138" i="34"/>
  <c r="T138" i="34"/>
  <c r="Y138" i="34"/>
  <c r="V138" i="34"/>
  <c r="A148" i="34"/>
  <c r="Y148" i="34"/>
  <c r="V148" i="34"/>
  <c r="A179" i="34"/>
  <c r="T179" i="34"/>
  <c r="Y179" i="34"/>
  <c r="V179" i="34"/>
  <c r="R179" i="34"/>
  <c r="S179" i="34"/>
  <c r="A183" i="34"/>
  <c r="T183" i="34"/>
  <c r="Y183" i="34"/>
  <c r="R183" i="34"/>
  <c r="S183" i="34"/>
  <c r="V183" i="34"/>
  <c r="A193" i="34"/>
  <c r="S193" i="34"/>
  <c r="T193" i="34"/>
  <c r="Y193" i="34"/>
  <c r="V193" i="34"/>
  <c r="R193" i="34"/>
  <c r="A203" i="34"/>
  <c r="R203" i="34"/>
  <c r="S203" i="34"/>
  <c r="T203" i="34"/>
  <c r="Y203" i="34"/>
  <c r="V203" i="34"/>
  <c r="A221" i="34"/>
  <c r="R221" i="34"/>
  <c r="S221" i="34"/>
  <c r="T221" i="34"/>
  <c r="Y221" i="34"/>
  <c r="V221" i="34"/>
  <c r="A238" i="34"/>
  <c r="Y238" i="34"/>
  <c r="V238" i="34"/>
  <c r="A298" i="34"/>
  <c r="V298" i="34"/>
  <c r="R298" i="34"/>
  <c r="S298" i="34"/>
  <c r="T298" i="34"/>
  <c r="Y298" i="34"/>
  <c r="A310" i="34"/>
  <c r="S310" i="34"/>
  <c r="T310" i="34"/>
  <c r="Y310" i="34"/>
  <c r="V310" i="34"/>
  <c r="R310" i="34"/>
  <c r="A329" i="34"/>
  <c r="R329" i="34"/>
  <c r="S329" i="34"/>
  <c r="T329" i="34"/>
  <c r="Y329" i="34"/>
  <c r="V329" i="34"/>
  <c r="A340" i="34"/>
  <c r="V340" i="34"/>
  <c r="Y340" i="34"/>
  <c r="A365" i="34"/>
  <c r="R365" i="34"/>
  <c r="T365" i="34"/>
  <c r="Y365" i="34"/>
  <c r="V365" i="34"/>
  <c r="S365" i="34"/>
  <c r="A377" i="34"/>
  <c r="S377" i="34"/>
  <c r="T377" i="34"/>
  <c r="Y377" i="34"/>
  <c r="V377" i="34"/>
  <c r="R377" i="34"/>
  <c r="A392" i="34"/>
  <c r="S392" i="34"/>
  <c r="T392" i="34"/>
  <c r="Y392" i="34"/>
  <c r="V392" i="34"/>
  <c r="R392" i="34"/>
  <c r="A431" i="34"/>
  <c r="Y431" i="34"/>
  <c r="V431" i="34"/>
  <c r="A453" i="34"/>
  <c r="T453" i="34"/>
  <c r="Y453" i="34"/>
  <c r="V453" i="34"/>
  <c r="R453" i="34"/>
  <c r="S453" i="34"/>
  <c r="A457" i="34"/>
  <c r="T457" i="34"/>
  <c r="Y457" i="34"/>
  <c r="V457" i="34"/>
  <c r="R457" i="34"/>
  <c r="S457" i="34"/>
  <c r="A482" i="34"/>
  <c r="Y482" i="34"/>
  <c r="V482" i="34"/>
  <c r="A499" i="34"/>
  <c r="S499" i="34"/>
  <c r="T499" i="34"/>
  <c r="Y499" i="34"/>
  <c r="V499" i="34"/>
  <c r="R499" i="34"/>
  <c r="A507" i="34"/>
  <c r="S507" i="34"/>
  <c r="T507" i="34"/>
  <c r="Y507" i="34"/>
  <c r="V507" i="34"/>
  <c r="R507" i="34"/>
  <c r="A516" i="34"/>
  <c r="T516" i="34"/>
  <c r="Y516" i="34"/>
  <c r="V516" i="34"/>
  <c r="R516" i="34"/>
  <c r="S516" i="34"/>
  <c r="A549" i="34"/>
  <c r="S549" i="34"/>
  <c r="T549" i="34"/>
  <c r="Y549" i="34"/>
  <c r="V549" i="34"/>
  <c r="R549" i="34"/>
  <c r="A557" i="34"/>
  <c r="Y557" i="34"/>
  <c r="V557" i="34"/>
  <c r="A573" i="34"/>
  <c r="T573" i="34"/>
  <c r="Y573" i="34"/>
  <c r="V573" i="34"/>
  <c r="R573" i="34"/>
  <c r="S573" i="34"/>
  <c r="A580" i="34"/>
  <c r="S580" i="34"/>
  <c r="T580" i="34"/>
  <c r="Y580" i="34"/>
  <c r="V580" i="34"/>
  <c r="R580" i="34"/>
  <c r="A614" i="34"/>
  <c r="V614" i="34"/>
  <c r="R614" i="34"/>
  <c r="S614" i="34"/>
  <c r="T614" i="34"/>
  <c r="Y614" i="34"/>
  <c r="A623" i="34"/>
  <c r="R623" i="34"/>
  <c r="S623" i="34"/>
  <c r="T623" i="34"/>
  <c r="Y623" i="34"/>
  <c r="V623" i="34"/>
  <c r="A662" i="34"/>
  <c r="R662" i="34"/>
  <c r="S662" i="34"/>
  <c r="T662" i="34"/>
  <c r="Y662" i="34"/>
  <c r="V662" i="34"/>
  <c r="A671" i="34"/>
  <c r="T671" i="34"/>
  <c r="Y671" i="34"/>
  <c r="V671" i="34"/>
  <c r="R671" i="34"/>
  <c r="S671" i="34"/>
  <c r="A685" i="34"/>
  <c r="Y685" i="34"/>
  <c r="V685" i="34"/>
  <c r="A698" i="34"/>
  <c r="T698" i="34"/>
  <c r="Y698" i="34"/>
  <c r="V698" i="34"/>
  <c r="R698" i="34"/>
  <c r="S698" i="34"/>
  <c r="A706" i="34"/>
  <c r="Y706" i="34"/>
  <c r="V706" i="34"/>
  <c r="A735" i="34"/>
  <c r="Y735" i="34"/>
  <c r="V735" i="34"/>
  <c r="A743" i="34"/>
  <c r="S743" i="34"/>
  <c r="T743" i="34"/>
  <c r="Y743" i="34"/>
  <c r="V743" i="34"/>
  <c r="R743" i="34"/>
  <c r="A752" i="34"/>
  <c r="T752" i="34"/>
  <c r="Y752" i="34"/>
  <c r="V752" i="34"/>
  <c r="R752" i="34"/>
  <c r="S752" i="34"/>
  <c r="A764" i="34"/>
  <c r="T764" i="34"/>
  <c r="Y764" i="34"/>
  <c r="V764" i="34"/>
  <c r="R764" i="34"/>
  <c r="S764" i="34"/>
  <c r="A837" i="34"/>
  <c r="R837" i="34"/>
  <c r="S837" i="34"/>
  <c r="T837" i="34"/>
  <c r="Y837" i="34"/>
  <c r="V837" i="34"/>
  <c r="A850" i="34"/>
  <c r="S850" i="34"/>
  <c r="T850" i="34"/>
  <c r="Y850" i="34"/>
  <c r="V850" i="34"/>
  <c r="R850" i="34"/>
  <c r="A854" i="34"/>
  <c r="Y854" i="34"/>
  <c r="V854" i="34"/>
  <c r="A880" i="34"/>
  <c r="V880" i="34"/>
  <c r="Y880" i="34"/>
  <c r="A896" i="34"/>
  <c r="V896" i="34"/>
  <c r="R896" i="34"/>
  <c r="S896" i="34"/>
  <c r="T896" i="34"/>
  <c r="Y896" i="34"/>
  <c r="A900" i="34"/>
  <c r="V900" i="34"/>
  <c r="R900" i="34"/>
  <c r="S900" i="34"/>
  <c r="T900" i="34"/>
  <c r="Y900" i="34"/>
  <c r="A916" i="34"/>
  <c r="Y916" i="34"/>
  <c r="V916" i="34"/>
  <c r="A946" i="34"/>
  <c r="Y946" i="34"/>
  <c r="V946" i="34"/>
  <c r="A953" i="34"/>
  <c r="Y953" i="34"/>
  <c r="V953" i="34"/>
  <c r="A969" i="34"/>
  <c r="Y969" i="34"/>
  <c r="V969" i="34"/>
  <c r="A985" i="34"/>
  <c r="T985" i="34"/>
  <c r="Y985" i="34"/>
  <c r="V985" i="34"/>
  <c r="R985" i="34"/>
  <c r="S985" i="34"/>
  <c r="A988" i="34"/>
  <c r="Y988" i="34"/>
  <c r="V988" i="34"/>
  <c r="A995" i="34"/>
  <c r="Y995" i="34"/>
  <c r="V995" i="34"/>
  <c r="A1004" i="34"/>
  <c r="S1004" i="34"/>
  <c r="T1004" i="34"/>
  <c r="Y1004" i="34"/>
  <c r="V1004" i="34"/>
  <c r="R1004" i="34"/>
  <c r="A1020" i="34"/>
  <c r="T1020" i="34"/>
  <c r="Y1020" i="34"/>
  <c r="V1020" i="34"/>
  <c r="R1020" i="34"/>
  <c r="S1020" i="34"/>
  <c r="A1023" i="34"/>
  <c r="Y1023" i="34"/>
  <c r="V1023" i="34"/>
  <c r="A1051" i="34"/>
  <c r="S1051" i="34"/>
  <c r="T1051" i="34"/>
  <c r="Y1051" i="34"/>
  <c r="V1051" i="34"/>
  <c r="R1051" i="34"/>
  <c r="A25" i="34"/>
  <c r="Y25" i="34"/>
  <c r="V25" i="34"/>
  <c r="A27" i="34"/>
  <c r="V27" i="34"/>
  <c r="Y27" i="34"/>
  <c r="A40" i="34"/>
  <c r="Y40" i="34"/>
  <c r="V40" i="34"/>
  <c r="A55" i="34"/>
  <c r="V55" i="34"/>
  <c r="Y55" i="34"/>
  <c r="A57" i="34"/>
  <c r="Y57" i="34"/>
  <c r="V57" i="34"/>
  <c r="A71" i="34"/>
  <c r="V71" i="34"/>
  <c r="Y71" i="34"/>
  <c r="A73" i="34"/>
  <c r="Y73" i="34"/>
  <c r="V73" i="34"/>
  <c r="A91" i="34"/>
  <c r="V91" i="34"/>
  <c r="Y91" i="34"/>
  <c r="A93" i="34"/>
  <c r="Y93" i="34"/>
  <c r="V93" i="34"/>
  <c r="A95" i="34"/>
  <c r="V95" i="34"/>
  <c r="Y95" i="34"/>
  <c r="A97" i="34"/>
  <c r="Y97" i="34"/>
  <c r="V97" i="34"/>
  <c r="A108" i="34"/>
  <c r="Y108" i="34"/>
  <c r="V108" i="34"/>
  <c r="A110" i="34"/>
  <c r="V110" i="34"/>
  <c r="Y110" i="34"/>
  <c r="A131" i="34"/>
  <c r="V131" i="34"/>
  <c r="Y131" i="34"/>
  <c r="A149" i="34"/>
  <c r="V149" i="34"/>
  <c r="Y149" i="34"/>
  <c r="A165" i="34"/>
  <c r="Y165" i="34"/>
  <c r="V165" i="34"/>
  <c r="A290" i="34"/>
  <c r="Y290" i="34"/>
  <c r="V290" i="34"/>
  <c r="A292" i="34"/>
  <c r="Y292" i="34"/>
  <c r="V292" i="34"/>
  <c r="A331" i="34"/>
  <c r="Y331" i="34"/>
  <c r="V331" i="34"/>
  <c r="A353" i="34"/>
  <c r="Y353" i="34"/>
  <c r="V353" i="34"/>
  <c r="A355" i="34"/>
  <c r="V355" i="34"/>
  <c r="Y355" i="34"/>
  <c r="A398" i="34"/>
  <c r="V398" i="34"/>
  <c r="Y398" i="34"/>
  <c r="A582" i="34"/>
  <c r="V582" i="34"/>
  <c r="Y582" i="34"/>
  <c r="A595" i="34"/>
  <c r="Y595" i="34"/>
  <c r="V595" i="34"/>
  <c r="A761" i="34"/>
  <c r="V761" i="34"/>
  <c r="Y761" i="34"/>
  <c r="A34" i="34"/>
  <c r="T34" i="34"/>
  <c r="Y34" i="34"/>
  <c r="V34" i="34"/>
  <c r="R34" i="34"/>
  <c r="S34" i="34"/>
  <c r="A63" i="34"/>
  <c r="V63" i="34"/>
  <c r="R63" i="34"/>
  <c r="S63" i="34"/>
  <c r="T63" i="34"/>
  <c r="Y63" i="34"/>
  <c r="A135" i="34"/>
  <c r="R135" i="34"/>
  <c r="T135" i="34"/>
  <c r="Y135" i="34"/>
  <c r="V135" i="34"/>
  <c r="S135" i="34"/>
  <c r="A139" i="34"/>
  <c r="S139" i="34"/>
  <c r="T139" i="34"/>
  <c r="Y139" i="34"/>
  <c r="V139" i="34"/>
  <c r="R139" i="34"/>
  <c r="A176" i="34"/>
  <c r="V176" i="34"/>
  <c r="R176" i="34"/>
  <c r="S176" i="34"/>
  <c r="T176" i="34"/>
  <c r="Y176" i="34"/>
  <c r="A180" i="34"/>
  <c r="V180" i="34"/>
  <c r="R180" i="34"/>
  <c r="S180" i="34"/>
  <c r="T180" i="34"/>
  <c r="Y180" i="34"/>
  <c r="A187" i="34"/>
  <c r="V187" i="34"/>
  <c r="R187" i="34"/>
  <c r="S187" i="34"/>
  <c r="T187" i="34"/>
  <c r="Y187" i="34"/>
  <c r="A194" i="34"/>
  <c r="T194" i="34"/>
  <c r="Y194" i="34"/>
  <c r="V194" i="34"/>
  <c r="R194" i="34"/>
  <c r="S194" i="34"/>
  <c r="A204" i="34"/>
  <c r="S204" i="34"/>
  <c r="T204" i="34"/>
  <c r="Y204" i="34"/>
  <c r="V204" i="34"/>
  <c r="R204" i="34"/>
  <c r="A235" i="34"/>
  <c r="Y235" i="34"/>
  <c r="V235" i="34"/>
  <c r="A246" i="34"/>
  <c r="S246" i="34"/>
  <c r="R246" i="34"/>
  <c r="V246" i="34"/>
  <c r="T246" i="34"/>
  <c r="Y246" i="34"/>
  <c r="A305" i="34"/>
  <c r="R305" i="34"/>
  <c r="S305" i="34"/>
  <c r="T305" i="34"/>
  <c r="Y305" i="34"/>
  <c r="V305" i="34"/>
  <c r="A311" i="34"/>
  <c r="T311" i="34"/>
  <c r="Y311" i="34"/>
  <c r="V311" i="34"/>
  <c r="R311" i="34"/>
  <c r="S311" i="34"/>
  <c r="A333" i="34"/>
  <c r="R333" i="34"/>
  <c r="S333" i="34"/>
  <c r="T333" i="34"/>
  <c r="Y333" i="34"/>
  <c r="V333" i="34"/>
  <c r="A350" i="34"/>
  <c r="Y350" i="34"/>
  <c r="V350" i="34"/>
  <c r="A374" i="34"/>
  <c r="T374" i="34"/>
  <c r="Y374" i="34"/>
  <c r="V374" i="34"/>
  <c r="R374" i="34"/>
  <c r="S374" i="34"/>
  <c r="A380" i="34"/>
  <c r="R380" i="34"/>
  <c r="S380" i="34"/>
  <c r="T380" i="34"/>
  <c r="Y380" i="34"/>
  <c r="V380" i="34"/>
  <c r="A404" i="34"/>
  <c r="S404" i="34"/>
  <c r="T404" i="34"/>
  <c r="Y404" i="34"/>
  <c r="V404" i="34"/>
  <c r="R404" i="34"/>
  <c r="A432" i="34"/>
  <c r="V432" i="34"/>
  <c r="Y432" i="34"/>
  <c r="A454" i="34"/>
  <c r="V454" i="34"/>
  <c r="R454" i="34"/>
  <c r="S454" i="34"/>
  <c r="T454" i="34"/>
  <c r="Y454" i="34"/>
  <c r="A458" i="34"/>
  <c r="V458" i="34"/>
  <c r="R458" i="34"/>
  <c r="S458" i="34"/>
  <c r="T458" i="34"/>
  <c r="Y458" i="34"/>
  <c r="A500" i="34"/>
  <c r="Y500" i="34"/>
  <c r="V500" i="34"/>
  <c r="A508" i="34"/>
  <c r="Y508" i="34"/>
  <c r="V508" i="34"/>
  <c r="A517" i="34"/>
  <c r="V517" i="34"/>
  <c r="Y517" i="34"/>
  <c r="A550" i="34"/>
  <c r="T550" i="34"/>
  <c r="Y550" i="34"/>
  <c r="V550" i="34"/>
  <c r="R550" i="34"/>
  <c r="S550" i="34"/>
  <c r="A558" i="34"/>
  <c r="V558" i="34"/>
  <c r="Y558" i="34"/>
  <c r="A576" i="34"/>
  <c r="S576" i="34"/>
  <c r="T576" i="34"/>
  <c r="Y576" i="34"/>
  <c r="V576" i="34"/>
  <c r="R576" i="34"/>
  <c r="A588" i="34"/>
  <c r="T588" i="34"/>
  <c r="Y588" i="34"/>
  <c r="V588" i="34"/>
  <c r="R588" i="34"/>
  <c r="S588" i="34"/>
  <c r="A615" i="34"/>
  <c r="Y615" i="34"/>
  <c r="V615" i="34"/>
  <c r="A634" i="34"/>
  <c r="V634" i="34"/>
  <c r="R634" i="34"/>
  <c r="S634" i="34"/>
  <c r="T634" i="34"/>
  <c r="Y634" i="34"/>
  <c r="A646" i="34"/>
  <c r="V646" i="34"/>
  <c r="Y646" i="34"/>
  <c r="A663" i="34"/>
  <c r="S663" i="34"/>
  <c r="T663" i="34"/>
  <c r="Y663" i="34"/>
  <c r="V663" i="34"/>
  <c r="R663" i="34"/>
  <c r="A672" i="34"/>
  <c r="V672" i="34"/>
  <c r="R672" i="34"/>
  <c r="S672" i="34"/>
  <c r="T672" i="34"/>
  <c r="Y672" i="34"/>
  <c r="A686" i="34"/>
  <c r="Y686" i="34"/>
  <c r="V686" i="34"/>
  <c r="A701" i="34"/>
  <c r="V701" i="34"/>
  <c r="Y701" i="34"/>
  <c r="A710" i="34"/>
  <c r="T710" i="34"/>
  <c r="Y710" i="34"/>
  <c r="R710" i="34"/>
  <c r="S710" i="34"/>
  <c r="V710" i="34"/>
  <c r="A749" i="34"/>
  <c r="V749" i="34"/>
  <c r="R749" i="34"/>
  <c r="S749" i="34"/>
  <c r="T749" i="34"/>
  <c r="Y749" i="34"/>
  <c r="A756" i="34"/>
  <c r="T756" i="34"/>
  <c r="Y756" i="34"/>
  <c r="V756" i="34"/>
  <c r="R756" i="34"/>
  <c r="S756" i="34"/>
  <c r="A765" i="34"/>
  <c r="V765" i="34"/>
  <c r="R765" i="34"/>
  <c r="S765" i="34"/>
  <c r="T765" i="34"/>
  <c r="Y765" i="34"/>
  <c r="A838" i="34"/>
  <c r="S838" i="34"/>
  <c r="T838" i="34"/>
  <c r="Y838" i="34"/>
  <c r="V838" i="34"/>
  <c r="R838" i="34"/>
  <c r="A851" i="34"/>
  <c r="Y851" i="34"/>
  <c r="V851" i="34"/>
  <c r="A874" i="34"/>
  <c r="S874" i="34"/>
  <c r="T874" i="34"/>
  <c r="Y874" i="34"/>
  <c r="V874" i="34"/>
  <c r="R874" i="34"/>
  <c r="A881" i="34"/>
  <c r="R881" i="34"/>
  <c r="S881" i="34"/>
  <c r="T881" i="34"/>
  <c r="Y881" i="34"/>
  <c r="V881" i="34"/>
  <c r="A897" i="34"/>
  <c r="R897" i="34"/>
  <c r="S897" i="34"/>
  <c r="T897" i="34"/>
  <c r="Y897" i="34"/>
  <c r="V897" i="34"/>
  <c r="A911" i="34"/>
  <c r="V911" i="34"/>
  <c r="Y911" i="34"/>
  <c r="A914" i="34"/>
  <c r="Y914" i="34"/>
  <c r="V914" i="34"/>
  <c r="A919" i="34"/>
  <c r="R919" i="34"/>
  <c r="S919" i="34"/>
  <c r="T919" i="34"/>
  <c r="Y919" i="34"/>
  <c r="V919" i="34"/>
  <c r="A947" i="34"/>
  <c r="T947" i="34"/>
  <c r="Y947" i="34"/>
  <c r="V947" i="34"/>
  <c r="R947" i="34"/>
  <c r="S947" i="34"/>
  <c r="A959" i="34"/>
  <c r="V959" i="34"/>
  <c r="R959" i="34"/>
  <c r="S959" i="34"/>
  <c r="T959" i="34"/>
  <c r="Y959" i="34"/>
  <c r="A970" i="34"/>
  <c r="Y970" i="34"/>
  <c r="V970" i="34"/>
  <c r="A986" i="34"/>
  <c r="V986" i="34"/>
  <c r="R986" i="34"/>
  <c r="S986" i="34"/>
  <c r="T986" i="34"/>
  <c r="Y986" i="34"/>
  <c r="A989" i="34"/>
  <c r="Y989" i="34"/>
  <c r="V989" i="34"/>
  <c r="A998" i="34"/>
  <c r="V998" i="34"/>
  <c r="Y998" i="34"/>
  <c r="A1005" i="34"/>
  <c r="T1005" i="34"/>
  <c r="Y1005" i="34"/>
  <c r="V1005" i="34"/>
  <c r="R1005" i="34"/>
  <c r="S1005" i="34"/>
  <c r="A1021" i="34"/>
  <c r="V1021" i="34"/>
  <c r="R1021" i="34"/>
  <c r="S1021" i="34"/>
  <c r="T1021" i="34"/>
  <c r="Y1021" i="34"/>
  <c r="A1025" i="34"/>
  <c r="V1025" i="34"/>
  <c r="Y1025" i="34"/>
  <c r="A1071" i="34"/>
  <c r="S1071" i="34"/>
  <c r="T1071" i="34"/>
  <c r="Y1071" i="34"/>
  <c r="V1071" i="34"/>
  <c r="R1071" i="34"/>
  <c r="A38" i="34"/>
  <c r="Y38" i="34"/>
  <c r="V38" i="34"/>
  <c r="A48" i="34"/>
  <c r="Y48" i="34"/>
  <c r="V48" i="34"/>
  <c r="A50" i="34"/>
  <c r="Y50" i="34"/>
  <c r="V50" i="34"/>
  <c r="A52" i="34"/>
  <c r="Y52" i="34"/>
  <c r="V52" i="34"/>
  <c r="A64" i="34"/>
  <c r="Y64" i="34"/>
  <c r="V64" i="34"/>
  <c r="A66" i="34"/>
  <c r="Y66" i="34"/>
  <c r="V66" i="34"/>
  <c r="A83" i="34"/>
  <c r="Y83" i="34"/>
  <c r="V83" i="34"/>
  <c r="A85" i="34"/>
  <c r="Y85" i="34"/>
  <c r="V85" i="34"/>
  <c r="A103" i="34"/>
  <c r="Y103" i="34"/>
  <c r="V103" i="34"/>
  <c r="A105" i="34"/>
  <c r="Y105" i="34"/>
  <c r="V105" i="34"/>
  <c r="A123" i="34"/>
  <c r="V123" i="34"/>
  <c r="Y123" i="34"/>
  <c r="A125" i="34"/>
  <c r="V125" i="34"/>
  <c r="Y125" i="34"/>
  <c r="A141" i="34"/>
  <c r="V141" i="34"/>
  <c r="Y141" i="34"/>
  <c r="A143" i="34"/>
  <c r="Y143" i="34"/>
  <c r="V143" i="34"/>
  <c r="A153" i="34"/>
  <c r="V153" i="34"/>
  <c r="Y153" i="34"/>
  <c r="A274" i="34"/>
  <c r="Y274" i="34"/>
  <c r="V274" i="34"/>
  <c r="A276" i="34"/>
  <c r="Y276" i="34"/>
  <c r="V276" i="34"/>
  <c r="A317" i="34"/>
  <c r="Y317" i="34"/>
  <c r="V317" i="34"/>
  <c r="A319" i="34"/>
  <c r="Y319" i="34"/>
  <c r="V319" i="34"/>
  <c r="A321" i="34"/>
  <c r="Y321" i="34"/>
  <c r="V321" i="34"/>
  <c r="A323" i="34"/>
  <c r="Y323" i="34"/>
  <c r="V323" i="34"/>
  <c r="A343" i="34"/>
  <c r="V343" i="34"/>
  <c r="Y343" i="34"/>
  <c r="A345" i="34"/>
  <c r="Y345" i="34"/>
  <c r="V345" i="34"/>
  <c r="A347" i="34"/>
  <c r="V347" i="34"/>
  <c r="Y347" i="34"/>
  <c r="A393" i="34"/>
  <c r="Y393" i="34"/>
  <c r="V393" i="34"/>
  <c r="A395" i="34"/>
  <c r="Y395" i="34"/>
  <c r="V395" i="34"/>
  <c r="A528" i="34"/>
  <c r="Y528" i="34"/>
  <c r="V528" i="34"/>
  <c r="A589" i="34"/>
  <c r="V589" i="34"/>
  <c r="Y589" i="34"/>
  <c r="A611" i="34"/>
  <c r="Y611" i="34"/>
  <c r="V611" i="34"/>
  <c r="A35" i="34"/>
  <c r="V35" i="34"/>
  <c r="R35" i="34"/>
  <c r="S35" i="34"/>
  <c r="T35" i="34"/>
  <c r="Y35" i="34"/>
  <c r="A44" i="34"/>
  <c r="Y44" i="34"/>
  <c r="V44" i="34"/>
  <c r="A90" i="34"/>
  <c r="T90" i="34"/>
  <c r="Y90" i="34"/>
  <c r="V90" i="34"/>
  <c r="R90" i="34"/>
  <c r="S90" i="34"/>
  <c r="A136" i="34"/>
  <c r="S136" i="34"/>
  <c r="R136" i="34"/>
  <c r="T136" i="34"/>
  <c r="Y136" i="34"/>
  <c r="V136" i="34"/>
  <c r="A146" i="34"/>
  <c r="R146" i="34"/>
  <c r="S146" i="34"/>
  <c r="T146" i="34"/>
  <c r="Y146" i="34"/>
  <c r="V146" i="34"/>
  <c r="A177" i="34"/>
  <c r="R177" i="34"/>
  <c r="S177" i="34"/>
  <c r="T177" i="34"/>
  <c r="Y177" i="34"/>
  <c r="V177" i="34"/>
  <c r="A181" i="34"/>
  <c r="R181" i="34"/>
  <c r="S181" i="34"/>
  <c r="T181" i="34"/>
  <c r="Y181" i="34"/>
  <c r="V181" i="34"/>
  <c r="A191" i="34"/>
  <c r="V191" i="34"/>
  <c r="R191" i="34"/>
  <c r="S191" i="34"/>
  <c r="T191" i="34"/>
  <c r="Y191" i="34"/>
  <c r="A195" i="34"/>
  <c r="V195" i="34"/>
  <c r="R195" i="34"/>
  <c r="S195" i="34"/>
  <c r="T195" i="34"/>
  <c r="Y195" i="34"/>
  <c r="A219" i="34"/>
  <c r="Y219" i="34"/>
  <c r="V219" i="34"/>
  <c r="A236" i="34"/>
  <c r="V236" i="34"/>
  <c r="Y236" i="34"/>
  <c r="A247" i="34"/>
  <c r="S247" i="34"/>
  <c r="T247" i="34"/>
  <c r="Y247" i="34"/>
  <c r="V247" i="34"/>
  <c r="R247" i="34"/>
  <c r="A306" i="34"/>
  <c r="S306" i="34"/>
  <c r="T306" i="34"/>
  <c r="Y306" i="34"/>
  <c r="V306" i="34"/>
  <c r="R306" i="34"/>
  <c r="A312" i="34"/>
  <c r="V312" i="34"/>
  <c r="R312" i="34"/>
  <c r="S312" i="34"/>
  <c r="T312" i="34"/>
  <c r="Y312" i="34"/>
  <c r="A334" i="34"/>
  <c r="S334" i="34"/>
  <c r="T334" i="34"/>
  <c r="Y334" i="34"/>
  <c r="V334" i="34"/>
  <c r="R334" i="34"/>
  <c r="A351" i="34"/>
  <c r="V351" i="34"/>
  <c r="Y351" i="34"/>
  <c r="A375" i="34"/>
  <c r="V375" i="34"/>
  <c r="R375" i="34"/>
  <c r="S375" i="34"/>
  <c r="T375" i="34"/>
  <c r="Y375" i="34"/>
  <c r="A381" i="34"/>
  <c r="S381" i="34"/>
  <c r="T381" i="34"/>
  <c r="Y381" i="34"/>
  <c r="V381" i="34"/>
  <c r="R381" i="34"/>
  <c r="A405" i="34"/>
  <c r="T405" i="34"/>
  <c r="Y405" i="34"/>
  <c r="V405" i="34"/>
  <c r="R405" i="34"/>
  <c r="S405" i="34"/>
  <c r="A438" i="34"/>
  <c r="Y438" i="34"/>
  <c r="V438" i="34"/>
  <c r="A455" i="34"/>
  <c r="R455" i="34"/>
  <c r="S455" i="34"/>
  <c r="T455" i="34"/>
  <c r="Y455" i="34"/>
  <c r="V455" i="34"/>
  <c r="A481" i="34"/>
  <c r="V481" i="34"/>
  <c r="Y481" i="34"/>
  <c r="A483" i="34"/>
  <c r="V483" i="34"/>
  <c r="Y483" i="34"/>
  <c r="A501" i="34"/>
  <c r="V501" i="34"/>
  <c r="Y501" i="34"/>
  <c r="A509" i="34"/>
  <c r="V509" i="34"/>
  <c r="Y509" i="34"/>
  <c r="A523" i="34"/>
  <c r="S523" i="34"/>
  <c r="T523" i="34"/>
  <c r="Y523" i="34"/>
  <c r="V523" i="34"/>
  <c r="R523" i="34"/>
  <c r="A551" i="34"/>
  <c r="V551" i="34"/>
  <c r="Y551" i="34"/>
  <c r="A565" i="34"/>
  <c r="T565" i="34"/>
  <c r="Y565" i="34"/>
  <c r="V565" i="34"/>
  <c r="R565" i="34"/>
  <c r="S565" i="34"/>
  <c r="A578" i="34"/>
  <c r="V578" i="34"/>
  <c r="R578" i="34"/>
  <c r="S578" i="34"/>
  <c r="T578" i="34"/>
  <c r="Y578" i="34"/>
  <c r="A605" i="34"/>
  <c r="T605" i="34"/>
  <c r="Y605" i="34"/>
  <c r="V605" i="34"/>
  <c r="R605" i="34"/>
  <c r="S605" i="34"/>
  <c r="A616" i="34"/>
  <c r="Y616" i="34"/>
  <c r="V616" i="34"/>
  <c r="A643" i="34"/>
  <c r="R643" i="34"/>
  <c r="S643" i="34"/>
  <c r="T643" i="34"/>
  <c r="Y643" i="34"/>
  <c r="V643" i="34"/>
  <c r="A667" i="34"/>
  <c r="S667" i="34"/>
  <c r="T667" i="34"/>
  <c r="Y667" i="34"/>
  <c r="V667" i="34"/>
  <c r="R667" i="34"/>
  <c r="A676" i="34"/>
  <c r="V676" i="34"/>
  <c r="R676" i="34"/>
  <c r="S676" i="34"/>
  <c r="T676" i="34"/>
  <c r="Y676" i="34"/>
  <c r="A696" i="34"/>
  <c r="R696" i="34"/>
  <c r="S696" i="34"/>
  <c r="T696" i="34"/>
  <c r="Y696" i="34"/>
  <c r="V696" i="34"/>
  <c r="A702" i="34"/>
  <c r="Y702" i="34"/>
  <c r="V702" i="34"/>
  <c r="A711" i="34"/>
  <c r="V711" i="34"/>
  <c r="Y711" i="34"/>
  <c r="A736" i="34"/>
  <c r="Y736" i="34"/>
  <c r="V736" i="34"/>
  <c r="A750" i="34"/>
  <c r="R750" i="34"/>
  <c r="S750" i="34"/>
  <c r="T750" i="34"/>
  <c r="Y750" i="34"/>
  <c r="V750" i="34"/>
  <c r="A757" i="34"/>
  <c r="V757" i="34"/>
  <c r="R757" i="34"/>
  <c r="S757" i="34"/>
  <c r="T757" i="34"/>
  <c r="Y757" i="34"/>
  <c r="A814" i="34"/>
  <c r="S814" i="34"/>
  <c r="T814" i="34"/>
  <c r="Y814" i="34"/>
  <c r="V814" i="34"/>
  <c r="R814" i="34"/>
  <c r="A839" i="34"/>
  <c r="T839" i="34"/>
  <c r="Y839" i="34"/>
  <c r="V839" i="34"/>
  <c r="R839" i="34"/>
  <c r="S839" i="34"/>
  <c r="A852" i="34"/>
  <c r="V852" i="34"/>
  <c r="Y852" i="34"/>
  <c r="A875" i="34"/>
  <c r="T875" i="34"/>
  <c r="Y875" i="34"/>
  <c r="V875" i="34"/>
  <c r="R875" i="34"/>
  <c r="S875" i="34"/>
  <c r="A890" i="34"/>
  <c r="S890" i="34"/>
  <c r="T890" i="34"/>
  <c r="Y890" i="34"/>
  <c r="V890" i="34"/>
  <c r="R890" i="34"/>
  <c r="A898" i="34"/>
  <c r="S898" i="34"/>
  <c r="T898" i="34"/>
  <c r="Y898" i="34"/>
  <c r="V898" i="34"/>
  <c r="R898" i="34"/>
  <c r="A912" i="34"/>
  <c r="Y912" i="34"/>
  <c r="V912" i="34"/>
  <c r="A940" i="34"/>
  <c r="T940" i="34"/>
  <c r="Y940" i="34"/>
  <c r="V940" i="34"/>
  <c r="R940" i="34"/>
  <c r="S940" i="34"/>
  <c r="A951" i="34"/>
  <c r="T951" i="34"/>
  <c r="Y951" i="34"/>
  <c r="R951" i="34"/>
  <c r="S951" i="34"/>
  <c r="V951" i="34"/>
  <c r="A967" i="34"/>
  <c r="V967" i="34"/>
  <c r="R967" i="34"/>
  <c r="S967" i="34"/>
  <c r="T967" i="34"/>
  <c r="Y967" i="34"/>
  <c r="A987" i="34"/>
  <c r="Y987" i="34"/>
  <c r="V987" i="34"/>
  <c r="A993" i="34"/>
  <c r="T993" i="34"/>
  <c r="Y993" i="34"/>
  <c r="V993" i="34"/>
  <c r="R993" i="34"/>
  <c r="S993" i="34"/>
  <c r="A999" i="34"/>
  <c r="Y999" i="34"/>
  <c r="V999" i="34"/>
  <c r="A1006" i="34"/>
  <c r="V1006" i="34"/>
  <c r="R1006" i="34"/>
  <c r="S1006" i="34"/>
  <c r="T1006" i="34"/>
  <c r="Y1006" i="34"/>
  <c r="A1022" i="34"/>
  <c r="Y1022" i="34"/>
  <c r="V1022" i="34"/>
  <c r="A1026" i="34"/>
  <c r="Y1026" i="34"/>
  <c r="V1026" i="34"/>
  <c r="A1072" i="34"/>
  <c r="Y1072" i="34"/>
  <c r="V1072" i="34"/>
  <c r="A26" i="34"/>
  <c r="Y26" i="34"/>
  <c r="V26" i="34"/>
  <c r="A28" i="34"/>
  <c r="Y28" i="34"/>
  <c r="V28" i="34"/>
  <c r="A41" i="34"/>
  <c r="Y41" i="34"/>
  <c r="V41" i="34"/>
  <c r="A54" i="34"/>
  <c r="Y54" i="34"/>
  <c r="V54" i="34"/>
  <c r="A56" i="34"/>
  <c r="Y56" i="34"/>
  <c r="V56" i="34"/>
  <c r="A72" i="34"/>
  <c r="Y72" i="34"/>
  <c r="V72" i="34"/>
  <c r="A92" i="34"/>
  <c r="Y92" i="34"/>
  <c r="V92" i="34"/>
  <c r="A94" i="34"/>
  <c r="Y94" i="34"/>
  <c r="V94" i="34"/>
  <c r="A96" i="34"/>
  <c r="Y96" i="34"/>
  <c r="V96" i="34"/>
  <c r="A98" i="34"/>
  <c r="Y98" i="34"/>
  <c r="V98" i="34"/>
  <c r="A109" i="34"/>
  <c r="Y109" i="34"/>
  <c r="V109" i="34"/>
  <c r="A130" i="34"/>
  <c r="V130" i="34"/>
  <c r="Y130" i="34"/>
  <c r="A132" i="34"/>
  <c r="Y132" i="34"/>
  <c r="V132" i="34"/>
  <c r="A150" i="34"/>
  <c r="Y150" i="34"/>
  <c r="V150" i="34"/>
  <c r="A166" i="34"/>
  <c r="Y166" i="34"/>
  <c r="V166" i="34"/>
  <c r="A289" i="34"/>
  <c r="Y289" i="34"/>
  <c r="V289" i="34"/>
  <c r="A291" i="34"/>
  <c r="V291" i="34"/>
  <c r="Y291" i="34"/>
  <c r="A293" i="34"/>
  <c r="Y293" i="34"/>
  <c r="V293" i="34"/>
  <c r="A330" i="34"/>
  <c r="Y330" i="34"/>
  <c r="V330" i="34"/>
  <c r="A354" i="34"/>
  <c r="Y354" i="34"/>
  <c r="V354" i="34"/>
  <c r="A397" i="34"/>
  <c r="Y397" i="34"/>
  <c r="V397" i="34"/>
  <c r="A399" i="34"/>
  <c r="Y399" i="34"/>
  <c r="V399" i="34"/>
  <c r="A581" i="34"/>
  <c r="Y581" i="34"/>
  <c r="V581" i="34"/>
  <c r="A596" i="34"/>
  <c r="Y596" i="34"/>
  <c r="V596" i="34"/>
  <c r="A760" i="34"/>
  <c r="Y760" i="34"/>
  <c r="V760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N2091" i="34" l="1"/>
  <c r="R2091" i="34"/>
  <c r="S2091" i="34"/>
  <c r="T2091" i="34"/>
  <c r="W2091" i="34"/>
  <c r="X2091" i="34"/>
  <c r="N2092" i="34"/>
  <c r="R2092" i="34"/>
  <c r="S2092" i="34"/>
  <c r="T2092" i="34"/>
  <c r="W2092" i="34"/>
  <c r="X2092" i="34"/>
  <c r="E23" i="54" l="1"/>
  <c r="E16" i="61"/>
  <c r="C10" i="34"/>
  <c r="C11" i="34"/>
  <c r="C12" i="34"/>
  <c r="C13" i="34"/>
  <c r="C14" i="34"/>
  <c r="C15" i="34"/>
  <c r="C16" i="34"/>
  <c r="L2" i="64" l="1"/>
  <c r="J3" i="54"/>
  <c r="L3" i="39"/>
  <c r="L2" i="39"/>
  <c r="B1966" i="34" l="1"/>
  <c r="B1964" i="34"/>
  <c r="B1855" i="34"/>
  <c r="B1661" i="34"/>
  <c r="B1659" i="34"/>
  <c r="B1461" i="34"/>
  <c r="B1119" i="34"/>
  <c r="A1661" i="34" l="1"/>
  <c r="V1661" i="34"/>
  <c r="Y1661" i="34"/>
  <c r="A1119" i="34"/>
  <c r="Y1119" i="34"/>
  <c r="V1119" i="34"/>
  <c r="A1964" i="34"/>
  <c r="Y1964" i="34"/>
  <c r="V1964" i="34"/>
  <c r="A1855" i="34"/>
  <c r="Y1855" i="34"/>
  <c r="V1855" i="34"/>
  <c r="A1461" i="34"/>
  <c r="Y1461" i="34"/>
  <c r="V1461" i="34"/>
  <c r="A1659" i="34"/>
  <c r="Y1659" i="34"/>
  <c r="V1659" i="34"/>
  <c r="A1966" i="34"/>
  <c r="Y1966" i="34"/>
  <c r="V1966" i="34"/>
  <c r="N2093" i="34"/>
  <c r="R2093" i="34"/>
  <c r="S2093" i="34"/>
  <c r="T2093" i="34"/>
  <c r="W2093" i="34"/>
  <c r="X2093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54" i="34"/>
  <c r="B1253" i="34"/>
  <c r="B1252" i="34"/>
  <c r="B1251" i="34"/>
  <c r="B1250" i="34"/>
  <c r="B1249" i="34"/>
  <c r="B1248" i="34"/>
  <c r="B1247" i="34"/>
  <c r="B1246" i="34"/>
  <c r="B1213" i="34"/>
  <c r="B1212" i="34"/>
  <c r="B1211" i="34"/>
  <c r="B1210" i="34"/>
  <c r="B1209" i="34"/>
  <c r="B1208" i="34"/>
  <c r="B1207" i="34"/>
  <c r="B1206" i="34"/>
  <c r="B1205" i="34"/>
  <c r="B1177" i="34"/>
  <c r="B1176" i="34"/>
  <c r="B1175" i="34"/>
  <c r="B1174" i="34"/>
  <c r="B1173" i="34"/>
  <c r="B1172" i="34"/>
  <c r="B1171" i="34"/>
  <c r="B1170" i="34"/>
  <c r="B1169" i="34"/>
  <c r="B1672" i="34"/>
  <c r="B1652" i="34"/>
  <c r="B1651" i="34"/>
  <c r="B1551" i="34"/>
  <c r="B1550" i="34"/>
  <c r="B1484" i="34"/>
  <c r="B1483" i="34"/>
  <c r="B1455" i="34"/>
  <c r="B1454" i="34"/>
  <c r="B1420" i="34"/>
  <c r="B1419" i="34"/>
  <c r="B1412" i="34"/>
  <c r="B1411" i="34"/>
  <c r="B1410" i="34"/>
  <c r="B1409" i="34"/>
  <c r="B1396" i="34"/>
  <c r="B1395" i="34"/>
  <c r="B1394" i="34"/>
  <c r="B1393" i="34"/>
  <c r="B1392" i="34"/>
  <c r="B1391" i="34"/>
  <c r="B1371" i="34"/>
  <c r="B1370" i="34"/>
  <c r="B1369" i="34"/>
  <c r="B1368" i="34"/>
  <c r="B1367" i="34"/>
  <c r="B1366" i="34"/>
  <c r="B1365" i="34"/>
  <c r="B1364" i="34"/>
  <c r="B1363" i="34"/>
  <c r="B1341" i="34"/>
  <c r="B1340" i="34"/>
  <c r="B1339" i="34"/>
  <c r="B1338" i="34"/>
  <c r="B1337" i="34"/>
  <c r="B1336" i="34"/>
  <c r="B1335" i="34"/>
  <c r="B1334" i="34"/>
  <c r="B1333" i="34"/>
  <c r="B1299" i="34"/>
  <c r="B1298" i="34"/>
  <c r="B1297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85" i="34"/>
  <c r="B1764" i="34"/>
  <c r="B1763" i="34"/>
  <c r="B1762" i="34"/>
  <c r="B1761" i="34"/>
  <c r="B1760" i="34"/>
  <c r="B1759" i="34"/>
  <c r="B1758" i="34"/>
  <c r="B1757" i="34"/>
  <c r="B1756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15" i="34"/>
  <c r="B1714" i="34"/>
  <c r="B1680" i="34"/>
  <c r="B1679" i="34"/>
  <c r="B1678" i="34"/>
  <c r="B1677" i="34"/>
  <c r="B1676" i="34"/>
  <c r="B1675" i="34"/>
  <c r="B1674" i="34"/>
  <c r="B1673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20" i="34"/>
  <c r="B1519" i="34"/>
  <c r="B1518" i="34"/>
  <c r="B1517" i="34"/>
  <c r="B1516" i="34"/>
  <c r="B1515" i="34"/>
  <c r="B1514" i="34"/>
  <c r="B1513" i="34"/>
  <c r="B1512" i="34"/>
  <c r="B1493" i="34"/>
  <c r="B1492" i="34"/>
  <c r="B1491" i="34"/>
  <c r="B1490" i="34"/>
  <c r="B1489" i="34"/>
  <c r="B1488" i="34"/>
  <c r="B1487" i="34"/>
  <c r="B1486" i="34"/>
  <c r="B148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608" i="34"/>
  <c r="B1607" i="34"/>
  <c r="B1606" i="34"/>
  <c r="B1605" i="34"/>
  <c r="B1604" i="34"/>
  <c r="B1603" i="34"/>
  <c r="B1602" i="34"/>
  <c r="B1601" i="34"/>
  <c r="B1570" i="34"/>
  <c r="B1569" i="34"/>
  <c r="B1568" i="34"/>
  <c r="B1567" i="34"/>
  <c r="A42" i="70"/>
  <c r="B287" i="34"/>
  <c r="A1568" i="34" l="1"/>
  <c r="Y1568" i="34"/>
  <c r="V1568" i="34"/>
  <c r="A1815" i="34"/>
  <c r="Y1815" i="34"/>
  <c r="V1815" i="34"/>
  <c r="A1513" i="34"/>
  <c r="V1513" i="34"/>
  <c r="Y1513" i="34"/>
  <c r="A1567" i="34"/>
  <c r="Y1567" i="34"/>
  <c r="V1567" i="34"/>
  <c r="A1601" i="34"/>
  <c r="V1601" i="34"/>
  <c r="Y1601" i="34"/>
  <c r="A1605" i="34"/>
  <c r="V1605" i="34"/>
  <c r="Y1605" i="34"/>
  <c r="A1814" i="34"/>
  <c r="Y1814" i="34"/>
  <c r="V1814" i="34"/>
  <c r="A1818" i="34"/>
  <c r="Y1818" i="34"/>
  <c r="V1818" i="34"/>
  <c r="A1822" i="34"/>
  <c r="Y1822" i="34"/>
  <c r="V1822" i="34"/>
  <c r="A1486" i="34"/>
  <c r="V1486" i="34"/>
  <c r="Y1486" i="34"/>
  <c r="A1490" i="34"/>
  <c r="Y1490" i="34"/>
  <c r="V1490" i="34"/>
  <c r="A1512" i="34"/>
  <c r="Y1512" i="34"/>
  <c r="V1512" i="34"/>
  <c r="A1516" i="34"/>
  <c r="Y1516" i="34"/>
  <c r="V1516" i="34"/>
  <c r="A1520" i="34"/>
  <c r="Y1520" i="34"/>
  <c r="V1520" i="34"/>
  <c r="A1557" i="34"/>
  <c r="V1557" i="34"/>
  <c r="Y1557" i="34"/>
  <c r="A1561" i="34"/>
  <c r="V1561" i="34"/>
  <c r="Y1561" i="34"/>
  <c r="A1565" i="34"/>
  <c r="V1565" i="34"/>
  <c r="Y1565" i="34"/>
  <c r="A1675" i="34"/>
  <c r="Y1675" i="34"/>
  <c r="V1675" i="34"/>
  <c r="A1679" i="34"/>
  <c r="Y1679" i="34"/>
  <c r="V1679" i="34"/>
  <c r="A1727" i="34"/>
  <c r="Y1727" i="34"/>
  <c r="V1727" i="34"/>
  <c r="A1731" i="34"/>
  <c r="Y1731" i="34"/>
  <c r="V1731" i="34"/>
  <c r="A1735" i="34"/>
  <c r="Y1735" i="34"/>
  <c r="V1735" i="34"/>
  <c r="A1757" i="34"/>
  <c r="V1757" i="34"/>
  <c r="Y1757" i="34"/>
  <c r="A1761" i="34"/>
  <c r="V1761" i="34"/>
  <c r="Y1761" i="34"/>
  <c r="A1785" i="34"/>
  <c r="V1785" i="34"/>
  <c r="Y1785" i="34"/>
  <c r="A1789" i="34"/>
  <c r="V1789" i="34"/>
  <c r="Y1789" i="34"/>
  <c r="A1793" i="34"/>
  <c r="V1793" i="34"/>
  <c r="Y1793" i="34"/>
  <c r="A1297" i="34"/>
  <c r="Y1297" i="34"/>
  <c r="V1297" i="34"/>
  <c r="A1334" i="34"/>
  <c r="Y1334" i="34"/>
  <c r="V1334" i="34"/>
  <c r="A1338" i="34"/>
  <c r="Y1338" i="34"/>
  <c r="V1338" i="34"/>
  <c r="A1363" i="34"/>
  <c r="V1363" i="34"/>
  <c r="Y1363" i="34"/>
  <c r="A1367" i="34"/>
  <c r="V1367" i="34"/>
  <c r="Y1367" i="34"/>
  <c r="A1371" i="34"/>
  <c r="V1371" i="34"/>
  <c r="Y1371" i="34"/>
  <c r="A1394" i="34"/>
  <c r="Y1394" i="34"/>
  <c r="V1394" i="34"/>
  <c r="A1410" i="34"/>
  <c r="Y1410" i="34"/>
  <c r="V1410" i="34"/>
  <c r="A1420" i="34"/>
  <c r="Y1420" i="34"/>
  <c r="V1420" i="34"/>
  <c r="A1484" i="34"/>
  <c r="Y1484" i="34"/>
  <c r="V1484" i="34"/>
  <c r="A1652" i="34"/>
  <c r="Y1652" i="34"/>
  <c r="V1652" i="34"/>
  <c r="A1171" i="34"/>
  <c r="Y1171" i="34"/>
  <c r="V1171" i="34"/>
  <c r="A1175" i="34"/>
  <c r="Y1175" i="34"/>
  <c r="V1175" i="34"/>
  <c r="A1206" i="34"/>
  <c r="Y1206" i="34"/>
  <c r="V1206" i="34"/>
  <c r="A1210" i="34"/>
  <c r="Y1210" i="34"/>
  <c r="V1210" i="34"/>
  <c r="A1246" i="34"/>
  <c r="Y1246" i="34"/>
  <c r="V1246" i="34"/>
  <c r="A1250" i="34"/>
  <c r="Y1250" i="34"/>
  <c r="V1250" i="34"/>
  <c r="A1254" i="34"/>
  <c r="Y1254" i="34"/>
  <c r="V1254" i="34"/>
  <c r="A1285" i="34"/>
  <c r="Y1285" i="34"/>
  <c r="V1285" i="34"/>
  <c r="A1289" i="34"/>
  <c r="Y1289" i="34"/>
  <c r="V1289" i="34"/>
  <c r="A1293" i="34"/>
  <c r="Y1293" i="34"/>
  <c r="V1293" i="34"/>
  <c r="A1606" i="34"/>
  <c r="Y1606" i="34"/>
  <c r="V1606" i="34"/>
  <c r="A1487" i="34"/>
  <c r="Y1487" i="34"/>
  <c r="V1487" i="34"/>
  <c r="A1554" i="34"/>
  <c r="Y1554" i="34"/>
  <c r="V1554" i="34"/>
  <c r="A1558" i="34"/>
  <c r="Y1558" i="34"/>
  <c r="V1558" i="34"/>
  <c r="A1562" i="34"/>
  <c r="Y1562" i="34"/>
  <c r="V1562" i="34"/>
  <c r="A1566" i="34"/>
  <c r="Y1566" i="34"/>
  <c r="V1566" i="34"/>
  <c r="A1676" i="34"/>
  <c r="Y1676" i="34"/>
  <c r="V1676" i="34"/>
  <c r="A1680" i="34"/>
  <c r="Y1680" i="34"/>
  <c r="V1680" i="34"/>
  <c r="A1728" i="34"/>
  <c r="Y1728" i="34"/>
  <c r="V1728" i="34"/>
  <c r="A1732" i="34"/>
  <c r="Y1732" i="34"/>
  <c r="V1732" i="34"/>
  <c r="A1736" i="34"/>
  <c r="Y1736" i="34"/>
  <c r="V1736" i="34"/>
  <c r="A1758" i="34"/>
  <c r="Y1758" i="34"/>
  <c r="V1758" i="34"/>
  <c r="A1762" i="34"/>
  <c r="Y1762" i="34"/>
  <c r="V1762" i="34"/>
  <c r="A1786" i="34"/>
  <c r="Y1786" i="34"/>
  <c r="V1786" i="34"/>
  <c r="A1790" i="34"/>
  <c r="Y1790" i="34"/>
  <c r="V1790" i="34"/>
  <c r="A1811" i="34"/>
  <c r="Y1811" i="34"/>
  <c r="V1811" i="34"/>
  <c r="A1298" i="34"/>
  <c r="Y1298" i="34"/>
  <c r="V1298" i="34"/>
  <c r="A1335" i="34"/>
  <c r="V1335" i="34"/>
  <c r="Y1335" i="34"/>
  <c r="A1339" i="34"/>
  <c r="V1339" i="34"/>
  <c r="Y1339" i="34"/>
  <c r="A1364" i="34"/>
  <c r="Y1364" i="34"/>
  <c r="V1364" i="34"/>
  <c r="A1368" i="34"/>
  <c r="Y1368" i="34"/>
  <c r="V1368" i="34"/>
  <c r="A1391" i="34"/>
  <c r="V1391" i="34"/>
  <c r="Y1391" i="34"/>
  <c r="A1395" i="34"/>
  <c r="V1395" i="34"/>
  <c r="Y1395" i="34"/>
  <c r="A1411" i="34"/>
  <c r="V1411" i="34"/>
  <c r="Y1411" i="34"/>
  <c r="A1454" i="34"/>
  <c r="Y1454" i="34"/>
  <c r="V1454" i="34"/>
  <c r="A1550" i="34"/>
  <c r="Y1550" i="34"/>
  <c r="V1550" i="34"/>
  <c r="A1672" i="34"/>
  <c r="Y1672" i="34"/>
  <c r="V1672" i="34"/>
  <c r="A1172" i="34"/>
  <c r="Y1172" i="34"/>
  <c r="V1172" i="34"/>
  <c r="A1176" i="34"/>
  <c r="Y1176" i="34"/>
  <c r="V1176" i="34"/>
  <c r="A1207" i="34"/>
  <c r="Y1207" i="34"/>
  <c r="V1207" i="34"/>
  <c r="A1211" i="34"/>
  <c r="Y1211" i="34"/>
  <c r="V1211" i="34"/>
  <c r="A1247" i="34"/>
  <c r="V1247" i="34"/>
  <c r="Y1247" i="34"/>
  <c r="A1251" i="34"/>
  <c r="V1251" i="34"/>
  <c r="Y1251" i="34"/>
  <c r="A1282" i="34"/>
  <c r="Y1282" i="34"/>
  <c r="V1282" i="34"/>
  <c r="A1286" i="34"/>
  <c r="Y1286" i="34"/>
  <c r="V1286" i="34"/>
  <c r="A1290" i="34"/>
  <c r="Y1290" i="34"/>
  <c r="V1290" i="34"/>
  <c r="A1294" i="34"/>
  <c r="Y1294" i="34"/>
  <c r="V1294" i="34"/>
  <c r="A1819" i="34"/>
  <c r="Y1819" i="34"/>
  <c r="V1819" i="34"/>
  <c r="A1491" i="34"/>
  <c r="Y1491" i="34"/>
  <c r="V1491" i="34"/>
  <c r="A287" i="34"/>
  <c r="V287" i="34"/>
  <c r="Y287" i="34"/>
  <c r="A1569" i="34"/>
  <c r="V1569" i="34"/>
  <c r="Y1569" i="34"/>
  <c r="A1603" i="34"/>
  <c r="Y1603" i="34"/>
  <c r="V1603" i="34"/>
  <c r="A1607" i="34"/>
  <c r="Y1607" i="34"/>
  <c r="V1607" i="34"/>
  <c r="A1816" i="34"/>
  <c r="Y1816" i="34"/>
  <c r="V1816" i="34"/>
  <c r="A1820" i="34"/>
  <c r="Y1820" i="34"/>
  <c r="V1820" i="34"/>
  <c r="A1824" i="34"/>
  <c r="Y1824" i="34"/>
  <c r="V1824" i="34"/>
  <c r="A1488" i="34"/>
  <c r="Y1488" i="34"/>
  <c r="V1488" i="34"/>
  <c r="A1492" i="34"/>
  <c r="Y1492" i="34"/>
  <c r="V1492" i="34"/>
  <c r="A1514" i="34"/>
  <c r="Y1514" i="34"/>
  <c r="V1514" i="34"/>
  <c r="A1518" i="34"/>
  <c r="Y1518" i="34"/>
  <c r="V1518" i="34"/>
  <c r="A1555" i="34"/>
  <c r="Y1555" i="34"/>
  <c r="V1555" i="34"/>
  <c r="A1559" i="34"/>
  <c r="Y1559" i="34"/>
  <c r="V1559" i="34"/>
  <c r="A1563" i="34"/>
  <c r="Y1563" i="34"/>
  <c r="V1563" i="34"/>
  <c r="A1673" i="34"/>
  <c r="V1673" i="34"/>
  <c r="Y1673" i="34"/>
  <c r="A1677" i="34"/>
  <c r="V1677" i="34"/>
  <c r="Y1677" i="34"/>
  <c r="A1714" i="34"/>
  <c r="Y1714" i="34"/>
  <c r="V1714" i="34"/>
  <c r="A1729" i="34"/>
  <c r="V1729" i="34"/>
  <c r="Y1729" i="34"/>
  <c r="A1733" i="34"/>
  <c r="V1733" i="34"/>
  <c r="Y1733" i="34"/>
  <c r="A1737" i="34"/>
  <c r="V1737" i="34"/>
  <c r="Y1737" i="34"/>
  <c r="A1759" i="34"/>
  <c r="Y1759" i="34"/>
  <c r="V1759" i="34"/>
  <c r="A1763" i="34"/>
  <c r="Y1763" i="34"/>
  <c r="V1763" i="34"/>
  <c r="A1787" i="34"/>
  <c r="Y1787" i="34"/>
  <c r="V1787" i="34"/>
  <c r="A1791" i="34"/>
  <c r="Y1791" i="34"/>
  <c r="V1791" i="34"/>
  <c r="A1812" i="34"/>
  <c r="Y1812" i="34"/>
  <c r="V1812" i="34"/>
  <c r="A1299" i="34"/>
  <c r="V1299" i="34"/>
  <c r="Y1299" i="34"/>
  <c r="A1336" i="34"/>
  <c r="Y1336" i="34"/>
  <c r="V1336" i="34"/>
  <c r="A1340" i="34"/>
  <c r="Y1340" i="34"/>
  <c r="V1340" i="34"/>
  <c r="A1365" i="34"/>
  <c r="Y1365" i="34"/>
  <c r="V1365" i="34"/>
  <c r="A1369" i="34"/>
  <c r="Y1369" i="34"/>
  <c r="V1369" i="34"/>
  <c r="A1392" i="34"/>
  <c r="Y1392" i="34"/>
  <c r="V1392" i="34"/>
  <c r="A1396" i="34"/>
  <c r="Y1396" i="34"/>
  <c r="V1396" i="34"/>
  <c r="A1412" i="34"/>
  <c r="Y1412" i="34"/>
  <c r="V1412" i="34"/>
  <c r="A1455" i="34"/>
  <c r="V1455" i="34"/>
  <c r="Y1455" i="34"/>
  <c r="A1551" i="34"/>
  <c r="Y1551" i="34"/>
  <c r="V1551" i="34"/>
  <c r="A1169" i="34"/>
  <c r="V1169" i="34"/>
  <c r="Y1169" i="34"/>
  <c r="A1173" i="34"/>
  <c r="V1173" i="34"/>
  <c r="Y1173" i="34"/>
  <c r="A1177" i="34"/>
  <c r="V1177" i="34"/>
  <c r="Y1177" i="34"/>
  <c r="A1208" i="34"/>
  <c r="Y1208" i="34"/>
  <c r="V1208" i="34"/>
  <c r="A1212" i="34"/>
  <c r="Y1212" i="34"/>
  <c r="V1212" i="34"/>
  <c r="A1248" i="34"/>
  <c r="Y1248" i="34"/>
  <c r="V1248" i="34"/>
  <c r="A1252" i="34"/>
  <c r="Y1252" i="34"/>
  <c r="V1252" i="34"/>
  <c r="A1283" i="34"/>
  <c r="V1283" i="34"/>
  <c r="Y1283" i="34"/>
  <c r="A1287" i="34"/>
  <c r="V1287" i="34"/>
  <c r="Y1287" i="34"/>
  <c r="A1291" i="34"/>
  <c r="V1291" i="34"/>
  <c r="Y1291" i="34"/>
  <c r="A1295" i="34"/>
  <c r="V1295" i="34"/>
  <c r="Y1295" i="34"/>
  <c r="A1602" i="34"/>
  <c r="Y1602" i="34"/>
  <c r="V1602" i="34"/>
  <c r="A1823" i="34"/>
  <c r="Y1823" i="34"/>
  <c r="V1823" i="34"/>
  <c r="A1517" i="34"/>
  <c r="V1517" i="34"/>
  <c r="Y1517" i="34"/>
  <c r="A1570" i="34"/>
  <c r="Y1570" i="34"/>
  <c r="V1570" i="34"/>
  <c r="A1604" i="34"/>
  <c r="Y1604" i="34"/>
  <c r="V1604" i="34"/>
  <c r="A1608" i="34"/>
  <c r="Y1608" i="34"/>
  <c r="V1608" i="34"/>
  <c r="A1817" i="34"/>
  <c r="V1817" i="34"/>
  <c r="Y1817" i="34"/>
  <c r="A1821" i="34"/>
  <c r="V1821" i="34"/>
  <c r="Y1821" i="34"/>
  <c r="A1485" i="34"/>
  <c r="V1485" i="34"/>
  <c r="Y1485" i="34"/>
  <c r="A1489" i="34"/>
  <c r="V1489" i="34"/>
  <c r="Y1489" i="34"/>
  <c r="A1493" i="34"/>
  <c r="V1493" i="34"/>
  <c r="Y1493" i="34"/>
  <c r="A1515" i="34"/>
  <c r="Y1515" i="34"/>
  <c r="V1515" i="34"/>
  <c r="A1519" i="34"/>
  <c r="Y1519" i="34"/>
  <c r="V1519" i="34"/>
  <c r="A1556" i="34"/>
  <c r="Y1556" i="34"/>
  <c r="V1556" i="34"/>
  <c r="A1560" i="34"/>
  <c r="Y1560" i="34"/>
  <c r="V1560" i="34"/>
  <c r="A1564" i="34"/>
  <c r="Y1564" i="34"/>
  <c r="V1564" i="34"/>
  <c r="A1674" i="34"/>
  <c r="Y1674" i="34"/>
  <c r="V1674" i="34"/>
  <c r="A1678" i="34"/>
  <c r="Y1678" i="34"/>
  <c r="V1678" i="34"/>
  <c r="A1715" i="34"/>
  <c r="Y1715" i="34"/>
  <c r="V1715" i="34"/>
  <c r="A1730" i="34"/>
  <c r="Y1730" i="34"/>
  <c r="V1730" i="34"/>
  <c r="A1734" i="34"/>
  <c r="Y1734" i="34"/>
  <c r="V1734" i="34"/>
  <c r="A1756" i="34"/>
  <c r="Y1756" i="34"/>
  <c r="V1756" i="34"/>
  <c r="A1760" i="34"/>
  <c r="Y1760" i="34"/>
  <c r="V1760" i="34"/>
  <c r="A1764" i="34"/>
  <c r="Y1764" i="34"/>
  <c r="V1764" i="34"/>
  <c r="A1788" i="34"/>
  <c r="Y1788" i="34"/>
  <c r="V1788" i="34"/>
  <c r="A1792" i="34"/>
  <c r="Y1792" i="34"/>
  <c r="V1792" i="34"/>
  <c r="A1813" i="34"/>
  <c r="V1813" i="34"/>
  <c r="Y1813" i="34"/>
  <c r="A1333" i="34"/>
  <c r="Y1333" i="34"/>
  <c r="V1333" i="34"/>
  <c r="A1337" i="34"/>
  <c r="Y1337" i="34"/>
  <c r="V1337" i="34"/>
  <c r="A1341" i="34"/>
  <c r="Y1341" i="34"/>
  <c r="V1341" i="34"/>
  <c r="A1366" i="34"/>
  <c r="Y1366" i="34"/>
  <c r="V1366" i="34"/>
  <c r="A1370" i="34"/>
  <c r="Y1370" i="34"/>
  <c r="V1370" i="34"/>
  <c r="A1393" i="34"/>
  <c r="Y1393" i="34"/>
  <c r="V1393" i="34"/>
  <c r="A1409" i="34"/>
  <c r="Y1409" i="34"/>
  <c r="V1409" i="34"/>
  <c r="A1419" i="34"/>
  <c r="V1419" i="34"/>
  <c r="Y1419" i="34"/>
  <c r="A1483" i="34"/>
  <c r="V1483" i="34"/>
  <c r="Y1483" i="34"/>
  <c r="A1651" i="34"/>
  <c r="Y1651" i="34"/>
  <c r="V1651" i="34"/>
  <c r="A1170" i="34"/>
  <c r="Y1170" i="34"/>
  <c r="V1170" i="34"/>
  <c r="A1174" i="34"/>
  <c r="Y1174" i="34"/>
  <c r="V1174" i="34"/>
  <c r="A1205" i="34"/>
  <c r="V1205" i="34"/>
  <c r="Y1205" i="34"/>
  <c r="A1209" i="34"/>
  <c r="V1209" i="34"/>
  <c r="Y1209" i="34"/>
  <c r="A1213" i="34"/>
  <c r="V1213" i="34"/>
  <c r="Y1213" i="34"/>
  <c r="A1249" i="34"/>
  <c r="Y1249" i="34"/>
  <c r="V1249" i="34"/>
  <c r="A1253" i="34"/>
  <c r="Y1253" i="34"/>
  <c r="V1253" i="34"/>
  <c r="A1284" i="34"/>
  <c r="Y1284" i="34"/>
  <c r="V1284" i="34"/>
  <c r="A1288" i="34"/>
  <c r="Y1288" i="34"/>
  <c r="V1288" i="34"/>
  <c r="A1292" i="34"/>
  <c r="Y1292" i="34"/>
  <c r="V1292" i="34"/>
  <c r="A1296" i="34"/>
  <c r="Y1296" i="34"/>
  <c r="V1296" i="34"/>
  <c r="B335" i="34"/>
  <c r="B315" i="34"/>
  <c r="B314" i="34"/>
  <c r="B1045" i="34"/>
  <c r="B1044" i="34"/>
  <c r="B1033" i="34"/>
  <c r="B1032" i="34"/>
  <c r="B1016" i="34"/>
  <c r="B1015" i="34"/>
  <c r="B1010" i="34"/>
  <c r="B1009" i="34"/>
  <c r="B1002" i="34"/>
  <c r="B1001" i="34"/>
  <c r="B902" i="34"/>
  <c r="B901" i="34"/>
  <c r="B884" i="34"/>
  <c r="B883" i="34"/>
  <c r="B882" i="34"/>
  <c r="B877" i="34"/>
  <c r="B876" i="34"/>
  <c r="B857" i="34"/>
  <c r="B856" i="34"/>
  <c r="B855" i="34"/>
  <c r="B848" i="34"/>
  <c r="B847" i="34"/>
  <c r="B846" i="34"/>
  <c r="B845" i="34"/>
  <c r="B842" i="34"/>
  <c r="B841" i="34"/>
  <c r="B840" i="34"/>
  <c r="B835" i="34"/>
  <c r="B834" i="34"/>
  <c r="B829" i="34"/>
  <c r="B828" i="34"/>
  <c r="B826" i="34"/>
  <c r="B825" i="34"/>
  <c r="B816" i="34"/>
  <c r="B815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59" i="34"/>
  <c r="B758" i="34"/>
  <c r="B754" i="34"/>
  <c r="B753" i="34"/>
  <c r="B748" i="34"/>
  <c r="B747" i="34"/>
  <c r="B300" i="34"/>
  <c r="B299" i="34"/>
  <c r="B297" i="34"/>
  <c r="B296" i="34"/>
  <c r="B295" i="34"/>
  <c r="B59" i="34"/>
  <c r="B32" i="34"/>
  <c r="B31" i="34"/>
  <c r="B30" i="34"/>
  <c r="B1056" i="34"/>
  <c r="B1055" i="34"/>
  <c r="B895" i="34"/>
  <c r="B894" i="34"/>
  <c r="B893" i="34"/>
  <c r="B892" i="34"/>
  <c r="B888" i="34"/>
  <c r="B887" i="34"/>
  <c r="B886" i="34"/>
  <c r="B872" i="34"/>
  <c r="B871" i="34"/>
  <c r="B870" i="34"/>
  <c r="B869" i="34"/>
  <c r="B867" i="34"/>
  <c r="B866" i="34"/>
  <c r="B865" i="34"/>
  <c r="B864" i="34"/>
  <c r="B860" i="34"/>
  <c r="B859" i="34"/>
  <c r="B833" i="34"/>
  <c r="B832" i="34"/>
  <c r="B831" i="34"/>
  <c r="B823" i="34"/>
  <c r="B822" i="34"/>
  <c r="B821" i="34"/>
  <c r="B820" i="34"/>
  <c r="B819" i="34"/>
  <c r="B818" i="34"/>
  <c r="B812" i="34"/>
  <c r="B811" i="34"/>
  <c r="B809" i="34"/>
  <c r="B808" i="34"/>
  <c r="B807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1124" i="34"/>
  <c r="B1123" i="34"/>
  <c r="B923" i="34"/>
  <c r="B921" i="34"/>
  <c r="B920" i="34"/>
  <c r="B918" i="34"/>
  <c r="B917" i="34"/>
  <c r="B910" i="34"/>
  <c r="B909" i="34"/>
  <c r="B908" i="34"/>
  <c r="B907" i="34"/>
  <c r="B906" i="34"/>
  <c r="B905" i="34"/>
  <c r="B904" i="34"/>
  <c r="A923" i="34" l="1"/>
  <c r="Y923" i="34"/>
  <c r="V923" i="34"/>
  <c r="A807" i="34"/>
  <c r="Y807" i="34"/>
  <c r="V807" i="34"/>
  <c r="A832" i="34"/>
  <c r="V832" i="34"/>
  <c r="Y832" i="34"/>
  <c r="A893" i="34"/>
  <c r="Y893" i="34"/>
  <c r="V893" i="34"/>
  <c r="A766" i="34"/>
  <c r="Y766" i="34"/>
  <c r="V766" i="34"/>
  <c r="A778" i="34"/>
  <c r="Y778" i="34"/>
  <c r="V778" i="34"/>
  <c r="A829" i="34"/>
  <c r="Y829" i="34"/>
  <c r="V829" i="34"/>
  <c r="A909" i="34"/>
  <c r="Y909" i="34"/>
  <c r="V909" i="34"/>
  <c r="A1124" i="34"/>
  <c r="Y1124" i="34"/>
  <c r="V1124" i="34"/>
  <c r="A800" i="34"/>
  <c r="Y800" i="34"/>
  <c r="V800" i="34"/>
  <c r="A804" i="34"/>
  <c r="V804" i="34"/>
  <c r="Y804" i="34"/>
  <c r="A819" i="34"/>
  <c r="Y819" i="34"/>
  <c r="V819" i="34"/>
  <c r="A866" i="34"/>
  <c r="Y866" i="34"/>
  <c r="V866" i="34"/>
  <c r="A871" i="34"/>
  <c r="Y871" i="34"/>
  <c r="V871" i="34"/>
  <c r="A895" i="34"/>
  <c r="Y895" i="34"/>
  <c r="V895" i="34"/>
  <c r="A296" i="34"/>
  <c r="Y296" i="34"/>
  <c r="V296" i="34"/>
  <c r="A758" i="34"/>
  <c r="Y758" i="34"/>
  <c r="V758" i="34"/>
  <c r="A768" i="34"/>
  <c r="V768" i="34"/>
  <c r="Y768" i="34"/>
  <c r="A776" i="34"/>
  <c r="V776" i="34"/>
  <c r="Y776" i="34"/>
  <c r="A784" i="34"/>
  <c r="Y784" i="34"/>
  <c r="V784" i="34"/>
  <c r="A788" i="34"/>
  <c r="Y788" i="34"/>
  <c r="V788" i="34"/>
  <c r="A826" i="34"/>
  <c r="Y826" i="34"/>
  <c r="V826" i="34"/>
  <c r="A845" i="34"/>
  <c r="Y845" i="34"/>
  <c r="V845" i="34"/>
  <c r="A855" i="34"/>
  <c r="Y855" i="34"/>
  <c r="V855" i="34"/>
  <c r="A901" i="34"/>
  <c r="Y901" i="34"/>
  <c r="V901" i="34"/>
  <c r="A1032" i="34"/>
  <c r="Y1032" i="34"/>
  <c r="V1032" i="34"/>
  <c r="A906" i="34"/>
  <c r="Y906" i="34"/>
  <c r="V906" i="34"/>
  <c r="A910" i="34"/>
  <c r="Y910" i="34"/>
  <c r="V910" i="34"/>
  <c r="A921" i="34"/>
  <c r="Y921" i="34"/>
  <c r="V921" i="34"/>
  <c r="A793" i="34"/>
  <c r="Y793" i="34"/>
  <c r="V793" i="34"/>
  <c r="A797" i="34"/>
  <c r="V797" i="34"/>
  <c r="Y797" i="34"/>
  <c r="A801" i="34"/>
  <c r="V801" i="34"/>
  <c r="Y801" i="34"/>
  <c r="A805" i="34"/>
  <c r="Y805" i="34"/>
  <c r="V805" i="34"/>
  <c r="A811" i="34"/>
  <c r="Y811" i="34"/>
  <c r="V811" i="34"/>
  <c r="A820" i="34"/>
  <c r="V820" i="34"/>
  <c r="Y820" i="34"/>
  <c r="A831" i="34"/>
  <c r="Y831" i="34"/>
  <c r="V831" i="34"/>
  <c r="A860" i="34"/>
  <c r="V860" i="34"/>
  <c r="Y860" i="34"/>
  <c r="A867" i="34"/>
  <c r="Y867" i="34"/>
  <c r="V867" i="34"/>
  <c r="A872" i="34"/>
  <c r="V872" i="34"/>
  <c r="Y872" i="34"/>
  <c r="A892" i="34"/>
  <c r="V892" i="34"/>
  <c r="Y892" i="34"/>
  <c r="A1055" i="34"/>
  <c r="Y1055" i="34"/>
  <c r="V1055" i="34"/>
  <c r="A32" i="34"/>
  <c r="Y32" i="34"/>
  <c r="V32" i="34"/>
  <c r="A297" i="34"/>
  <c r="Y297" i="34"/>
  <c r="V297" i="34"/>
  <c r="A748" i="34"/>
  <c r="Y748" i="34"/>
  <c r="V748" i="34"/>
  <c r="A759" i="34"/>
  <c r="Y759" i="34"/>
  <c r="V759" i="34"/>
  <c r="A769" i="34"/>
  <c r="Y769" i="34"/>
  <c r="V769" i="34"/>
  <c r="A773" i="34"/>
  <c r="Y773" i="34"/>
  <c r="V773" i="34"/>
  <c r="A777" i="34"/>
  <c r="Y777" i="34"/>
  <c r="V777" i="34"/>
  <c r="A781" i="34"/>
  <c r="Y781" i="34"/>
  <c r="V781" i="34"/>
  <c r="A785" i="34"/>
  <c r="Y785" i="34"/>
  <c r="V785" i="34"/>
  <c r="A789" i="34"/>
  <c r="Y789" i="34"/>
  <c r="V789" i="34"/>
  <c r="A815" i="34"/>
  <c r="Y815" i="34"/>
  <c r="V815" i="34"/>
  <c r="A828" i="34"/>
  <c r="V828" i="34"/>
  <c r="Y828" i="34"/>
  <c r="A840" i="34"/>
  <c r="V840" i="34"/>
  <c r="Y840" i="34"/>
  <c r="A846" i="34"/>
  <c r="Y846" i="34"/>
  <c r="V846" i="34"/>
  <c r="A856" i="34"/>
  <c r="V856" i="34"/>
  <c r="Y856" i="34"/>
  <c r="A882" i="34"/>
  <c r="Y882" i="34"/>
  <c r="V882" i="34"/>
  <c r="A902" i="34"/>
  <c r="Y902" i="34"/>
  <c r="V902" i="34"/>
  <c r="A1010" i="34"/>
  <c r="Y1010" i="34"/>
  <c r="V1010" i="34"/>
  <c r="A1033" i="34"/>
  <c r="V1033" i="34"/>
  <c r="Y1033" i="34"/>
  <c r="A315" i="34"/>
  <c r="Y315" i="34"/>
  <c r="V315" i="34"/>
  <c r="A907" i="34"/>
  <c r="Y907" i="34"/>
  <c r="V907" i="34"/>
  <c r="A802" i="34"/>
  <c r="Y802" i="34"/>
  <c r="V802" i="34"/>
  <c r="A886" i="34"/>
  <c r="Y886" i="34"/>
  <c r="V886" i="34"/>
  <c r="A299" i="34"/>
  <c r="Y299" i="34"/>
  <c r="V299" i="34"/>
  <c r="A782" i="34"/>
  <c r="Y782" i="34"/>
  <c r="V782" i="34"/>
  <c r="A816" i="34"/>
  <c r="V816" i="34"/>
  <c r="Y816" i="34"/>
  <c r="A857" i="34"/>
  <c r="Y857" i="34"/>
  <c r="V857" i="34"/>
  <c r="A1001" i="34"/>
  <c r="Y1001" i="34"/>
  <c r="V1001" i="34"/>
  <c r="A1044" i="34"/>
  <c r="Y1044" i="34"/>
  <c r="V1044" i="34"/>
  <c r="A794" i="34"/>
  <c r="V794" i="34"/>
  <c r="Y794" i="34"/>
  <c r="A812" i="34"/>
  <c r="V812" i="34"/>
  <c r="Y812" i="34"/>
  <c r="A864" i="34"/>
  <c r="V864" i="34"/>
  <c r="Y864" i="34"/>
  <c r="A1056" i="34"/>
  <c r="Y1056" i="34"/>
  <c r="V1056" i="34"/>
  <c r="A753" i="34"/>
  <c r="V753" i="34"/>
  <c r="Y753" i="34"/>
  <c r="A774" i="34"/>
  <c r="Y774" i="34"/>
  <c r="V774" i="34"/>
  <c r="A786" i="34"/>
  <c r="V786" i="34"/>
  <c r="Y786" i="34"/>
  <c r="A841" i="34"/>
  <c r="Y841" i="34"/>
  <c r="V841" i="34"/>
  <c r="A847" i="34"/>
  <c r="Y847" i="34"/>
  <c r="V847" i="34"/>
  <c r="A883" i="34"/>
  <c r="Y883" i="34"/>
  <c r="V883" i="34"/>
  <c r="A1015" i="34"/>
  <c r="Y1015" i="34"/>
  <c r="V1015" i="34"/>
  <c r="A335" i="34"/>
  <c r="Y335" i="34"/>
  <c r="V335" i="34"/>
  <c r="A904" i="34"/>
  <c r="V904" i="34"/>
  <c r="Y904" i="34"/>
  <c r="A908" i="34"/>
  <c r="V908" i="34"/>
  <c r="Y908" i="34"/>
  <c r="A918" i="34"/>
  <c r="Y918" i="34"/>
  <c r="V918" i="34"/>
  <c r="A1123" i="34"/>
  <c r="Y1123" i="34"/>
  <c r="V1123" i="34"/>
  <c r="A795" i="34"/>
  <c r="Y795" i="34"/>
  <c r="V795" i="34"/>
  <c r="A799" i="34"/>
  <c r="Y799" i="34"/>
  <c r="V799" i="34"/>
  <c r="A803" i="34"/>
  <c r="Y803" i="34"/>
  <c r="V803" i="34"/>
  <c r="A808" i="34"/>
  <c r="V808" i="34"/>
  <c r="Y808" i="34"/>
  <c r="A818" i="34"/>
  <c r="Y818" i="34"/>
  <c r="V818" i="34"/>
  <c r="A822" i="34"/>
  <c r="Y822" i="34"/>
  <c r="V822" i="34"/>
  <c r="A833" i="34"/>
  <c r="Y833" i="34"/>
  <c r="V833" i="34"/>
  <c r="A865" i="34"/>
  <c r="Y865" i="34"/>
  <c r="V865" i="34"/>
  <c r="A870" i="34"/>
  <c r="Y870" i="34"/>
  <c r="V870" i="34"/>
  <c r="A887" i="34"/>
  <c r="Y887" i="34"/>
  <c r="V887" i="34"/>
  <c r="A894" i="34"/>
  <c r="Y894" i="34"/>
  <c r="V894" i="34"/>
  <c r="A30" i="34"/>
  <c r="Y30" i="34"/>
  <c r="V30" i="34"/>
  <c r="A295" i="34"/>
  <c r="V295" i="34"/>
  <c r="Y295" i="34"/>
  <c r="A300" i="34"/>
  <c r="Y300" i="34"/>
  <c r="V300" i="34"/>
  <c r="A754" i="34"/>
  <c r="Y754" i="34"/>
  <c r="V754" i="34"/>
  <c r="A767" i="34"/>
  <c r="Y767" i="34"/>
  <c r="V767" i="34"/>
  <c r="A771" i="34"/>
  <c r="Y771" i="34"/>
  <c r="V771" i="34"/>
  <c r="A775" i="34"/>
  <c r="Y775" i="34"/>
  <c r="V775" i="34"/>
  <c r="A779" i="34"/>
  <c r="V779" i="34"/>
  <c r="Y779" i="34"/>
  <c r="A783" i="34"/>
  <c r="V783" i="34"/>
  <c r="Y783" i="34"/>
  <c r="A787" i="34"/>
  <c r="Y787" i="34"/>
  <c r="V787" i="34"/>
  <c r="A791" i="34"/>
  <c r="Y791" i="34"/>
  <c r="V791" i="34"/>
  <c r="A825" i="34"/>
  <c r="Y825" i="34"/>
  <c r="V825" i="34"/>
  <c r="A834" i="34"/>
  <c r="Y834" i="34"/>
  <c r="V834" i="34"/>
  <c r="A842" i="34"/>
  <c r="Y842" i="34"/>
  <c r="V842" i="34"/>
  <c r="A848" i="34"/>
  <c r="V848" i="34"/>
  <c r="Y848" i="34"/>
  <c r="A876" i="34"/>
  <c r="V876" i="34"/>
  <c r="Y876" i="34"/>
  <c r="A884" i="34"/>
  <c r="V884" i="34"/>
  <c r="Y884" i="34"/>
  <c r="A1002" i="34"/>
  <c r="V1002" i="34"/>
  <c r="Y1002" i="34"/>
  <c r="A1016" i="34"/>
  <c r="Y1016" i="34"/>
  <c r="V1016" i="34"/>
  <c r="A1045" i="34"/>
  <c r="V1045" i="34"/>
  <c r="Y1045" i="34"/>
  <c r="A917" i="34"/>
  <c r="Y917" i="34"/>
  <c r="V917" i="34"/>
  <c r="A798" i="34"/>
  <c r="Y798" i="34"/>
  <c r="V798" i="34"/>
  <c r="A821" i="34"/>
  <c r="Y821" i="34"/>
  <c r="V821" i="34"/>
  <c r="A869" i="34"/>
  <c r="Y869" i="34"/>
  <c r="V869" i="34"/>
  <c r="A59" i="34"/>
  <c r="V59" i="34"/>
  <c r="Y59" i="34"/>
  <c r="A770" i="34"/>
  <c r="Y770" i="34"/>
  <c r="V770" i="34"/>
  <c r="A790" i="34"/>
  <c r="V790" i="34"/>
  <c r="Y790" i="34"/>
  <c r="A905" i="34"/>
  <c r="Y905" i="34"/>
  <c r="V905" i="34"/>
  <c r="A920" i="34"/>
  <c r="Y920" i="34"/>
  <c r="V920" i="34"/>
  <c r="A796" i="34"/>
  <c r="Y796" i="34"/>
  <c r="V796" i="34"/>
  <c r="A809" i="34"/>
  <c r="Y809" i="34"/>
  <c r="V809" i="34"/>
  <c r="A823" i="34"/>
  <c r="Y823" i="34"/>
  <c r="V823" i="34"/>
  <c r="A859" i="34"/>
  <c r="Y859" i="34"/>
  <c r="V859" i="34"/>
  <c r="A888" i="34"/>
  <c r="V888" i="34"/>
  <c r="Y888" i="34"/>
  <c r="A31" i="34"/>
  <c r="V31" i="34"/>
  <c r="Y31" i="34"/>
  <c r="A747" i="34"/>
  <c r="Y747" i="34"/>
  <c r="V747" i="34"/>
  <c r="A772" i="34"/>
  <c r="V772" i="34"/>
  <c r="Y772" i="34"/>
  <c r="A780" i="34"/>
  <c r="Y780" i="34"/>
  <c r="V780" i="34"/>
  <c r="A792" i="34"/>
  <c r="Y792" i="34"/>
  <c r="V792" i="34"/>
  <c r="A835" i="34"/>
  <c r="Y835" i="34"/>
  <c r="V835" i="34"/>
  <c r="A877" i="34"/>
  <c r="Y877" i="34"/>
  <c r="V877" i="34"/>
  <c r="A1009" i="34"/>
  <c r="V1009" i="34"/>
  <c r="Y1009" i="34"/>
  <c r="A314" i="34"/>
  <c r="Y314" i="34"/>
  <c r="V314" i="34"/>
  <c r="B1663" i="34"/>
  <c r="A1663" i="34" l="1"/>
  <c r="Y1663" i="34"/>
  <c r="V1663" i="34"/>
  <c r="R345" i="60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50" i="34" l="1"/>
  <c r="B2049" i="34"/>
  <c r="B2048" i="34"/>
  <c r="B2027" i="34"/>
  <c r="B2052" i="34"/>
  <c r="B2051" i="34"/>
  <c r="B2053" i="34"/>
  <c r="B2022" i="34"/>
  <c r="B2021" i="34"/>
  <c r="B2020" i="34"/>
  <c r="B2019" i="34"/>
  <c r="B2024" i="34"/>
  <c r="B2023" i="34"/>
  <c r="B2025" i="34"/>
  <c r="B1985" i="34"/>
  <c r="B1984" i="34"/>
  <c r="B1983" i="34"/>
  <c r="B2017" i="34"/>
  <c r="B1986" i="34"/>
  <c r="B2085" i="34"/>
  <c r="A1985" i="34" l="1"/>
  <c r="V1985" i="34"/>
  <c r="Y1985" i="34"/>
  <c r="A2085" i="34"/>
  <c r="V2085" i="34"/>
  <c r="Y2085" i="34"/>
  <c r="A1984" i="34"/>
  <c r="Y1984" i="34"/>
  <c r="V1984" i="34"/>
  <c r="A2024" i="34"/>
  <c r="Y2024" i="34"/>
  <c r="V2024" i="34"/>
  <c r="A2022" i="34"/>
  <c r="Y2022" i="34"/>
  <c r="V2022" i="34"/>
  <c r="A2027" i="34"/>
  <c r="Y2027" i="34"/>
  <c r="V2027" i="34"/>
  <c r="A1986" i="34"/>
  <c r="Y1986" i="34"/>
  <c r="V1986" i="34"/>
  <c r="A2053" i="34"/>
  <c r="V2053" i="34"/>
  <c r="Y2053" i="34"/>
  <c r="A2017" i="34"/>
  <c r="V2017" i="34"/>
  <c r="Y2017" i="34"/>
  <c r="A2025" i="34"/>
  <c r="V2025" i="34"/>
  <c r="Y2025" i="34"/>
  <c r="A2020" i="34"/>
  <c r="Y2020" i="34"/>
  <c r="V2020" i="34"/>
  <c r="A2051" i="34"/>
  <c r="Y2051" i="34"/>
  <c r="V2051" i="34"/>
  <c r="A2049" i="34"/>
  <c r="V2049" i="34"/>
  <c r="Y2049" i="34"/>
  <c r="A2019" i="34"/>
  <c r="Y2019" i="34"/>
  <c r="V2019" i="34"/>
  <c r="A2048" i="34"/>
  <c r="Y2048" i="34"/>
  <c r="V2048" i="34"/>
  <c r="A1983" i="34"/>
  <c r="Y1983" i="34"/>
  <c r="V1983" i="34"/>
  <c r="A2023" i="34"/>
  <c r="Y2023" i="34"/>
  <c r="V2023" i="34"/>
  <c r="A2021" i="34"/>
  <c r="V2021" i="34"/>
  <c r="Y2021" i="34"/>
  <c r="A2052" i="34"/>
  <c r="Y2052" i="34"/>
  <c r="V2052" i="34"/>
  <c r="A2050" i="34"/>
  <c r="Y2050" i="34"/>
  <c r="V2050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09" i="34"/>
  <c r="B1808" i="34"/>
  <c r="B1807" i="34"/>
  <c r="B1806" i="34"/>
  <c r="B1805" i="34"/>
  <c r="B1804" i="34"/>
  <c r="B1803" i="34"/>
  <c r="B1802" i="34"/>
  <c r="B1784" i="34"/>
  <c r="B1783" i="34"/>
  <c r="B1782" i="34"/>
  <c r="B1781" i="34"/>
  <c r="B1780" i="34"/>
  <c r="B1779" i="34"/>
  <c r="B1778" i="34"/>
  <c r="B1777" i="34"/>
  <c r="B1755" i="34"/>
  <c r="B1754" i="34"/>
  <c r="B1753" i="34"/>
  <c r="B1752" i="34"/>
  <c r="B1751" i="34"/>
  <c r="B1750" i="34"/>
  <c r="B1749" i="34"/>
  <c r="B1748" i="34"/>
  <c r="B1747" i="34"/>
  <c r="B1724" i="34"/>
  <c r="B1696" i="34"/>
  <c r="B1695" i="34"/>
  <c r="B1694" i="34"/>
  <c r="B1693" i="34"/>
  <c r="B1692" i="34"/>
  <c r="B1691" i="34"/>
  <c r="B1690" i="34"/>
  <c r="B1689" i="34"/>
  <c r="B1654" i="34"/>
  <c r="B1622" i="34"/>
  <c r="B1621" i="34"/>
  <c r="B1620" i="34"/>
  <c r="B1619" i="34"/>
  <c r="B1618" i="34"/>
  <c r="B1617" i="34"/>
  <c r="B1616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53" i="34"/>
  <c r="B1536" i="34"/>
  <c r="B1535" i="34"/>
  <c r="B1534" i="34"/>
  <c r="B1533" i="34"/>
  <c r="B1532" i="34"/>
  <c r="B1531" i="34"/>
  <c r="B1530" i="34"/>
  <c r="B1529" i="34"/>
  <c r="B1511" i="34"/>
  <c r="B1510" i="34"/>
  <c r="B1509" i="34"/>
  <c r="B1508" i="34"/>
  <c r="B1507" i="34"/>
  <c r="B1506" i="34"/>
  <c r="B1505" i="34"/>
  <c r="B1504" i="34"/>
  <c r="B1503" i="34"/>
  <c r="B1457" i="34"/>
  <c r="B1422" i="34"/>
  <c r="B1418" i="34"/>
  <c r="B1417" i="34"/>
  <c r="B1416" i="34"/>
  <c r="B1407" i="34"/>
  <c r="B1406" i="34"/>
  <c r="B1405" i="34"/>
  <c r="B1404" i="34"/>
  <c r="B1403" i="34"/>
  <c r="B1390" i="34"/>
  <c r="B1389" i="34"/>
  <c r="B1388" i="34"/>
  <c r="B1387" i="34"/>
  <c r="B1386" i="34"/>
  <c r="B1385" i="34"/>
  <c r="B1384" i="34"/>
  <c r="B1383" i="34"/>
  <c r="B1362" i="34"/>
  <c r="B1361" i="34"/>
  <c r="B1360" i="34"/>
  <c r="B1359" i="34"/>
  <c r="B1358" i="34"/>
  <c r="B1357" i="34"/>
  <c r="B1356" i="34"/>
  <c r="B1355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78" i="34"/>
  <c r="B1277" i="34"/>
  <c r="B1276" i="34"/>
  <c r="B1275" i="34"/>
  <c r="B1274" i="34"/>
  <c r="B1273" i="34"/>
  <c r="B1272" i="34"/>
  <c r="B1271" i="34"/>
  <c r="B1235" i="34"/>
  <c r="B1234" i="34"/>
  <c r="B1233" i="34"/>
  <c r="B1232" i="34"/>
  <c r="B1231" i="34"/>
  <c r="B1230" i="34"/>
  <c r="B1229" i="34"/>
  <c r="B1228" i="34"/>
  <c r="B1203" i="34"/>
  <c r="B1202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04" i="34"/>
  <c r="B1867" i="34"/>
  <c r="B1988" i="34"/>
  <c r="B1987" i="34"/>
  <c r="B1913" i="34"/>
  <c r="B1912" i="34"/>
  <c r="B1911" i="34"/>
  <c r="B1910" i="34"/>
  <c r="B1909" i="34"/>
  <c r="B1908" i="34"/>
  <c r="B1907" i="34"/>
  <c r="B1906" i="34"/>
  <c r="B1936" i="34"/>
  <c r="B1935" i="34"/>
  <c r="B1934" i="34"/>
  <c r="B1933" i="34"/>
  <c r="B1932" i="34"/>
  <c r="B1931" i="34"/>
  <c r="B1930" i="34"/>
  <c r="B1929" i="34"/>
  <c r="B1928" i="34"/>
  <c r="B1927" i="34"/>
  <c r="B1903" i="34"/>
  <c r="B1902" i="34"/>
  <c r="B1901" i="34"/>
  <c r="B1900" i="34"/>
  <c r="B1899" i="34"/>
  <c r="B1898" i="34"/>
  <c r="B1897" i="34"/>
  <c r="B1896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95" i="34"/>
  <c r="B1894" i="34"/>
  <c r="B1866" i="34"/>
  <c r="B1865" i="34"/>
  <c r="B1877" i="34"/>
  <c r="B1876" i="34"/>
  <c r="B1875" i="34"/>
  <c r="B1861" i="34"/>
  <c r="B1860" i="34"/>
  <c r="B2075" i="34"/>
  <c r="B2074" i="34"/>
  <c r="B2073" i="34"/>
  <c r="B2056" i="34"/>
  <c r="B2055" i="34"/>
  <c r="B2054" i="34"/>
  <c r="B2026" i="34"/>
  <c r="B2018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2087" i="34"/>
  <c r="B2083" i="34"/>
  <c r="B2082" i="34"/>
  <c r="B2081" i="34"/>
  <c r="B2080" i="34"/>
  <c r="B1971" i="34"/>
  <c r="B1970" i="34"/>
  <c r="B1969" i="34"/>
  <c r="B1968" i="34"/>
  <c r="B1967" i="34"/>
  <c r="B1965" i="34"/>
  <c r="B1963" i="34"/>
  <c r="B1962" i="34"/>
  <c r="B1961" i="34"/>
  <c r="B1893" i="34"/>
  <c r="B1873" i="34"/>
  <c r="B1872" i="34"/>
  <c r="B1871" i="34"/>
  <c r="B1870" i="34"/>
  <c r="B1869" i="34"/>
  <c r="B1864" i="34"/>
  <c r="B1863" i="34"/>
  <c r="B1862" i="34"/>
  <c r="B2086" i="34"/>
  <c r="B2084" i="34"/>
  <c r="B1857" i="34"/>
  <c r="B1856" i="34"/>
  <c r="B2079" i="34"/>
  <c r="B2078" i="34"/>
  <c r="B2072" i="34"/>
  <c r="B2071" i="34"/>
  <c r="B2070" i="34"/>
  <c r="B2069" i="34"/>
  <c r="B2068" i="34"/>
  <c r="B2067" i="34"/>
  <c r="B2066" i="34"/>
  <c r="B2065" i="34"/>
  <c r="B2047" i="34"/>
  <c r="B2046" i="34"/>
  <c r="B2045" i="34"/>
  <c r="B2044" i="34"/>
  <c r="B2043" i="34"/>
  <c r="B2042" i="34"/>
  <c r="B2041" i="34"/>
  <c r="B2040" i="34"/>
  <c r="B2039" i="34"/>
  <c r="B2038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5" i="34"/>
  <c r="B1868" i="34"/>
  <c r="B2077" i="34"/>
  <c r="B2076" i="34"/>
  <c r="B2064" i="34"/>
  <c r="B2063" i="34"/>
  <c r="B2062" i="34"/>
  <c r="B2061" i="34"/>
  <c r="B2060" i="34"/>
  <c r="B2059" i="34"/>
  <c r="B2058" i="34"/>
  <c r="B2057" i="34"/>
  <c r="B2037" i="34"/>
  <c r="B2036" i="34"/>
  <c r="B2035" i="34"/>
  <c r="B2034" i="34"/>
  <c r="B2033" i="34"/>
  <c r="B2032" i="34"/>
  <c r="B2031" i="34"/>
  <c r="B2030" i="34"/>
  <c r="B2029" i="34"/>
  <c r="B2028" i="34"/>
  <c r="B2002" i="34"/>
  <c r="B2001" i="34"/>
  <c r="B2000" i="34"/>
  <c r="A2062" i="34" l="1"/>
  <c r="Y2062" i="34"/>
  <c r="V2062" i="34"/>
  <c r="A1958" i="34"/>
  <c r="Y1958" i="34"/>
  <c r="V1958" i="34"/>
  <c r="A2012" i="34"/>
  <c r="Y2012" i="34"/>
  <c r="V2012" i="34"/>
  <c r="A2066" i="34"/>
  <c r="Y2066" i="34"/>
  <c r="V2066" i="34"/>
  <c r="A1869" i="34"/>
  <c r="V1869" i="34"/>
  <c r="Y1869" i="34"/>
  <c r="A1969" i="34"/>
  <c r="V1969" i="34"/>
  <c r="Y1969" i="34"/>
  <c r="A1922" i="34"/>
  <c r="Y1922" i="34"/>
  <c r="V1922" i="34"/>
  <c r="A2018" i="34"/>
  <c r="Y2018" i="34"/>
  <c r="V2018" i="34"/>
  <c r="A1896" i="34"/>
  <c r="Y1896" i="34"/>
  <c r="V1896" i="34"/>
  <c r="A2001" i="34"/>
  <c r="V2001" i="34"/>
  <c r="Y2001" i="34"/>
  <c r="A2030" i="34"/>
  <c r="Y2030" i="34"/>
  <c r="V2030" i="34"/>
  <c r="A2034" i="34"/>
  <c r="Y2034" i="34"/>
  <c r="V2034" i="34"/>
  <c r="A2057" i="34"/>
  <c r="V2057" i="34"/>
  <c r="Y2057" i="34"/>
  <c r="A2061" i="34"/>
  <c r="V2061" i="34"/>
  <c r="Y2061" i="34"/>
  <c r="A2076" i="34"/>
  <c r="Y2076" i="34"/>
  <c r="V2076" i="34"/>
  <c r="A1949" i="34"/>
  <c r="V1949" i="34"/>
  <c r="Y1949" i="34"/>
  <c r="A1953" i="34"/>
  <c r="V1953" i="34"/>
  <c r="Y1953" i="34"/>
  <c r="A1957" i="34"/>
  <c r="V1957" i="34"/>
  <c r="Y1957" i="34"/>
  <c r="A2003" i="34"/>
  <c r="Y2003" i="34"/>
  <c r="V2003" i="34"/>
  <c r="A2007" i="34"/>
  <c r="Y2007" i="34"/>
  <c r="V2007" i="34"/>
  <c r="A2011" i="34"/>
  <c r="Y2011" i="34"/>
  <c r="V2011" i="34"/>
  <c r="A2015" i="34"/>
  <c r="Y2015" i="34"/>
  <c r="V2015" i="34"/>
  <c r="A2040" i="34"/>
  <c r="Y2040" i="34"/>
  <c r="V2040" i="34"/>
  <c r="A2044" i="34"/>
  <c r="Y2044" i="34"/>
  <c r="V2044" i="34"/>
  <c r="A2065" i="34"/>
  <c r="V2065" i="34"/>
  <c r="Y2065" i="34"/>
  <c r="A2069" i="34"/>
  <c r="V2069" i="34"/>
  <c r="Y2069" i="34"/>
  <c r="A2078" i="34"/>
  <c r="Y2078" i="34"/>
  <c r="V2078" i="34"/>
  <c r="A2084" i="34"/>
  <c r="Y2084" i="34"/>
  <c r="V2084" i="34"/>
  <c r="A1864" i="34"/>
  <c r="Y1864" i="34"/>
  <c r="V1864" i="34"/>
  <c r="A1872" i="34"/>
  <c r="Y1872" i="34"/>
  <c r="V1872" i="34"/>
  <c r="A1962" i="34"/>
  <c r="Y1962" i="34"/>
  <c r="V1962" i="34"/>
  <c r="A1968" i="34"/>
  <c r="Y1968" i="34"/>
  <c r="V1968" i="34"/>
  <c r="A2080" i="34"/>
  <c r="Y2080" i="34"/>
  <c r="V2080" i="34"/>
  <c r="A2087" i="34"/>
  <c r="Y2087" i="34"/>
  <c r="V2087" i="34"/>
  <c r="A1917" i="34"/>
  <c r="V1917" i="34"/>
  <c r="Y1917" i="34"/>
  <c r="A1921" i="34"/>
  <c r="V1921" i="34"/>
  <c r="Y1921" i="34"/>
  <c r="A1925" i="34"/>
  <c r="V1925" i="34"/>
  <c r="Y1925" i="34"/>
  <c r="A1974" i="34"/>
  <c r="Y1974" i="34"/>
  <c r="V1974" i="34"/>
  <c r="A1978" i="34"/>
  <c r="Y1978" i="34"/>
  <c r="V1978" i="34"/>
  <c r="A1982" i="34"/>
  <c r="Y1982" i="34"/>
  <c r="V1982" i="34"/>
  <c r="A2055" i="34"/>
  <c r="Y2055" i="34"/>
  <c r="V2055" i="34"/>
  <c r="A2075" i="34"/>
  <c r="Y2075" i="34"/>
  <c r="V2075" i="34"/>
  <c r="A1876" i="34"/>
  <c r="Y1876" i="34"/>
  <c r="V1876" i="34"/>
  <c r="A1894" i="34"/>
  <c r="Y1894" i="34"/>
  <c r="V1894" i="34"/>
  <c r="A1880" i="34"/>
  <c r="Y1880" i="34"/>
  <c r="V1880" i="34"/>
  <c r="A1884" i="34"/>
  <c r="Y1884" i="34"/>
  <c r="V1884" i="34"/>
  <c r="A1888" i="34"/>
  <c r="Y1888" i="34"/>
  <c r="V1888" i="34"/>
  <c r="A1892" i="34"/>
  <c r="Y1892" i="34"/>
  <c r="V1892" i="34"/>
  <c r="A1899" i="34"/>
  <c r="Y1899" i="34"/>
  <c r="V1899" i="34"/>
  <c r="A1903" i="34"/>
  <c r="Y1903" i="34"/>
  <c r="V1903" i="34"/>
  <c r="A1930" i="34"/>
  <c r="Y1930" i="34"/>
  <c r="V1930" i="34"/>
  <c r="A1934" i="34"/>
  <c r="Y1934" i="34"/>
  <c r="V1934" i="34"/>
  <c r="A1907" i="34"/>
  <c r="Y1907" i="34"/>
  <c r="V1907" i="34"/>
  <c r="A1911" i="34"/>
  <c r="Y1911" i="34"/>
  <c r="V1911" i="34"/>
  <c r="A1988" i="34"/>
  <c r="Y1988" i="34"/>
  <c r="V1988" i="34"/>
  <c r="A1938" i="34"/>
  <c r="Y1938" i="34"/>
  <c r="V1938" i="34"/>
  <c r="A1942" i="34"/>
  <c r="Y1942" i="34"/>
  <c r="V1942" i="34"/>
  <c r="A1946" i="34"/>
  <c r="Y1946" i="34"/>
  <c r="V1946" i="34"/>
  <c r="A1990" i="34"/>
  <c r="Y1990" i="34"/>
  <c r="V1990" i="34"/>
  <c r="A1994" i="34"/>
  <c r="Y1994" i="34"/>
  <c r="V1994" i="34"/>
  <c r="A1998" i="34"/>
  <c r="Y1998" i="34"/>
  <c r="V1998" i="34"/>
  <c r="A1228" i="34"/>
  <c r="Y1228" i="34"/>
  <c r="V1228" i="34"/>
  <c r="A1232" i="34"/>
  <c r="Y1232" i="34"/>
  <c r="V1232" i="34"/>
  <c r="A1271" i="34"/>
  <c r="V1271" i="34"/>
  <c r="Y1271" i="34"/>
  <c r="A1275" i="34"/>
  <c r="V1275" i="34"/>
  <c r="Y1275" i="34"/>
  <c r="A1317" i="34"/>
  <c r="Y1317" i="34"/>
  <c r="V1317" i="34"/>
  <c r="A1321" i="34"/>
  <c r="Y1321" i="34"/>
  <c r="V1321" i="34"/>
  <c r="A1325" i="34"/>
  <c r="Y1325" i="34"/>
  <c r="V1325" i="34"/>
  <c r="A1329" i="34"/>
  <c r="Y1329" i="34"/>
  <c r="V1329" i="34"/>
  <c r="A1355" i="34"/>
  <c r="V1355" i="34"/>
  <c r="Y1355" i="34"/>
  <c r="A1359" i="34"/>
  <c r="V1359" i="34"/>
  <c r="Y1359" i="34"/>
  <c r="A1383" i="34"/>
  <c r="V1383" i="34"/>
  <c r="Y1383" i="34"/>
  <c r="A1387" i="34"/>
  <c r="V1387" i="34"/>
  <c r="Y1387" i="34"/>
  <c r="A1403" i="34"/>
  <c r="V1403" i="34"/>
  <c r="Y1403" i="34"/>
  <c r="A1407" i="34"/>
  <c r="V1407" i="34"/>
  <c r="Y1407" i="34"/>
  <c r="A1422" i="34"/>
  <c r="Y1422" i="34"/>
  <c r="V1422" i="34"/>
  <c r="A1505" i="34"/>
  <c r="V1505" i="34"/>
  <c r="Y1505" i="34"/>
  <c r="A1509" i="34"/>
  <c r="V1509" i="34"/>
  <c r="Y1509" i="34"/>
  <c r="A1530" i="34"/>
  <c r="Y1530" i="34"/>
  <c r="V1530" i="34"/>
  <c r="A1534" i="34"/>
  <c r="Y1534" i="34"/>
  <c r="V1534" i="34"/>
  <c r="A1586" i="34"/>
  <c r="Y1586" i="34"/>
  <c r="V1586" i="34"/>
  <c r="A1590" i="34"/>
  <c r="Y1590" i="34"/>
  <c r="V1590" i="34"/>
  <c r="A1594" i="34"/>
  <c r="Y1594" i="34"/>
  <c r="V1594" i="34"/>
  <c r="A1598" i="34"/>
  <c r="Y1598" i="34"/>
  <c r="V1598" i="34"/>
  <c r="A1617" i="34"/>
  <c r="V1617" i="34"/>
  <c r="Y1617" i="34"/>
  <c r="A1621" i="34"/>
  <c r="V1621" i="34"/>
  <c r="Y1621" i="34"/>
  <c r="A1690" i="34"/>
  <c r="Y1690" i="34"/>
  <c r="V1690" i="34"/>
  <c r="A1694" i="34"/>
  <c r="Y1694" i="34"/>
  <c r="V1694" i="34"/>
  <c r="A1747" i="34"/>
  <c r="Y1747" i="34"/>
  <c r="V1747" i="34"/>
  <c r="A1751" i="34"/>
  <c r="Y1751" i="34"/>
  <c r="V1751" i="34"/>
  <c r="A1755" i="34"/>
  <c r="Y1755" i="34"/>
  <c r="V1755" i="34"/>
  <c r="A1780" i="34"/>
  <c r="Y1780" i="34"/>
  <c r="V1780" i="34"/>
  <c r="A1784" i="34"/>
  <c r="Y1784" i="34"/>
  <c r="V1784" i="34"/>
  <c r="A1805" i="34"/>
  <c r="V1805" i="34"/>
  <c r="Y1805" i="34"/>
  <c r="A1809" i="34"/>
  <c r="V1809" i="34"/>
  <c r="Y1809" i="34"/>
  <c r="A1839" i="34"/>
  <c r="Y1839" i="34"/>
  <c r="V1839" i="34"/>
  <c r="A1843" i="34"/>
  <c r="Y1843" i="34"/>
  <c r="V1843" i="34"/>
  <c r="A2031" i="34"/>
  <c r="Y2031" i="34"/>
  <c r="V2031" i="34"/>
  <c r="A2077" i="34"/>
  <c r="V2077" i="34"/>
  <c r="Y2077" i="34"/>
  <c r="A2004" i="34"/>
  <c r="Y2004" i="34"/>
  <c r="V2004" i="34"/>
  <c r="A2041" i="34"/>
  <c r="V2041" i="34"/>
  <c r="Y2041" i="34"/>
  <c r="A2079" i="34"/>
  <c r="Y2079" i="34"/>
  <c r="V2079" i="34"/>
  <c r="A2081" i="34"/>
  <c r="V2081" i="34"/>
  <c r="Y2081" i="34"/>
  <c r="A1975" i="34"/>
  <c r="Y1975" i="34"/>
  <c r="V1975" i="34"/>
  <c r="A1860" i="34"/>
  <c r="Y1860" i="34"/>
  <c r="V1860" i="34"/>
  <c r="A1895" i="34"/>
  <c r="Y1895" i="34"/>
  <c r="V1895" i="34"/>
  <c r="A1881" i="34"/>
  <c r="V1881" i="34"/>
  <c r="Y1881" i="34"/>
  <c r="A1885" i="34"/>
  <c r="V1885" i="34"/>
  <c r="Y1885" i="34"/>
  <c r="A1927" i="34"/>
  <c r="Y1927" i="34"/>
  <c r="V1927" i="34"/>
  <c r="A1931" i="34"/>
  <c r="Y1931" i="34"/>
  <c r="V1931" i="34"/>
  <c r="A1935" i="34"/>
  <c r="Y1935" i="34"/>
  <c r="V1935" i="34"/>
  <c r="A1908" i="34"/>
  <c r="Y1908" i="34"/>
  <c r="V1908" i="34"/>
  <c r="A1912" i="34"/>
  <c r="Y1912" i="34"/>
  <c r="V1912" i="34"/>
  <c r="A1867" i="34"/>
  <c r="Y1867" i="34"/>
  <c r="V1867" i="34"/>
  <c r="A1939" i="34"/>
  <c r="Y1939" i="34"/>
  <c r="V1939" i="34"/>
  <c r="A1943" i="34"/>
  <c r="Y1943" i="34"/>
  <c r="V1943" i="34"/>
  <c r="A1947" i="34"/>
  <c r="Y1947" i="34"/>
  <c r="V1947" i="34"/>
  <c r="A1991" i="34"/>
  <c r="Y1991" i="34"/>
  <c r="V1991" i="34"/>
  <c r="A1995" i="34"/>
  <c r="Y1995" i="34"/>
  <c r="V1995" i="34"/>
  <c r="A1999" i="34"/>
  <c r="Y1999" i="34"/>
  <c r="V1999" i="34"/>
  <c r="A1229" i="34"/>
  <c r="Y1229" i="34"/>
  <c r="V1229" i="34"/>
  <c r="A1233" i="34"/>
  <c r="Y1233" i="34"/>
  <c r="V1233" i="34"/>
  <c r="A1272" i="34"/>
  <c r="Y1272" i="34"/>
  <c r="V1272" i="34"/>
  <c r="A1276" i="34"/>
  <c r="Y1276" i="34"/>
  <c r="V1276" i="34"/>
  <c r="A1318" i="34"/>
  <c r="Y1318" i="34"/>
  <c r="V1318" i="34"/>
  <c r="A1322" i="34"/>
  <c r="Y1322" i="34"/>
  <c r="V1322" i="34"/>
  <c r="A1326" i="34"/>
  <c r="Y1326" i="34"/>
  <c r="V1326" i="34"/>
  <c r="A1330" i="34"/>
  <c r="Y1330" i="34"/>
  <c r="V1330" i="34"/>
  <c r="A1356" i="34"/>
  <c r="Y1356" i="34"/>
  <c r="V1356" i="34"/>
  <c r="A1360" i="34"/>
  <c r="Y1360" i="34"/>
  <c r="V1360" i="34"/>
  <c r="A1384" i="34"/>
  <c r="Y1384" i="34"/>
  <c r="V1384" i="34"/>
  <c r="A1388" i="34"/>
  <c r="Y1388" i="34"/>
  <c r="V1388" i="34"/>
  <c r="A1404" i="34"/>
  <c r="Y1404" i="34"/>
  <c r="V1404" i="34"/>
  <c r="A1416" i="34"/>
  <c r="Y1416" i="34"/>
  <c r="V1416" i="34"/>
  <c r="A1457" i="34"/>
  <c r="Y1457" i="34"/>
  <c r="V1457" i="34"/>
  <c r="A1506" i="34"/>
  <c r="Y1506" i="34"/>
  <c r="V1506" i="34"/>
  <c r="A1510" i="34"/>
  <c r="Y1510" i="34"/>
  <c r="V1510" i="34"/>
  <c r="A1531" i="34"/>
  <c r="Y1531" i="34"/>
  <c r="V1531" i="34"/>
  <c r="A1535" i="34"/>
  <c r="Y1535" i="34"/>
  <c r="V1535" i="34"/>
  <c r="A1587" i="34"/>
  <c r="Y1587" i="34"/>
  <c r="V1587" i="34"/>
  <c r="A1591" i="34"/>
  <c r="Y1591" i="34"/>
  <c r="V1591" i="34"/>
  <c r="A1595" i="34"/>
  <c r="Y1595" i="34"/>
  <c r="V1595" i="34"/>
  <c r="A1599" i="34"/>
  <c r="Y1599" i="34"/>
  <c r="V1599" i="34"/>
  <c r="A1618" i="34"/>
  <c r="Y1618" i="34"/>
  <c r="V1618" i="34"/>
  <c r="A1622" i="34"/>
  <c r="Y1622" i="34"/>
  <c r="V1622" i="34"/>
  <c r="A1691" i="34"/>
  <c r="Y1691" i="34"/>
  <c r="V1691" i="34"/>
  <c r="A1695" i="34"/>
  <c r="Y1695" i="34"/>
  <c r="V1695" i="34"/>
  <c r="A1748" i="34"/>
  <c r="Y1748" i="34"/>
  <c r="V1748" i="34"/>
  <c r="A1752" i="34"/>
  <c r="Y1752" i="34"/>
  <c r="V1752" i="34"/>
  <c r="A1777" i="34"/>
  <c r="V1777" i="34"/>
  <c r="Y1777" i="34"/>
  <c r="A1781" i="34"/>
  <c r="V1781" i="34"/>
  <c r="Y1781" i="34"/>
  <c r="A1802" i="34"/>
  <c r="Y1802" i="34"/>
  <c r="V1802" i="34"/>
  <c r="A1806" i="34"/>
  <c r="Y1806" i="34"/>
  <c r="V1806" i="34"/>
  <c r="A1836" i="34"/>
  <c r="Y1836" i="34"/>
  <c r="V1836" i="34"/>
  <c r="A1840" i="34"/>
  <c r="Y1840" i="34"/>
  <c r="V1840" i="34"/>
  <c r="A1844" i="34"/>
  <c r="Y1844" i="34"/>
  <c r="V1844" i="34"/>
  <c r="A2002" i="34"/>
  <c r="Y2002" i="34"/>
  <c r="V2002" i="34"/>
  <c r="A2058" i="34"/>
  <c r="Y2058" i="34"/>
  <c r="V2058" i="34"/>
  <c r="A1954" i="34"/>
  <c r="Y1954" i="34"/>
  <c r="V1954" i="34"/>
  <c r="A2008" i="34"/>
  <c r="Y2008" i="34"/>
  <c r="V2008" i="34"/>
  <c r="A2045" i="34"/>
  <c r="V2045" i="34"/>
  <c r="Y2045" i="34"/>
  <c r="A2086" i="34"/>
  <c r="Y2086" i="34"/>
  <c r="V2086" i="34"/>
  <c r="A1963" i="34"/>
  <c r="Y1963" i="34"/>
  <c r="V1963" i="34"/>
  <c r="A1918" i="34"/>
  <c r="Y1918" i="34"/>
  <c r="V1918" i="34"/>
  <c r="A1979" i="34"/>
  <c r="Y1979" i="34"/>
  <c r="V1979" i="34"/>
  <c r="A1900" i="34"/>
  <c r="Y1900" i="34"/>
  <c r="V1900" i="34"/>
  <c r="A2028" i="34"/>
  <c r="Y2028" i="34"/>
  <c r="V2028" i="34"/>
  <c r="A2032" i="34"/>
  <c r="Y2032" i="34"/>
  <c r="V2032" i="34"/>
  <c r="A2036" i="34"/>
  <c r="Y2036" i="34"/>
  <c r="V2036" i="34"/>
  <c r="A2059" i="34"/>
  <c r="Y2059" i="34"/>
  <c r="V2059" i="34"/>
  <c r="A2063" i="34"/>
  <c r="Y2063" i="34"/>
  <c r="V2063" i="34"/>
  <c r="A1868" i="34"/>
  <c r="Y1868" i="34"/>
  <c r="V1868" i="34"/>
  <c r="A1951" i="34"/>
  <c r="Y1951" i="34"/>
  <c r="V1951" i="34"/>
  <c r="A1955" i="34"/>
  <c r="Y1955" i="34"/>
  <c r="V1955" i="34"/>
  <c r="A1959" i="34"/>
  <c r="Y1959" i="34"/>
  <c r="V1959" i="34"/>
  <c r="A2005" i="34"/>
  <c r="V2005" i="34"/>
  <c r="Y2005" i="34"/>
  <c r="A2009" i="34"/>
  <c r="V2009" i="34"/>
  <c r="Y2009" i="34"/>
  <c r="A2013" i="34"/>
  <c r="V2013" i="34"/>
  <c r="Y2013" i="34"/>
  <c r="A2038" i="34"/>
  <c r="Y2038" i="34"/>
  <c r="V2038" i="34"/>
  <c r="A2042" i="34"/>
  <c r="Y2042" i="34"/>
  <c r="V2042" i="34"/>
  <c r="A2046" i="34"/>
  <c r="Y2046" i="34"/>
  <c r="V2046" i="34"/>
  <c r="A2067" i="34"/>
  <c r="Y2067" i="34"/>
  <c r="V2067" i="34"/>
  <c r="A2071" i="34"/>
  <c r="Y2071" i="34"/>
  <c r="V2071" i="34"/>
  <c r="A1856" i="34"/>
  <c r="Y1856" i="34"/>
  <c r="V1856" i="34"/>
  <c r="A1862" i="34"/>
  <c r="Y1862" i="34"/>
  <c r="V1862" i="34"/>
  <c r="A1870" i="34"/>
  <c r="Y1870" i="34"/>
  <c r="V1870" i="34"/>
  <c r="A1893" i="34"/>
  <c r="V1893" i="34"/>
  <c r="Y1893" i="34"/>
  <c r="A1965" i="34"/>
  <c r="V1965" i="34"/>
  <c r="Y1965" i="34"/>
  <c r="A1970" i="34"/>
  <c r="Y1970" i="34"/>
  <c r="V1970" i="34"/>
  <c r="A2082" i="34"/>
  <c r="Y2082" i="34"/>
  <c r="V2082" i="34"/>
  <c r="A1915" i="34"/>
  <c r="Y1915" i="34"/>
  <c r="V1915" i="34"/>
  <c r="A1919" i="34"/>
  <c r="Y1919" i="34"/>
  <c r="V1919" i="34"/>
  <c r="A1923" i="34"/>
  <c r="Y1923" i="34"/>
  <c r="V1923" i="34"/>
  <c r="A1972" i="34"/>
  <c r="Y1972" i="34"/>
  <c r="V1972" i="34"/>
  <c r="A1976" i="34"/>
  <c r="Y1976" i="34"/>
  <c r="V1976" i="34"/>
  <c r="A1980" i="34"/>
  <c r="Y1980" i="34"/>
  <c r="V1980" i="34"/>
  <c r="A2026" i="34"/>
  <c r="Y2026" i="34"/>
  <c r="V2026" i="34"/>
  <c r="A2073" i="34"/>
  <c r="V2073" i="34"/>
  <c r="Y2073" i="34"/>
  <c r="A1861" i="34"/>
  <c r="V1861" i="34"/>
  <c r="Y1861" i="34"/>
  <c r="A1865" i="34"/>
  <c r="V1865" i="34"/>
  <c r="Y1865" i="34"/>
  <c r="A1878" i="34"/>
  <c r="Y1878" i="34"/>
  <c r="V1878" i="34"/>
  <c r="A1882" i="34"/>
  <c r="Y1882" i="34"/>
  <c r="V1882" i="34"/>
  <c r="A1886" i="34"/>
  <c r="Y1886" i="34"/>
  <c r="V1886" i="34"/>
  <c r="A1890" i="34"/>
  <c r="Y1890" i="34"/>
  <c r="V1890" i="34"/>
  <c r="A1897" i="34"/>
  <c r="V1897" i="34"/>
  <c r="Y1897" i="34"/>
  <c r="A1901" i="34"/>
  <c r="V1901" i="34"/>
  <c r="Y1901" i="34"/>
  <c r="A1928" i="34"/>
  <c r="Y1928" i="34"/>
  <c r="V1928" i="34"/>
  <c r="A1932" i="34"/>
  <c r="Y1932" i="34"/>
  <c r="V1932" i="34"/>
  <c r="A1936" i="34"/>
  <c r="Y1936" i="34"/>
  <c r="V1936" i="34"/>
  <c r="A1909" i="34"/>
  <c r="V1909" i="34"/>
  <c r="Y1909" i="34"/>
  <c r="A1913" i="34"/>
  <c r="V1913" i="34"/>
  <c r="Y1913" i="34"/>
  <c r="A1904" i="34"/>
  <c r="Y1904" i="34"/>
  <c r="V1904" i="34"/>
  <c r="A1940" i="34"/>
  <c r="Y1940" i="34"/>
  <c r="V1940" i="34"/>
  <c r="A1944" i="34"/>
  <c r="Y1944" i="34"/>
  <c r="V1944" i="34"/>
  <c r="A1948" i="34"/>
  <c r="Y1948" i="34"/>
  <c r="V1948" i="34"/>
  <c r="A1992" i="34"/>
  <c r="Y1992" i="34"/>
  <c r="V1992" i="34"/>
  <c r="A1996" i="34"/>
  <c r="Y1996" i="34"/>
  <c r="V1996" i="34"/>
  <c r="A1202" i="34"/>
  <c r="Y1202" i="34"/>
  <c r="V1202" i="34"/>
  <c r="A1230" i="34"/>
  <c r="Y1230" i="34"/>
  <c r="V1230" i="34"/>
  <c r="A1234" i="34"/>
  <c r="Y1234" i="34"/>
  <c r="V1234" i="34"/>
  <c r="A1273" i="34"/>
  <c r="Y1273" i="34"/>
  <c r="V1273" i="34"/>
  <c r="A1277" i="34"/>
  <c r="Y1277" i="34"/>
  <c r="V1277" i="34"/>
  <c r="A1319" i="34"/>
  <c r="V1319" i="34"/>
  <c r="Y1319" i="34"/>
  <c r="A1323" i="34"/>
  <c r="V1323" i="34"/>
  <c r="Y1323" i="34"/>
  <c r="A1327" i="34"/>
  <c r="V1327" i="34"/>
  <c r="Y1327" i="34"/>
  <c r="A1331" i="34"/>
  <c r="V1331" i="34"/>
  <c r="Y1331" i="34"/>
  <c r="A1357" i="34"/>
  <c r="Y1357" i="34"/>
  <c r="V1357" i="34"/>
  <c r="A1361" i="34"/>
  <c r="Y1361" i="34"/>
  <c r="V1361" i="34"/>
  <c r="A1385" i="34"/>
  <c r="Y1385" i="34"/>
  <c r="V1385" i="34"/>
  <c r="A1389" i="34"/>
  <c r="Y1389" i="34"/>
  <c r="V1389" i="34"/>
  <c r="A1405" i="34"/>
  <c r="Y1405" i="34"/>
  <c r="V1405" i="34"/>
  <c r="A1417" i="34"/>
  <c r="Y1417" i="34"/>
  <c r="V1417" i="34"/>
  <c r="A1503" i="34"/>
  <c r="Y1503" i="34"/>
  <c r="V1503" i="34"/>
  <c r="A1507" i="34"/>
  <c r="Y1507" i="34"/>
  <c r="V1507" i="34"/>
  <c r="A1511" i="34"/>
  <c r="Y1511" i="34"/>
  <c r="V1511" i="34"/>
  <c r="A1532" i="34"/>
  <c r="Y1532" i="34"/>
  <c r="V1532" i="34"/>
  <c r="A1536" i="34"/>
  <c r="Y1536" i="34"/>
  <c r="V1536" i="34"/>
  <c r="A1588" i="34"/>
  <c r="Y1588" i="34"/>
  <c r="V1588" i="34"/>
  <c r="A1592" i="34"/>
  <c r="Y1592" i="34"/>
  <c r="V1592" i="34"/>
  <c r="A1596" i="34"/>
  <c r="Y1596" i="34"/>
  <c r="V1596" i="34"/>
  <c r="A1600" i="34"/>
  <c r="Y1600" i="34"/>
  <c r="V1600" i="34"/>
  <c r="A1619" i="34"/>
  <c r="Y1619" i="34"/>
  <c r="V1619" i="34"/>
  <c r="A1654" i="34"/>
  <c r="Y1654" i="34"/>
  <c r="V1654" i="34"/>
  <c r="A1692" i="34"/>
  <c r="Y1692" i="34"/>
  <c r="V1692" i="34"/>
  <c r="A1696" i="34"/>
  <c r="Y1696" i="34"/>
  <c r="V1696" i="34"/>
  <c r="A1749" i="34"/>
  <c r="V1749" i="34"/>
  <c r="Y1749" i="34"/>
  <c r="A1753" i="34"/>
  <c r="V1753" i="34"/>
  <c r="Y1753" i="34"/>
  <c r="A1778" i="34"/>
  <c r="Y1778" i="34"/>
  <c r="V1778" i="34"/>
  <c r="A1782" i="34"/>
  <c r="Y1782" i="34"/>
  <c r="V1782" i="34"/>
  <c r="A1803" i="34"/>
  <c r="Y1803" i="34"/>
  <c r="V1803" i="34"/>
  <c r="A1807" i="34"/>
  <c r="Y1807" i="34"/>
  <c r="V1807" i="34"/>
  <c r="A1837" i="34"/>
  <c r="V1837" i="34"/>
  <c r="Y1837" i="34"/>
  <c r="A1841" i="34"/>
  <c r="V1841" i="34"/>
  <c r="Y1841" i="34"/>
  <c r="A1845" i="34"/>
  <c r="V1845" i="34"/>
  <c r="Y1845" i="34"/>
  <c r="A2035" i="34"/>
  <c r="Y2035" i="34"/>
  <c r="V2035" i="34"/>
  <c r="A1950" i="34"/>
  <c r="Y1950" i="34"/>
  <c r="V1950" i="34"/>
  <c r="A2016" i="34"/>
  <c r="Y2016" i="34"/>
  <c r="V2016" i="34"/>
  <c r="A2070" i="34"/>
  <c r="Y2070" i="34"/>
  <c r="V2070" i="34"/>
  <c r="A1873" i="34"/>
  <c r="V1873" i="34"/>
  <c r="Y1873" i="34"/>
  <c r="A1914" i="34"/>
  <c r="Y1914" i="34"/>
  <c r="V1914" i="34"/>
  <c r="A1926" i="34"/>
  <c r="Y1926" i="34"/>
  <c r="V1926" i="34"/>
  <c r="A2056" i="34"/>
  <c r="Y2056" i="34"/>
  <c r="V2056" i="34"/>
  <c r="A1877" i="34"/>
  <c r="V1877" i="34"/>
  <c r="Y1877" i="34"/>
  <c r="A1889" i="34"/>
  <c r="V1889" i="34"/>
  <c r="Y1889" i="34"/>
  <c r="A2000" i="34"/>
  <c r="Y2000" i="34"/>
  <c r="V2000" i="34"/>
  <c r="A2029" i="34"/>
  <c r="V2029" i="34"/>
  <c r="Y2029" i="34"/>
  <c r="A2033" i="34"/>
  <c r="V2033" i="34"/>
  <c r="Y2033" i="34"/>
  <c r="A2037" i="34"/>
  <c r="V2037" i="34"/>
  <c r="Y2037" i="34"/>
  <c r="A2060" i="34"/>
  <c r="Y2060" i="34"/>
  <c r="V2060" i="34"/>
  <c r="A2064" i="34"/>
  <c r="Y2064" i="34"/>
  <c r="V2064" i="34"/>
  <c r="A1905" i="34"/>
  <c r="V1905" i="34"/>
  <c r="Y1905" i="34"/>
  <c r="A1952" i="34"/>
  <c r="Y1952" i="34"/>
  <c r="V1952" i="34"/>
  <c r="A1956" i="34"/>
  <c r="Y1956" i="34"/>
  <c r="V1956" i="34"/>
  <c r="A1960" i="34"/>
  <c r="Y1960" i="34"/>
  <c r="V1960" i="34"/>
  <c r="A2006" i="34"/>
  <c r="Y2006" i="34"/>
  <c r="V2006" i="34"/>
  <c r="A2010" i="34"/>
  <c r="Y2010" i="34"/>
  <c r="V2010" i="34"/>
  <c r="A2014" i="34"/>
  <c r="Y2014" i="34"/>
  <c r="V2014" i="34"/>
  <c r="A2039" i="34"/>
  <c r="Y2039" i="34"/>
  <c r="V2039" i="34"/>
  <c r="A2043" i="34"/>
  <c r="Y2043" i="34"/>
  <c r="V2043" i="34"/>
  <c r="A2047" i="34"/>
  <c r="Y2047" i="34"/>
  <c r="V2047" i="34"/>
  <c r="A2068" i="34"/>
  <c r="Y2068" i="34"/>
  <c r="V2068" i="34"/>
  <c r="A2072" i="34"/>
  <c r="Y2072" i="34"/>
  <c r="V2072" i="34"/>
  <c r="A1857" i="34"/>
  <c r="V1857" i="34"/>
  <c r="Y1857" i="34"/>
  <c r="A1863" i="34"/>
  <c r="Y1863" i="34"/>
  <c r="V1863" i="34"/>
  <c r="A1871" i="34"/>
  <c r="Y1871" i="34"/>
  <c r="V1871" i="34"/>
  <c r="A1961" i="34"/>
  <c r="V1961" i="34"/>
  <c r="Y1961" i="34"/>
  <c r="A1967" i="34"/>
  <c r="Y1967" i="34"/>
  <c r="V1967" i="34"/>
  <c r="A1971" i="34"/>
  <c r="Y1971" i="34"/>
  <c r="V1971" i="34"/>
  <c r="A2083" i="34"/>
  <c r="Y2083" i="34"/>
  <c r="V2083" i="34"/>
  <c r="A1916" i="34"/>
  <c r="Y1916" i="34"/>
  <c r="V1916" i="34"/>
  <c r="A1920" i="34"/>
  <c r="Y1920" i="34"/>
  <c r="V1920" i="34"/>
  <c r="A1924" i="34"/>
  <c r="Y1924" i="34"/>
  <c r="V1924" i="34"/>
  <c r="A1973" i="34"/>
  <c r="V1973" i="34"/>
  <c r="Y1973" i="34"/>
  <c r="A1977" i="34"/>
  <c r="V1977" i="34"/>
  <c r="Y1977" i="34"/>
  <c r="A1981" i="34"/>
  <c r="V1981" i="34"/>
  <c r="Y1981" i="34"/>
  <c r="A2054" i="34"/>
  <c r="Y2054" i="34"/>
  <c r="V2054" i="34"/>
  <c r="A2074" i="34"/>
  <c r="Y2074" i="34"/>
  <c r="V2074" i="34"/>
  <c r="A1875" i="34"/>
  <c r="Y1875" i="34"/>
  <c r="V1875" i="34"/>
  <c r="A1866" i="34"/>
  <c r="Y1866" i="34"/>
  <c r="V1866" i="34"/>
  <c r="A1879" i="34"/>
  <c r="Y1879" i="34"/>
  <c r="V1879" i="34"/>
  <c r="A1883" i="34"/>
  <c r="Y1883" i="34"/>
  <c r="V1883" i="34"/>
  <c r="A1887" i="34"/>
  <c r="Y1887" i="34"/>
  <c r="V1887" i="34"/>
  <c r="A1891" i="34"/>
  <c r="Y1891" i="34"/>
  <c r="V1891" i="34"/>
  <c r="A1898" i="34"/>
  <c r="Y1898" i="34"/>
  <c r="V1898" i="34"/>
  <c r="A1902" i="34"/>
  <c r="Y1902" i="34"/>
  <c r="V1902" i="34"/>
  <c r="A1929" i="34"/>
  <c r="V1929" i="34"/>
  <c r="Y1929" i="34"/>
  <c r="A1933" i="34"/>
  <c r="V1933" i="34"/>
  <c r="Y1933" i="34"/>
  <c r="A1906" i="34"/>
  <c r="Y1906" i="34"/>
  <c r="V1906" i="34"/>
  <c r="A1910" i="34"/>
  <c r="Y1910" i="34"/>
  <c r="V1910" i="34"/>
  <c r="A1987" i="34"/>
  <c r="Y1987" i="34"/>
  <c r="V1987" i="34"/>
  <c r="A1937" i="34"/>
  <c r="V1937" i="34"/>
  <c r="Y1937" i="34"/>
  <c r="A1941" i="34"/>
  <c r="V1941" i="34"/>
  <c r="Y1941" i="34"/>
  <c r="A1945" i="34"/>
  <c r="V1945" i="34"/>
  <c r="Y1945" i="34"/>
  <c r="A1989" i="34"/>
  <c r="V1989" i="34"/>
  <c r="Y1989" i="34"/>
  <c r="A1993" i="34"/>
  <c r="V1993" i="34"/>
  <c r="Y1993" i="34"/>
  <c r="A1997" i="34"/>
  <c r="V1997" i="34"/>
  <c r="Y1997" i="34"/>
  <c r="A1203" i="34"/>
  <c r="Y1203" i="34"/>
  <c r="V1203" i="34"/>
  <c r="A1231" i="34"/>
  <c r="V1231" i="34"/>
  <c r="Y1231" i="34"/>
  <c r="A1235" i="34"/>
  <c r="V1235" i="34"/>
  <c r="Y1235" i="34"/>
  <c r="A1274" i="34"/>
  <c r="Y1274" i="34"/>
  <c r="V1274" i="34"/>
  <c r="A1278" i="34"/>
  <c r="Y1278" i="34"/>
  <c r="V1278" i="34"/>
  <c r="A1320" i="34"/>
  <c r="Y1320" i="34"/>
  <c r="V1320" i="34"/>
  <c r="A1324" i="34"/>
  <c r="Y1324" i="34"/>
  <c r="V1324" i="34"/>
  <c r="A1328" i="34"/>
  <c r="Y1328" i="34"/>
  <c r="V1328" i="34"/>
  <c r="A1332" i="34"/>
  <c r="Y1332" i="34"/>
  <c r="V1332" i="34"/>
  <c r="A1358" i="34"/>
  <c r="Y1358" i="34"/>
  <c r="V1358" i="34"/>
  <c r="A1362" i="34"/>
  <c r="Y1362" i="34"/>
  <c r="V1362" i="34"/>
  <c r="A1386" i="34"/>
  <c r="Y1386" i="34"/>
  <c r="V1386" i="34"/>
  <c r="A1390" i="34"/>
  <c r="Y1390" i="34"/>
  <c r="V1390" i="34"/>
  <c r="A1406" i="34"/>
  <c r="Y1406" i="34"/>
  <c r="V1406" i="34"/>
  <c r="A1418" i="34"/>
  <c r="Y1418" i="34"/>
  <c r="V1418" i="34"/>
  <c r="A1504" i="34"/>
  <c r="Y1504" i="34"/>
  <c r="V1504" i="34"/>
  <c r="A1508" i="34"/>
  <c r="Y1508" i="34"/>
  <c r="V1508" i="34"/>
  <c r="A1529" i="34"/>
  <c r="V1529" i="34"/>
  <c r="Y1529" i="34"/>
  <c r="A1533" i="34"/>
  <c r="V1533" i="34"/>
  <c r="Y1533" i="34"/>
  <c r="A1553" i="34"/>
  <c r="V1553" i="34"/>
  <c r="Y1553" i="34"/>
  <c r="A1589" i="34"/>
  <c r="V1589" i="34"/>
  <c r="Y1589" i="34"/>
  <c r="A1593" i="34"/>
  <c r="V1593" i="34"/>
  <c r="Y1593" i="34"/>
  <c r="A1597" i="34"/>
  <c r="V1597" i="34"/>
  <c r="Y1597" i="34"/>
  <c r="A1616" i="34"/>
  <c r="Y1616" i="34"/>
  <c r="V1616" i="34"/>
  <c r="A1620" i="34"/>
  <c r="Y1620" i="34"/>
  <c r="V1620" i="34"/>
  <c r="A1689" i="34"/>
  <c r="V1689" i="34"/>
  <c r="Y1689" i="34"/>
  <c r="A1693" i="34"/>
  <c r="V1693" i="34"/>
  <c r="Y1693" i="34"/>
  <c r="A1724" i="34"/>
  <c r="Y1724" i="34"/>
  <c r="V1724" i="34"/>
  <c r="A1750" i="34"/>
  <c r="Y1750" i="34"/>
  <c r="V1750" i="34"/>
  <c r="A1754" i="34"/>
  <c r="V1754" i="34"/>
  <c r="Y1754" i="34"/>
  <c r="A1779" i="34"/>
  <c r="Y1779" i="34"/>
  <c r="V1779" i="34"/>
  <c r="A1783" i="34"/>
  <c r="Y1783" i="34"/>
  <c r="V1783" i="34"/>
  <c r="A1804" i="34"/>
  <c r="Y1804" i="34"/>
  <c r="V1804" i="34"/>
  <c r="A1808" i="34"/>
  <c r="Y1808" i="34"/>
  <c r="V1808" i="34"/>
  <c r="A1838" i="34"/>
  <c r="Y1838" i="34"/>
  <c r="V1838" i="34"/>
  <c r="A1842" i="34"/>
  <c r="Y1842" i="34"/>
  <c r="V1842" i="34"/>
  <c r="A1846" i="34"/>
  <c r="Y1846" i="34"/>
  <c r="V1846" i="34"/>
  <c r="B1125" i="34"/>
  <c r="B1076" i="34"/>
  <c r="B1075" i="34"/>
  <c r="B1074" i="34"/>
  <c r="B726" i="34"/>
  <c r="B1066" i="34"/>
  <c r="B1065" i="34"/>
  <c r="B1064" i="34"/>
  <c r="B1063" i="34"/>
  <c r="B1061" i="34"/>
  <c r="B1060" i="34"/>
  <c r="B1059" i="34"/>
  <c r="B1058" i="34"/>
  <c r="B1053" i="34"/>
  <c r="B1052" i="34"/>
  <c r="B1048" i="34"/>
  <c r="B1047" i="34"/>
  <c r="B1043" i="34"/>
  <c r="B1042" i="34"/>
  <c r="B1041" i="34"/>
  <c r="B1040" i="34"/>
  <c r="B1039" i="34"/>
  <c r="B1038" i="34"/>
  <c r="B1037" i="34"/>
  <c r="B1036" i="34"/>
  <c r="B1035" i="34"/>
  <c r="B1030" i="34"/>
  <c r="B1029" i="34"/>
  <c r="B1028" i="34"/>
  <c r="B1027" i="34"/>
  <c r="B1019" i="34"/>
  <c r="B1018" i="34"/>
  <c r="B1013" i="34"/>
  <c r="B1012" i="34"/>
  <c r="B1008" i="34"/>
  <c r="B1007" i="34"/>
  <c r="B997" i="34"/>
  <c r="B996" i="34"/>
  <c r="B992" i="34"/>
  <c r="B991" i="34"/>
  <c r="B990" i="34"/>
  <c r="B984" i="34"/>
  <c r="B983" i="34"/>
  <c r="B982" i="34"/>
  <c r="B981" i="34"/>
  <c r="B980" i="34"/>
  <c r="B978" i="34"/>
  <c r="B977" i="34"/>
  <c r="B976" i="34"/>
  <c r="B975" i="34"/>
  <c r="B965" i="34"/>
  <c r="B964" i="34"/>
  <c r="B962" i="34"/>
  <c r="B961" i="34"/>
  <c r="B960" i="34"/>
  <c r="B957" i="34"/>
  <c r="B956" i="34"/>
  <c r="B955" i="34"/>
  <c r="B954" i="34"/>
  <c r="B949" i="34"/>
  <c r="B948" i="34"/>
  <c r="B944" i="34"/>
  <c r="B943" i="34"/>
  <c r="B942" i="34"/>
  <c r="B941" i="34"/>
  <c r="B938" i="34"/>
  <c r="B937" i="34"/>
  <c r="B936" i="34"/>
  <c r="B935" i="34"/>
  <c r="B934" i="34"/>
  <c r="B933" i="34"/>
  <c r="B932" i="34"/>
  <c r="B930" i="34"/>
  <c r="B929" i="34"/>
  <c r="B928" i="34"/>
  <c r="B927" i="34"/>
  <c r="B926" i="34"/>
  <c r="B925" i="34"/>
  <c r="B924" i="34"/>
  <c r="B337" i="34"/>
  <c r="B336" i="34"/>
  <c r="B303" i="34"/>
  <c r="B302" i="34"/>
  <c r="B301" i="34"/>
  <c r="B199" i="34"/>
  <c r="B198" i="34"/>
  <c r="B197" i="34"/>
  <c r="B185" i="34"/>
  <c r="B184" i="34"/>
  <c r="B174" i="34"/>
  <c r="B173" i="34"/>
  <c r="B172" i="34"/>
  <c r="B171" i="34"/>
  <c r="B164" i="34"/>
  <c r="B163" i="34"/>
  <c r="B161" i="34"/>
  <c r="B160" i="34"/>
  <c r="B158" i="34"/>
  <c r="B157" i="34"/>
  <c r="B156" i="34"/>
  <c r="B128" i="34"/>
  <c r="B127" i="34"/>
  <c r="B121" i="34"/>
  <c r="B120" i="34"/>
  <c r="B119" i="34"/>
  <c r="B118" i="34"/>
  <c r="B117" i="34"/>
  <c r="B116" i="34"/>
  <c r="B115" i="34"/>
  <c r="B114" i="34"/>
  <c r="B113" i="34"/>
  <c r="B112" i="34"/>
  <c r="B101" i="34"/>
  <c r="B100" i="34"/>
  <c r="B89" i="34"/>
  <c r="B88" i="34"/>
  <c r="B82" i="34"/>
  <c r="B81" i="34"/>
  <c r="B80" i="34"/>
  <c r="B79" i="34"/>
  <c r="B78" i="34"/>
  <c r="B77" i="34"/>
  <c r="B76" i="34"/>
  <c r="B75" i="34"/>
  <c r="B70" i="34"/>
  <c r="B69" i="34"/>
  <c r="B61" i="34"/>
  <c r="B60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7" i="34"/>
  <c r="B1158" i="34"/>
  <c r="B1159" i="34"/>
  <c r="B1160" i="34"/>
  <c r="B1161" i="34"/>
  <c r="B1162" i="34"/>
  <c r="B1163" i="34"/>
  <c r="B1164" i="34"/>
  <c r="B1178" i="34"/>
  <c r="B1179" i="34"/>
  <c r="B1180" i="34"/>
  <c r="B1181" i="34"/>
  <c r="B1182" i="34"/>
  <c r="B1183" i="34"/>
  <c r="B1184" i="34"/>
  <c r="B1185" i="34"/>
  <c r="B1186" i="34"/>
  <c r="B1187" i="34"/>
  <c r="B1214" i="34"/>
  <c r="B1215" i="34"/>
  <c r="B1216" i="34"/>
  <c r="B1217" i="34"/>
  <c r="B1218" i="34"/>
  <c r="B1219" i="34"/>
  <c r="B1238" i="34"/>
  <c r="B1239" i="34"/>
  <c r="B1240" i="34"/>
  <c r="B1241" i="34"/>
  <c r="B1242" i="34"/>
  <c r="B1243" i="34"/>
  <c r="B1244" i="34"/>
  <c r="B1245" i="34"/>
  <c r="B1255" i="34"/>
  <c r="B1256" i="34"/>
  <c r="B1257" i="34"/>
  <c r="B1258" i="34"/>
  <c r="B1259" i="34"/>
  <c r="B1260" i="34"/>
  <c r="B1261" i="34"/>
  <c r="B1262" i="34"/>
  <c r="B1342" i="34"/>
  <c r="B1343" i="34"/>
  <c r="B1344" i="34"/>
  <c r="B1345" i="34"/>
  <c r="B1346" i="34"/>
  <c r="B1372" i="34"/>
  <c r="B1373" i="34"/>
  <c r="B1374" i="34"/>
  <c r="B1397" i="34"/>
  <c r="B1428" i="34"/>
  <c r="B1434" i="34"/>
  <c r="B1435" i="34"/>
  <c r="B1436" i="34"/>
  <c r="B1437" i="34"/>
  <c r="B1438" i="34"/>
  <c r="B1439" i="34"/>
  <c r="B1440" i="34"/>
  <c r="B1441" i="34"/>
  <c r="B1442" i="34"/>
  <c r="B1445" i="34"/>
  <c r="B1446" i="34"/>
  <c r="B1447" i="34"/>
  <c r="B1448" i="34"/>
  <c r="B1449" i="34"/>
  <c r="B1450" i="34"/>
  <c r="B1451" i="34"/>
  <c r="B145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541" i="34"/>
  <c r="B1542" i="34"/>
  <c r="B1543" i="34"/>
  <c r="B1544" i="34"/>
  <c r="B1545" i="34"/>
  <c r="B1546" i="34"/>
  <c r="B1547" i="34"/>
  <c r="B1626" i="34"/>
  <c r="B1627" i="34"/>
  <c r="B1628" i="34"/>
  <c r="B1629" i="34"/>
  <c r="B1630" i="34"/>
  <c r="B1631" i="34"/>
  <c r="B1632" i="34"/>
  <c r="B1633" i="34"/>
  <c r="B1634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64" i="34"/>
  <c r="B1665" i="34"/>
  <c r="B1666" i="34"/>
  <c r="B1667" i="34"/>
  <c r="B1668" i="34"/>
  <c r="B1669" i="34"/>
  <c r="B1670" i="34"/>
  <c r="B1671" i="34"/>
  <c r="B1701" i="34"/>
  <c r="B1702" i="34"/>
  <c r="B1703" i="34"/>
  <c r="B1704" i="34"/>
  <c r="B1705" i="34"/>
  <c r="B1706" i="34"/>
  <c r="B1707" i="34"/>
  <c r="B1708" i="34"/>
  <c r="B1716" i="34"/>
  <c r="B1717" i="34"/>
  <c r="B1718" i="34"/>
  <c r="B1719" i="34"/>
  <c r="B1720" i="34"/>
  <c r="B1721" i="34"/>
  <c r="B1722" i="34"/>
  <c r="B1765" i="34"/>
  <c r="B1766" i="34"/>
  <c r="B1767" i="34"/>
  <c r="B1135" i="34"/>
  <c r="B1221" i="34"/>
  <c r="B1220" i="34"/>
  <c r="B1195" i="34"/>
  <c r="B1194" i="34"/>
  <c r="B1193" i="34"/>
  <c r="B1192" i="34"/>
  <c r="B1191" i="34"/>
  <c r="B1190" i="34"/>
  <c r="B1189" i="34"/>
  <c r="B1188" i="34"/>
  <c r="B1768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0" i="34"/>
  <c r="B1269" i="34"/>
  <c r="B1268" i="34"/>
  <c r="B1267" i="34"/>
  <c r="B1266" i="34"/>
  <c r="B1265" i="34"/>
  <c r="B1264" i="34"/>
  <c r="B1263" i="34"/>
  <c r="B1227" i="34"/>
  <c r="B1226" i="34"/>
  <c r="B1225" i="34"/>
  <c r="B1224" i="34"/>
  <c r="B1223" i="34"/>
  <c r="B1222" i="34"/>
  <c r="B1415" i="34"/>
  <c r="B1414" i="34"/>
  <c r="B1413" i="34"/>
  <c r="B1402" i="34"/>
  <c r="B1401" i="34"/>
  <c r="B1400" i="34"/>
  <c r="B1399" i="34"/>
  <c r="B1398" i="34"/>
  <c r="B1382" i="34"/>
  <c r="B1381" i="34"/>
  <c r="B1380" i="34"/>
  <c r="B1379" i="34"/>
  <c r="B1378" i="34"/>
  <c r="B1377" i="34"/>
  <c r="B1376" i="34"/>
  <c r="B1375" i="34"/>
  <c r="B1354" i="34"/>
  <c r="B1353" i="34"/>
  <c r="B1352" i="34"/>
  <c r="B1351" i="34"/>
  <c r="B1350" i="34"/>
  <c r="B1349" i="34"/>
  <c r="B1348" i="34"/>
  <c r="B1347" i="34"/>
  <c r="B1316" i="34"/>
  <c r="B1315" i="34"/>
  <c r="B1314" i="34"/>
  <c r="B1577" i="34"/>
  <c r="B1576" i="34"/>
  <c r="B1575" i="34"/>
  <c r="B1574" i="34"/>
  <c r="B1573" i="34"/>
  <c r="B1572" i="34"/>
  <c r="B1571" i="34"/>
  <c r="B1552" i="34"/>
  <c r="B1528" i="34"/>
  <c r="B1527" i="34"/>
  <c r="B1526" i="34"/>
  <c r="B1525" i="34"/>
  <c r="B1524" i="34"/>
  <c r="B1523" i="34"/>
  <c r="B1522" i="34"/>
  <c r="B1521" i="34"/>
  <c r="B1502" i="34"/>
  <c r="B1501" i="34"/>
  <c r="B1500" i="34"/>
  <c r="B1499" i="34"/>
  <c r="B1498" i="34"/>
  <c r="B1497" i="34"/>
  <c r="B1496" i="34"/>
  <c r="B1495" i="34"/>
  <c r="B1494" i="34"/>
  <c r="B1456" i="34"/>
  <c r="B1421" i="34"/>
  <c r="B1739" i="34"/>
  <c r="B1738" i="34"/>
  <c r="B1723" i="34"/>
  <c r="B1688" i="34"/>
  <c r="B1687" i="34"/>
  <c r="B1686" i="34"/>
  <c r="B1685" i="34"/>
  <c r="B1684" i="34"/>
  <c r="B1683" i="34"/>
  <c r="B1682" i="34"/>
  <c r="B1681" i="34"/>
  <c r="B1653" i="34"/>
  <c r="B1615" i="34"/>
  <c r="B1614" i="34"/>
  <c r="B1613" i="34"/>
  <c r="B1612" i="34"/>
  <c r="B1611" i="34"/>
  <c r="B1610" i="34"/>
  <c r="B1609" i="34"/>
  <c r="B1585" i="34"/>
  <c r="B1584" i="34"/>
  <c r="B1583" i="34"/>
  <c r="B1582" i="34"/>
  <c r="B1581" i="34"/>
  <c r="B1580" i="34"/>
  <c r="B1579" i="34"/>
  <c r="B1578" i="34"/>
  <c r="B1828" i="34"/>
  <c r="B1827" i="34"/>
  <c r="B1826" i="34"/>
  <c r="B1825" i="34"/>
  <c r="B1801" i="34"/>
  <c r="B1800" i="34"/>
  <c r="B1799" i="34"/>
  <c r="B1798" i="34"/>
  <c r="B1797" i="34"/>
  <c r="B1796" i="34"/>
  <c r="B1795" i="34"/>
  <c r="B1794" i="34"/>
  <c r="B1776" i="34"/>
  <c r="B1775" i="34"/>
  <c r="B1774" i="34"/>
  <c r="B1773" i="34"/>
  <c r="B1772" i="34"/>
  <c r="B1771" i="34"/>
  <c r="B1770" i="34"/>
  <c r="B1769" i="34"/>
  <c r="B1746" i="34"/>
  <c r="B1745" i="34"/>
  <c r="B1744" i="34"/>
  <c r="B1743" i="34"/>
  <c r="B1742" i="34"/>
  <c r="B1741" i="34"/>
  <c r="B1740" i="34"/>
  <c r="B1201" i="34"/>
  <c r="B1200" i="34"/>
  <c r="B1199" i="34"/>
  <c r="B1198" i="34"/>
  <c r="B1197" i="34"/>
  <c r="B1196" i="34"/>
  <c r="B1131" i="34"/>
  <c r="B1130" i="34"/>
  <c r="B1300" i="34"/>
  <c r="B1129" i="34"/>
  <c r="B1835" i="34"/>
  <c r="B1834" i="34"/>
  <c r="B1833" i="34"/>
  <c r="B1832" i="34"/>
  <c r="B1831" i="34"/>
  <c r="B1830" i="34"/>
  <c r="B1829" i="34"/>
  <c r="B1859" i="34"/>
  <c r="B1874" i="34"/>
  <c r="B1858" i="34"/>
  <c r="A1858" i="34" l="1"/>
  <c r="Y1858" i="34"/>
  <c r="V1858" i="34"/>
  <c r="A1198" i="34"/>
  <c r="Y1198" i="34"/>
  <c r="V1198" i="34"/>
  <c r="A1774" i="34"/>
  <c r="Y1774" i="34"/>
  <c r="V1774" i="34"/>
  <c r="A1579" i="34"/>
  <c r="Y1579" i="34"/>
  <c r="V1579" i="34"/>
  <c r="A1614" i="34"/>
  <c r="Y1614" i="34"/>
  <c r="V1614" i="34"/>
  <c r="A1498" i="34"/>
  <c r="Y1498" i="34"/>
  <c r="V1498" i="34"/>
  <c r="A1573" i="34"/>
  <c r="V1573" i="34"/>
  <c r="Y1573" i="34"/>
  <c r="A1375" i="34"/>
  <c r="V1375" i="34"/>
  <c r="Y1375" i="34"/>
  <c r="A1222" i="34"/>
  <c r="Y1222" i="34"/>
  <c r="V1222" i="34"/>
  <c r="A1303" i="34"/>
  <c r="V1303" i="34"/>
  <c r="Y1303" i="34"/>
  <c r="A1188" i="34"/>
  <c r="Y1188" i="34"/>
  <c r="V1188" i="34"/>
  <c r="A1720" i="34"/>
  <c r="Y1720" i="34"/>
  <c r="V1720" i="34"/>
  <c r="A1668" i="34"/>
  <c r="Y1668" i="34"/>
  <c r="V1668" i="34"/>
  <c r="A1466" i="34"/>
  <c r="Y1466" i="34"/>
  <c r="V1466" i="34"/>
  <c r="A1832" i="34"/>
  <c r="Y1832" i="34"/>
  <c r="V1832" i="34"/>
  <c r="A1129" i="34"/>
  <c r="V1129" i="34"/>
  <c r="Y1129" i="34"/>
  <c r="A1200" i="34"/>
  <c r="Y1200" i="34"/>
  <c r="V1200" i="34"/>
  <c r="A1746" i="34"/>
  <c r="Y1746" i="34"/>
  <c r="V1746" i="34"/>
  <c r="A1776" i="34"/>
  <c r="Y1776" i="34"/>
  <c r="V1776" i="34"/>
  <c r="A1801" i="34"/>
  <c r="V1801" i="34"/>
  <c r="Y1801" i="34"/>
  <c r="A1581" i="34"/>
  <c r="V1581" i="34"/>
  <c r="Y1581" i="34"/>
  <c r="A1585" i="34"/>
  <c r="V1585" i="34"/>
  <c r="Y1585" i="34"/>
  <c r="A1653" i="34"/>
  <c r="V1653" i="34"/>
  <c r="Y1653" i="34"/>
  <c r="A1688" i="34"/>
  <c r="Y1688" i="34"/>
  <c r="V1688" i="34"/>
  <c r="A1496" i="34"/>
  <c r="Y1496" i="34"/>
  <c r="V1496" i="34"/>
  <c r="A1522" i="34"/>
  <c r="Y1522" i="34"/>
  <c r="V1522" i="34"/>
  <c r="A1571" i="34"/>
  <c r="Y1571" i="34"/>
  <c r="V1571" i="34"/>
  <c r="A1349" i="34"/>
  <c r="Y1349" i="34"/>
  <c r="V1349" i="34"/>
  <c r="A1377" i="34"/>
  <c r="Y1377" i="34"/>
  <c r="V1377" i="34"/>
  <c r="A1829" i="34"/>
  <c r="V1829" i="34"/>
  <c r="Y1829" i="34"/>
  <c r="A1833" i="34"/>
  <c r="V1833" i="34"/>
  <c r="Y1833" i="34"/>
  <c r="A1300" i="34"/>
  <c r="Y1300" i="34"/>
  <c r="V1300" i="34"/>
  <c r="A1197" i="34"/>
  <c r="V1197" i="34"/>
  <c r="Y1197" i="34"/>
  <c r="A1201" i="34"/>
  <c r="V1201" i="34"/>
  <c r="Y1201" i="34"/>
  <c r="A1743" i="34"/>
  <c r="Y1743" i="34"/>
  <c r="V1743" i="34"/>
  <c r="A1769" i="34"/>
  <c r="V1769" i="34"/>
  <c r="Y1769" i="34"/>
  <c r="A1773" i="34"/>
  <c r="V1773" i="34"/>
  <c r="Y1773" i="34"/>
  <c r="A1794" i="34"/>
  <c r="Y1794" i="34"/>
  <c r="V1794" i="34"/>
  <c r="A1798" i="34"/>
  <c r="Y1798" i="34"/>
  <c r="V1798" i="34"/>
  <c r="A1825" i="34"/>
  <c r="V1825" i="34"/>
  <c r="Y1825" i="34"/>
  <c r="A1578" i="34"/>
  <c r="Y1578" i="34"/>
  <c r="V1578" i="34"/>
  <c r="A1582" i="34"/>
  <c r="Y1582" i="34"/>
  <c r="V1582" i="34"/>
  <c r="A1609" i="34"/>
  <c r="V1609" i="34"/>
  <c r="Y1609" i="34"/>
  <c r="A1613" i="34"/>
  <c r="V1613" i="34"/>
  <c r="Y1613" i="34"/>
  <c r="A1681" i="34"/>
  <c r="V1681" i="34"/>
  <c r="Y1681" i="34"/>
  <c r="A1685" i="34"/>
  <c r="V1685" i="34"/>
  <c r="Y1685" i="34"/>
  <c r="A1723" i="34"/>
  <c r="Y1723" i="34"/>
  <c r="V1723" i="34"/>
  <c r="A1456" i="34"/>
  <c r="Y1456" i="34"/>
  <c r="V1456" i="34"/>
  <c r="A1497" i="34"/>
  <c r="V1497" i="34"/>
  <c r="Y1497" i="34"/>
  <c r="A1501" i="34"/>
  <c r="V1501" i="34"/>
  <c r="Y1501" i="34"/>
  <c r="A1523" i="34"/>
  <c r="Y1523" i="34"/>
  <c r="V1523" i="34"/>
  <c r="A1527" i="34"/>
  <c r="Y1527" i="34"/>
  <c r="V1527" i="34"/>
  <c r="A1572" i="34"/>
  <c r="Y1572" i="34"/>
  <c r="V1572" i="34"/>
  <c r="A1576" i="34"/>
  <c r="Y1576" i="34"/>
  <c r="V1576" i="34"/>
  <c r="A1316" i="34"/>
  <c r="Y1316" i="34"/>
  <c r="V1316" i="34"/>
  <c r="A1350" i="34"/>
  <c r="Y1350" i="34"/>
  <c r="V1350" i="34"/>
  <c r="A1354" i="34"/>
  <c r="Y1354" i="34"/>
  <c r="V1354" i="34"/>
  <c r="A1378" i="34"/>
  <c r="Y1378" i="34"/>
  <c r="V1378" i="34"/>
  <c r="A1382" i="34"/>
  <c r="Y1382" i="34"/>
  <c r="V1382" i="34"/>
  <c r="A1401" i="34"/>
  <c r="Y1401" i="34"/>
  <c r="V1401" i="34"/>
  <c r="A1415" i="34"/>
  <c r="V1415" i="34"/>
  <c r="Y1415" i="34"/>
  <c r="A1225" i="34"/>
  <c r="Y1225" i="34"/>
  <c r="V1225" i="34"/>
  <c r="A1264" i="34"/>
  <c r="Y1264" i="34"/>
  <c r="V1264" i="34"/>
  <c r="A1268" i="34"/>
  <c r="Y1268" i="34"/>
  <c r="V1268" i="34"/>
  <c r="A1302" i="34"/>
  <c r="Y1302" i="34"/>
  <c r="V1302" i="34"/>
  <c r="A1306" i="34"/>
  <c r="Y1306" i="34"/>
  <c r="V1306" i="34"/>
  <c r="A1310" i="34"/>
  <c r="Y1310" i="34"/>
  <c r="V1310" i="34"/>
  <c r="A1768" i="34"/>
  <c r="Y1768" i="34"/>
  <c r="V1768" i="34"/>
  <c r="A1191" i="34"/>
  <c r="Y1191" i="34"/>
  <c r="V1191" i="34"/>
  <c r="A1195" i="34"/>
  <c r="Y1195" i="34"/>
  <c r="V1195" i="34"/>
  <c r="A1767" i="34"/>
  <c r="Y1767" i="34"/>
  <c r="V1767" i="34"/>
  <c r="A1721" i="34"/>
  <c r="V1721" i="34"/>
  <c r="Y1721" i="34"/>
  <c r="A1717" i="34"/>
  <c r="V1717" i="34"/>
  <c r="Y1717" i="34"/>
  <c r="A1706" i="34"/>
  <c r="Y1706" i="34"/>
  <c r="V1706" i="34"/>
  <c r="A1702" i="34"/>
  <c r="Y1702" i="34"/>
  <c r="V1702" i="34"/>
  <c r="A1669" i="34"/>
  <c r="V1669" i="34"/>
  <c r="Y1669" i="34"/>
  <c r="A1665" i="34"/>
  <c r="V1665" i="34"/>
  <c r="Y1665" i="34"/>
  <c r="A1644" i="34"/>
  <c r="Y1644" i="34"/>
  <c r="V1644" i="34"/>
  <c r="A1640" i="34"/>
  <c r="Y1640" i="34"/>
  <c r="V1640" i="34"/>
  <c r="A1636" i="34"/>
  <c r="Y1636" i="34"/>
  <c r="V1636" i="34"/>
  <c r="A1631" i="34"/>
  <c r="Y1631" i="34"/>
  <c r="V1631" i="34"/>
  <c r="A1627" i="34"/>
  <c r="Y1627" i="34"/>
  <c r="V1627" i="34"/>
  <c r="A1545" i="34"/>
  <c r="V1545" i="34"/>
  <c r="Y1545" i="34"/>
  <c r="A1541" i="34"/>
  <c r="V1541" i="34"/>
  <c r="Y1541" i="34"/>
  <c r="A1475" i="34"/>
  <c r="V1475" i="34"/>
  <c r="Y1475" i="34"/>
  <c r="A1471" i="34"/>
  <c r="V1471" i="34"/>
  <c r="Y1471" i="34"/>
  <c r="A1467" i="34"/>
  <c r="V1467" i="34"/>
  <c r="Y1467" i="34"/>
  <c r="A1463" i="34"/>
  <c r="V1463" i="34"/>
  <c r="Y1463" i="34"/>
  <c r="A1449" i="34"/>
  <c r="Y1449" i="34"/>
  <c r="V1449" i="34"/>
  <c r="A1445" i="34"/>
  <c r="Y1445" i="34"/>
  <c r="V1445" i="34"/>
  <c r="A1439" i="34"/>
  <c r="V1439" i="34"/>
  <c r="Y1439" i="34"/>
  <c r="A1435" i="34"/>
  <c r="V1435" i="34"/>
  <c r="Y1435" i="34"/>
  <c r="A1374" i="34"/>
  <c r="Y1374" i="34"/>
  <c r="V1374" i="34"/>
  <c r="A1345" i="34"/>
  <c r="Y1345" i="34"/>
  <c r="V1345" i="34"/>
  <c r="A1262" i="34"/>
  <c r="Y1262" i="34"/>
  <c r="V1262" i="34"/>
  <c r="A1258" i="34"/>
  <c r="Y1258" i="34"/>
  <c r="V1258" i="34"/>
  <c r="A1245" i="34"/>
  <c r="Y1245" i="34"/>
  <c r="V1245" i="34"/>
  <c r="A1241" i="34"/>
  <c r="Y1241" i="34"/>
  <c r="V1241" i="34"/>
  <c r="A1219" i="34"/>
  <c r="V1219" i="34"/>
  <c r="Y1219" i="34"/>
  <c r="A1215" i="34"/>
  <c r="V1215" i="34"/>
  <c r="Y1215" i="34"/>
  <c r="A1185" i="34"/>
  <c r="V1185" i="34"/>
  <c r="Y1185" i="34"/>
  <c r="A1181" i="34"/>
  <c r="V1181" i="34"/>
  <c r="Y1181" i="34"/>
  <c r="A1164" i="34"/>
  <c r="Y1164" i="34"/>
  <c r="V1164" i="34"/>
  <c r="A1160" i="34"/>
  <c r="Y1160" i="34"/>
  <c r="V1160" i="34"/>
  <c r="A1149" i="34"/>
  <c r="V1149" i="34"/>
  <c r="Y1149" i="34"/>
  <c r="A1145" i="34"/>
  <c r="V1145" i="34"/>
  <c r="Y1145" i="34"/>
  <c r="A1141" i="34"/>
  <c r="V1141" i="34"/>
  <c r="Y1141" i="34"/>
  <c r="A1137" i="34"/>
  <c r="V1137" i="34"/>
  <c r="Y1137" i="34"/>
  <c r="A69" i="34"/>
  <c r="Y69" i="34"/>
  <c r="V69" i="34"/>
  <c r="A77" i="34"/>
  <c r="V77" i="34"/>
  <c r="Y77" i="34"/>
  <c r="A81" i="34"/>
  <c r="V81" i="34"/>
  <c r="Y81" i="34"/>
  <c r="A100" i="34"/>
  <c r="Y100" i="34"/>
  <c r="V100" i="34"/>
  <c r="A114" i="34"/>
  <c r="Y114" i="34"/>
  <c r="V114" i="34"/>
  <c r="A118" i="34"/>
  <c r="Y118" i="34"/>
  <c r="V118" i="34"/>
  <c r="A127" i="34"/>
  <c r="V127" i="34"/>
  <c r="Y127" i="34"/>
  <c r="A158" i="34"/>
  <c r="Y158" i="34"/>
  <c r="V158" i="34"/>
  <c r="A164" i="34"/>
  <c r="Y164" i="34"/>
  <c r="V164" i="34"/>
  <c r="A174" i="34"/>
  <c r="Y174" i="34"/>
  <c r="V174" i="34"/>
  <c r="A198" i="34"/>
  <c r="Y198" i="34"/>
  <c r="V198" i="34"/>
  <c r="A303" i="34"/>
  <c r="Y303" i="34"/>
  <c r="V303" i="34"/>
  <c r="A925" i="34"/>
  <c r="V925" i="34"/>
  <c r="Y925" i="34"/>
  <c r="A929" i="34"/>
  <c r="V929" i="34"/>
  <c r="Y929" i="34"/>
  <c r="A934" i="34"/>
  <c r="Y934" i="34"/>
  <c r="V934" i="34"/>
  <c r="A938" i="34"/>
  <c r="Y938" i="34"/>
  <c r="V938" i="34"/>
  <c r="A944" i="34"/>
  <c r="Y944" i="34"/>
  <c r="V944" i="34"/>
  <c r="A955" i="34"/>
  <c r="Y955" i="34"/>
  <c r="V955" i="34"/>
  <c r="A961" i="34"/>
  <c r="Y961" i="34"/>
  <c r="V961" i="34"/>
  <c r="A975" i="34"/>
  <c r="V975" i="34"/>
  <c r="Y975" i="34"/>
  <c r="A980" i="34"/>
  <c r="Y980" i="34"/>
  <c r="V980" i="34"/>
  <c r="A984" i="34"/>
  <c r="Y984" i="34"/>
  <c r="V984" i="34"/>
  <c r="A996" i="34"/>
  <c r="Y996" i="34"/>
  <c r="V996" i="34"/>
  <c r="A1012" i="34"/>
  <c r="Y1012" i="34"/>
  <c r="V1012" i="34"/>
  <c r="A1027" i="34"/>
  <c r="Y1027" i="34"/>
  <c r="V1027" i="34"/>
  <c r="A1035" i="34"/>
  <c r="Y1035" i="34"/>
  <c r="V1035" i="34"/>
  <c r="A1039" i="34"/>
  <c r="Y1039" i="34"/>
  <c r="V1039" i="34"/>
  <c r="A1043" i="34"/>
  <c r="Y1043" i="34"/>
  <c r="V1043" i="34"/>
  <c r="A1053" i="34"/>
  <c r="V1053" i="34"/>
  <c r="Y1053" i="34"/>
  <c r="A1061" i="34"/>
  <c r="V1061" i="34"/>
  <c r="Y1061" i="34"/>
  <c r="A1066" i="34"/>
  <c r="Y1066" i="34"/>
  <c r="V1066" i="34"/>
  <c r="A1076" i="34"/>
  <c r="Y1076" i="34"/>
  <c r="V1076" i="34"/>
  <c r="A1830" i="34"/>
  <c r="Y1830" i="34"/>
  <c r="V1830" i="34"/>
  <c r="A1740" i="34"/>
  <c r="Y1740" i="34"/>
  <c r="V1740" i="34"/>
  <c r="A1826" i="34"/>
  <c r="Y1826" i="34"/>
  <c r="V1826" i="34"/>
  <c r="A1686" i="34"/>
  <c r="Y1686" i="34"/>
  <c r="V1686" i="34"/>
  <c r="A1502" i="34"/>
  <c r="Y1502" i="34"/>
  <c r="V1502" i="34"/>
  <c r="A1577" i="34"/>
  <c r="V1577" i="34"/>
  <c r="Y1577" i="34"/>
  <c r="A1379" i="34"/>
  <c r="V1379" i="34"/>
  <c r="Y1379" i="34"/>
  <c r="A1226" i="34"/>
  <c r="Y1226" i="34"/>
  <c r="V1226" i="34"/>
  <c r="A1307" i="34"/>
  <c r="V1307" i="34"/>
  <c r="Y1307" i="34"/>
  <c r="A1220" i="34"/>
  <c r="Y1220" i="34"/>
  <c r="V1220" i="34"/>
  <c r="A1705" i="34"/>
  <c r="V1705" i="34"/>
  <c r="Y1705" i="34"/>
  <c r="A1643" i="34"/>
  <c r="Y1643" i="34"/>
  <c r="V1643" i="34"/>
  <c r="A1634" i="34"/>
  <c r="Y1634" i="34"/>
  <c r="V1634" i="34"/>
  <c r="A1626" i="34"/>
  <c r="Y1626" i="34"/>
  <c r="V1626" i="34"/>
  <c r="A1474" i="34"/>
  <c r="Y1474" i="34"/>
  <c r="V1474" i="34"/>
  <c r="A1448" i="34"/>
  <c r="Y1448" i="34"/>
  <c r="V1448" i="34"/>
  <c r="A1438" i="34"/>
  <c r="Y1438" i="34"/>
  <c r="V1438" i="34"/>
  <c r="A1373" i="34"/>
  <c r="Y1373" i="34"/>
  <c r="V1373" i="34"/>
  <c r="A1261" i="34"/>
  <c r="Y1261" i="34"/>
  <c r="V1261" i="34"/>
  <c r="A1244" i="34"/>
  <c r="Y1244" i="34"/>
  <c r="V1244" i="34"/>
  <c r="A1218" i="34"/>
  <c r="Y1218" i="34"/>
  <c r="V1218" i="34"/>
  <c r="A1184" i="34"/>
  <c r="Y1184" i="34"/>
  <c r="V1184" i="34"/>
  <c r="A1163" i="34"/>
  <c r="Y1163" i="34"/>
  <c r="V1163" i="34"/>
  <c r="A1148" i="34"/>
  <c r="Y1148" i="34"/>
  <c r="V1148" i="34"/>
  <c r="A1136" i="34"/>
  <c r="Y1136" i="34"/>
  <c r="V1136" i="34"/>
  <c r="A70" i="34"/>
  <c r="Y70" i="34"/>
  <c r="V70" i="34"/>
  <c r="A82" i="34"/>
  <c r="Y82" i="34"/>
  <c r="V82" i="34"/>
  <c r="A119" i="34"/>
  <c r="V119" i="34"/>
  <c r="Y119" i="34"/>
  <c r="A160" i="34"/>
  <c r="Y160" i="34"/>
  <c r="V160" i="34"/>
  <c r="A184" i="34"/>
  <c r="Y184" i="34"/>
  <c r="V184" i="34"/>
  <c r="A336" i="34"/>
  <c r="V336" i="34"/>
  <c r="Y336" i="34"/>
  <c r="A930" i="34"/>
  <c r="Y930" i="34"/>
  <c r="V930" i="34"/>
  <c r="A941" i="34"/>
  <c r="V941" i="34"/>
  <c r="Y941" i="34"/>
  <c r="A956" i="34"/>
  <c r="Y956" i="34"/>
  <c r="V956" i="34"/>
  <c r="A976" i="34"/>
  <c r="Y976" i="34"/>
  <c r="V976" i="34"/>
  <c r="A990" i="34"/>
  <c r="V990" i="34"/>
  <c r="Y990" i="34"/>
  <c r="A1013" i="34"/>
  <c r="V1013" i="34"/>
  <c r="Y1013" i="34"/>
  <c r="A1040" i="34"/>
  <c r="Y1040" i="34"/>
  <c r="V1040" i="34"/>
  <c r="A726" i="34"/>
  <c r="V726" i="34"/>
  <c r="Y726" i="34"/>
  <c r="A1130" i="34"/>
  <c r="Y1130" i="34"/>
  <c r="V1130" i="34"/>
  <c r="A1770" i="34"/>
  <c r="Y1770" i="34"/>
  <c r="V1770" i="34"/>
  <c r="A1799" i="34"/>
  <c r="Y1799" i="34"/>
  <c r="V1799" i="34"/>
  <c r="A1610" i="34"/>
  <c r="Y1610" i="34"/>
  <c r="V1610" i="34"/>
  <c r="A1738" i="34"/>
  <c r="Y1738" i="34"/>
  <c r="V1738" i="34"/>
  <c r="A1524" i="34"/>
  <c r="Y1524" i="34"/>
  <c r="V1524" i="34"/>
  <c r="A1351" i="34"/>
  <c r="V1351" i="34"/>
  <c r="Y1351" i="34"/>
  <c r="A1402" i="34"/>
  <c r="Y1402" i="34"/>
  <c r="V1402" i="34"/>
  <c r="A1265" i="34"/>
  <c r="Y1265" i="34"/>
  <c r="V1265" i="34"/>
  <c r="A1311" i="34"/>
  <c r="V1311" i="34"/>
  <c r="Y1311" i="34"/>
  <c r="A1766" i="34"/>
  <c r="Y1766" i="34"/>
  <c r="V1766" i="34"/>
  <c r="A1701" i="34"/>
  <c r="V1701" i="34"/>
  <c r="Y1701" i="34"/>
  <c r="A1639" i="34"/>
  <c r="Y1639" i="34"/>
  <c r="V1639" i="34"/>
  <c r="A1630" i="34"/>
  <c r="Y1630" i="34"/>
  <c r="V1630" i="34"/>
  <c r="A1544" i="34"/>
  <c r="Y1544" i="34"/>
  <c r="V1544" i="34"/>
  <c r="A1478" i="34"/>
  <c r="Y1478" i="34"/>
  <c r="V1478" i="34"/>
  <c r="A1452" i="34"/>
  <c r="Y1452" i="34"/>
  <c r="V1452" i="34"/>
  <c r="A1442" i="34"/>
  <c r="Y1442" i="34"/>
  <c r="V1442" i="34"/>
  <c r="A1434" i="34"/>
  <c r="Y1434" i="34"/>
  <c r="V1434" i="34"/>
  <c r="A1344" i="34"/>
  <c r="Y1344" i="34"/>
  <c r="V1344" i="34"/>
  <c r="A1257" i="34"/>
  <c r="Y1257" i="34"/>
  <c r="V1257" i="34"/>
  <c r="A1240" i="34"/>
  <c r="Y1240" i="34"/>
  <c r="V1240" i="34"/>
  <c r="A1214" i="34"/>
  <c r="Y1214" i="34"/>
  <c r="V1214" i="34"/>
  <c r="A1180" i="34"/>
  <c r="Y1180" i="34"/>
  <c r="V1180" i="34"/>
  <c r="A1159" i="34"/>
  <c r="Y1159" i="34"/>
  <c r="V1159" i="34"/>
  <c r="A1144" i="34"/>
  <c r="Y1144" i="34"/>
  <c r="V1144" i="34"/>
  <c r="A1140" i="34"/>
  <c r="Y1140" i="34"/>
  <c r="V1140" i="34"/>
  <c r="A78" i="34"/>
  <c r="Y78" i="34"/>
  <c r="V78" i="34"/>
  <c r="A101" i="34"/>
  <c r="Y101" i="34"/>
  <c r="V101" i="34"/>
  <c r="A115" i="34"/>
  <c r="V115" i="34"/>
  <c r="Y115" i="34"/>
  <c r="A128" i="34"/>
  <c r="Y128" i="34"/>
  <c r="V128" i="34"/>
  <c r="A171" i="34"/>
  <c r="Y171" i="34"/>
  <c r="V171" i="34"/>
  <c r="A199" i="34"/>
  <c r="Y199" i="34"/>
  <c r="V199" i="34"/>
  <c r="A926" i="34"/>
  <c r="Y926" i="34"/>
  <c r="V926" i="34"/>
  <c r="A935" i="34"/>
  <c r="Y935" i="34"/>
  <c r="V935" i="34"/>
  <c r="A948" i="34"/>
  <c r="V948" i="34"/>
  <c r="Y948" i="34"/>
  <c r="A962" i="34"/>
  <c r="Y962" i="34"/>
  <c r="V962" i="34"/>
  <c r="A981" i="34"/>
  <c r="Y981" i="34"/>
  <c r="V981" i="34"/>
  <c r="A997" i="34"/>
  <c r="Y997" i="34"/>
  <c r="V997" i="34"/>
  <c r="A1028" i="34"/>
  <c r="Y1028" i="34"/>
  <c r="V1028" i="34"/>
  <c r="A1036" i="34"/>
  <c r="Y1036" i="34"/>
  <c r="V1036" i="34"/>
  <c r="A1047" i="34"/>
  <c r="Y1047" i="34"/>
  <c r="V1047" i="34"/>
  <c r="A1058" i="34"/>
  <c r="Y1058" i="34"/>
  <c r="V1058" i="34"/>
  <c r="A1063" i="34"/>
  <c r="Y1063" i="34"/>
  <c r="V1063" i="34"/>
  <c r="A1125" i="34"/>
  <c r="V1125" i="34"/>
  <c r="Y1125" i="34"/>
  <c r="A1874" i="34"/>
  <c r="Y1874" i="34"/>
  <c r="V1874" i="34"/>
  <c r="A1831" i="34"/>
  <c r="Y1831" i="34"/>
  <c r="V1831" i="34"/>
  <c r="A1835" i="34"/>
  <c r="Y1835" i="34"/>
  <c r="V1835" i="34"/>
  <c r="A1131" i="34"/>
  <c r="Y1131" i="34"/>
  <c r="V1131" i="34"/>
  <c r="A1199" i="34"/>
  <c r="Y1199" i="34"/>
  <c r="V1199" i="34"/>
  <c r="A1741" i="34"/>
  <c r="V1741" i="34"/>
  <c r="Y1741" i="34"/>
  <c r="A1745" i="34"/>
  <c r="V1745" i="34"/>
  <c r="Y1745" i="34"/>
  <c r="A1771" i="34"/>
  <c r="Y1771" i="34"/>
  <c r="V1771" i="34"/>
  <c r="A1775" i="34"/>
  <c r="Y1775" i="34"/>
  <c r="V1775" i="34"/>
  <c r="A1796" i="34"/>
  <c r="Y1796" i="34"/>
  <c r="V1796" i="34"/>
  <c r="A1800" i="34"/>
  <c r="Y1800" i="34"/>
  <c r="V1800" i="34"/>
  <c r="A1827" i="34"/>
  <c r="Y1827" i="34"/>
  <c r="V1827" i="34"/>
  <c r="A1580" i="34"/>
  <c r="Y1580" i="34"/>
  <c r="V1580" i="34"/>
  <c r="A1584" i="34"/>
  <c r="Y1584" i="34"/>
  <c r="V1584" i="34"/>
  <c r="A1611" i="34"/>
  <c r="Y1611" i="34"/>
  <c r="V1611" i="34"/>
  <c r="A1615" i="34"/>
  <c r="Y1615" i="34"/>
  <c r="V1615" i="34"/>
  <c r="A1683" i="34"/>
  <c r="Y1683" i="34"/>
  <c r="V1683" i="34"/>
  <c r="A1687" i="34"/>
  <c r="Y1687" i="34"/>
  <c r="V1687" i="34"/>
  <c r="A1739" i="34"/>
  <c r="Y1739" i="34"/>
  <c r="V1739" i="34"/>
  <c r="A1495" i="34"/>
  <c r="Y1495" i="34"/>
  <c r="V1495" i="34"/>
  <c r="A1499" i="34"/>
  <c r="Y1499" i="34"/>
  <c r="V1499" i="34"/>
  <c r="A1521" i="34"/>
  <c r="V1521" i="34"/>
  <c r="Y1521" i="34"/>
  <c r="A1525" i="34"/>
  <c r="V1525" i="34"/>
  <c r="Y1525" i="34"/>
  <c r="A1552" i="34"/>
  <c r="Y1552" i="34"/>
  <c r="V1552" i="34"/>
  <c r="A1574" i="34"/>
  <c r="Y1574" i="34"/>
  <c r="V1574" i="34"/>
  <c r="A1314" i="34"/>
  <c r="Y1314" i="34"/>
  <c r="V1314" i="34"/>
  <c r="A1348" i="34"/>
  <c r="Y1348" i="34"/>
  <c r="V1348" i="34"/>
  <c r="A1352" i="34"/>
  <c r="Y1352" i="34"/>
  <c r="V1352" i="34"/>
  <c r="A1376" i="34"/>
  <c r="Y1376" i="34"/>
  <c r="V1376" i="34"/>
  <c r="A1380" i="34"/>
  <c r="Y1380" i="34"/>
  <c r="V1380" i="34"/>
  <c r="A1399" i="34"/>
  <c r="V1399" i="34"/>
  <c r="Y1399" i="34"/>
  <c r="A1413" i="34"/>
  <c r="Y1413" i="34"/>
  <c r="V1413" i="34"/>
  <c r="A1223" i="34"/>
  <c r="V1223" i="34"/>
  <c r="Y1223" i="34"/>
  <c r="A1227" i="34"/>
  <c r="V1227" i="34"/>
  <c r="Y1227" i="34"/>
  <c r="A1266" i="34"/>
  <c r="Y1266" i="34"/>
  <c r="V1266" i="34"/>
  <c r="A1270" i="34"/>
  <c r="Y1270" i="34"/>
  <c r="V1270" i="34"/>
  <c r="A1304" i="34"/>
  <c r="Y1304" i="34"/>
  <c r="V1304" i="34"/>
  <c r="A1308" i="34"/>
  <c r="Y1308" i="34"/>
  <c r="V1308" i="34"/>
  <c r="A1312" i="34"/>
  <c r="Y1312" i="34"/>
  <c r="V1312" i="34"/>
  <c r="A1189" i="34"/>
  <c r="V1189" i="34"/>
  <c r="Y1189" i="34"/>
  <c r="A1193" i="34"/>
  <c r="V1193" i="34"/>
  <c r="Y1193" i="34"/>
  <c r="A1221" i="34"/>
  <c r="Y1221" i="34"/>
  <c r="V1221" i="34"/>
  <c r="A1765" i="34"/>
  <c r="V1765" i="34"/>
  <c r="Y1765" i="34"/>
  <c r="A1719" i="34"/>
  <c r="Y1719" i="34"/>
  <c r="V1719" i="34"/>
  <c r="A1708" i="34"/>
  <c r="Y1708" i="34"/>
  <c r="V1708" i="34"/>
  <c r="A1704" i="34"/>
  <c r="Y1704" i="34"/>
  <c r="V1704" i="34"/>
  <c r="A1671" i="34"/>
  <c r="Y1671" i="34"/>
  <c r="V1671" i="34"/>
  <c r="A1667" i="34"/>
  <c r="Y1667" i="34"/>
  <c r="V1667" i="34"/>
  <c r="A1646" i="34"/>
  <c r="Y1646" i="34"/>
  <c r="V1646" i="34"/>
  <c r="A1642" i="34"/>
  <c r="Y1642" i="34"/>
  <c r="V1642" i="34"/>
  <c r="A1638" i="34"/>
  <c r="Y1638" i="34"/>
  <c r="V1638" i="34"/>
  <c r="A1633" i="34"/>
  <c r="V1633" i="34"/>
  <c r="Y1633" i="34"/>
  <c r="A1629" i="34"/>
  <c r="V1629" i="34"/>
  <c r="Y1629" i="34"/>
  <c r="A1547" i="34"/>
  <c r="Y1547" i="34"/>
  <c r="V1547" i="34"/>
  <c r="A1543" i="34"/>
  <c r="Y1543" i="34"/>
  <c r="V1543" i="34"/>
  <c r="A1477" i="34"/>
  <c r="Y1477" i="34"/>
  <c r="V1477" i="34"/>
  <c r="A1473" i="34"/>
  <c r="Y1473" i="34"/>
  <c r="V1473" i="34"/>
  <c r="A1469" i="34"/>
  <c r="Y1469" i="34"/>
  <c r="V1469" i="34"/>
  <c r="A1465" i="34"/>
  <c r="Y1465" i="34"/>
  <c r="V1465" i="34"/>
  <c r="A1451" i="34"/>
  <c r="V1451" i="34"/>
  <c r="Y1451" i="34"/>
  <c r="A1447" i="34"/>
  <c r="V1447" i="34"/>
  <c r="Y1447" i="34"/>
  <c r="A1441" i="34"/>
  <c r="Y1441" i="34"/>
  <c r="V1441" i="34"/>
  <c r="A1437" i="34"/>
  <c r="Y1437" i="34"/>
  <c r="V1437" i="34"/>
  <c r="A1428" i="34"/>
  <c r="Y1428" i="34"/>
  <c r="V1428" i="34"/>
  <c r="A1372" i="34"/>
  <c r="Y1372" i="34"/>
  <c r="V1372" i="34"/>
  <c r="A1343" i="34"/>
  <c r="V1343" i="34"/>
  <c r="Y1343" i="34"/>
  <c r="A1260" i="34"/>
  <c r="Y1260" i="34"/>
  <c r="V1260" i="34"/>
  <c r="A1256" i="34"/>
  <c r="Y1256" i="34"/>
  <c r="V1256" i="34"/>
  <c r="A1243" i="34"/>
  <c r="V1243" i="34"/>
  <c r="Y1243" i="34"/>
  <c r="A1239" i="34"/>
  <c r="V1239" i="34"/>
  <c r="Y1239" i="34"/>
  <c r="A1217" i="34"/>
  <c r="V1217" i="34"/>
  <c r="Y1217" i="34"/>
  <c r="A1187" i="34"/>
  <c r="Y1187" i="34"/>
  <c r="V1187" i="34"/>
  <c r="A1183" i="34"/>
  <c r="Y1183" i="34"/>
  <c r="V1183" i="34"/>
  <c r="A1179" i="34"/>
  <c r="Y1179" i="34"/>
  <c r="V1179" i="34"/>
  <c r="A1162" i="34"/>
  <c r="Y1162" i="34"/>
  <c r="V1162" i="34"/>
  <c r="A1158" i="34"/>
  <c r="Y1158" i="34"/>
  <c r="V1158" i="34"/>
  <c r="A1147" i="34"/>
  <c r="Y1147" i="34"/>
  <c r="V1147" i="34"/>
  <c r="A1143" i="34"/>
  <c r="Y1143" i="34"/>
  <c r="V1143" i="34"/>
  <c r="A1139" i="34"/>
  <c r="Y1139" i="34"/>
  <c r="V1139" i="34"/>
  <c r="A60" i="34"/>
  <c r="Y60" i="34"/>
  <c r="V60" i="34"/>
  <c r="A75" i="34"/>
  <c r="V75" i="34"/>
  <c r="Y75" i="34"/>
  <c r="A79" i="34"/>
  <c r="Y79" i="34"/>
  <c r="V79" i="34"/>
  <c r="A88" i="34"/>
  <c r="V88" i="34"/>
  <c r="Y88" i="34"/>
  <c r="A112" i="34"/>
  <c r="V112" i="34"/>
  <c r="Y112" i="34"/>
  <c r="A116" i="34"/>
  <c r="Y116" i="34"/>
  <c r="V116" i="34"/>
  <c r="A120" i="34"/>
  <c r="Y120" i="34"/>
  <c r="V120" i="34"/>
  <c r="A156" i="34"/>
  <c r="Y156" i="34"/>
  <c r="V156" i="34"/>
  <c r="A161" i="34"/>
  <c r="V161" i="34"/>
  <c r="Y161" i="34"/>
  <c r="A172" i="34"/>
  <c r="V172" i="34"/>
  <c r="Y172" i="34"/>
  <c r="A185" i="34"/>
  <c r="Y185" i="34"/>
  <c r="V185" i="34"/>
  <c r="A301" i="34"/>
  <c r="Y301" i="34"/>
  <c r="V301" i="34"/>
  <c r="A337" i="34"/>
  <c r="Y337" i="34"/>
  <c r="V337" i="34"/>
  <c r="A927" i="34"/>
  <c r="Y927" i="34"/>
  <c r="V927" i="34"/>
  <c r="A932" i="34"/>
  <c r="Y932" i="34"/>
  <c r="V932" i="34"/>
  <c r="A936" i="34"/>
  <c r="Y936" i="34"/>
  <c r="V936" i="34"/>
  <c r="A942" i="34"/>
  <c r="Y942" i="34"/>
  <c r="V942" i="34"/>
  <c r="A949" i="34"/>
  <c r="Y949" i="34"/>
  <c r="V949" i="34"/>
  <c r="A957" i="34"/>
  <c r="Y957" i="34"/>
  <c r="V957" i="34"/>
  <c r="A964" i="34"/>
  <c r="Y964" i="34"/>
  <c r="V964" i="34"/>
  <c r="A977" i="34"/>
  <c r="Y977" i="34"/>
  <c r="V977" i="34"/>
  <c r="A982" i="34"/>
  <c r="Y982" i="34"/>
  <c r="V982" i="34"/>
  <c r="A991" i="34"/>
  <c r="Y991" i="34"/>
  <c r="V991" i="34"/>
  <c r="A1007" i="34"/>
  <c r="Y1007" i="34"/>
  <c r="V1007" i="34"/>
  <c r="A1018" i="34"/>
  <c r="Y1018" i="34"/>
  <c r="V1018" i="34"/>
  <c r="A1029" i="34"/>
  <c r="V1029" i="34"/>
  <c r="Y1029" i="34"/>
  <c r="A1037" i="34"/>
  <c r="V1037" i="34"/>
  <c r="Y1037" i="34"/>
  <c r="A1041" i="34"/>
  <c r="V1041" i="34"/>
  <c r="Y1041" i="34"/>
  <c r="A1048" i="34"/>
  <c r="Y1048" i="34"/>
  <c r="V1048" i="34"/>
  <c r="A1059" i="34"/>
  <c r="Y1059" i="34"/>
  <c r="V1059" i="34"/>
  <c r="A1064" i="34"/>
  <c r="Y1064" i="34"/>
  <c r="V1064" i="34"/>
  <c r="A1074" i="34"/>
  <c r="Y1074" i="34"/>
  <c r="V1074" i="34"/>
  <c r="A1834" i="34"/>
  <c r="Y1834" i="34"/>
  <c r="V1834" i="34"/>
  <c r="A1744" i="34"/>
  <c r="Y1744" i="34"/>
  <c r="V1744" i="34"/>
  <c r="A1795" i="34"/>
  <c r="Y1795" i="34"/>
  <c r="V1795" i="34"/>
  <c r="A1583" i="34"/>
  <c r="Y1583" i="34"/>
  <c r="V1583" i="34"/>
  <c r="A1682" i="34"/>
  <c r="Y1682" i="34"/>
  <c r="V1682" i="34"/>
  <c r="A1494" i="34"/>
  <c r="Y1494" i="34"/>
  <c r="V1494" i="34"/>
  <c r="A1528" i="34"/>
  <c r="Y1528" i="34"/>
  <c r="V1528" i="34"/>
  <c r="A1347" i="34"/>
  <c r="V1347" i="34"/>
  <c r="Y1347" i="34"/>
  <c r="A1398" i="34"/>
  <c r="Y1398" i="34"/>
  <c r="V1398" i="34"/>
  <c r="A1269" i="34"/>
  <c r="Y1269" i="34"/>
  <c r="V1269" i="34"/>
  <c r="A1192" i="34"/>
  <c r="Y1192" i="34"/>
  <c r="V1192" i="34"/>
  <c r="A1716" i="34"/>
  <c r="Y1716" i="34"/>
  <c r="V1716" i="34"/>
  <c r="A1664" i="34"/>
  <c r="Y1664" i="34"/>
  <c r="V1664" i="34"/>
  <c r="A1470" i="34"/>
  <c r="Y1470" i="34"/>
  <c r="V1470" i="34"/>
  <c r="A1859" i="34"/>
  <c r="Y1859" i="34"/>
  <c r="V1859" i="34"/>
  <c r="A1196" i="34"/>
  <c r="Y1196" i="34"/>
  <c r="V1196" i="34"/>
  <c r="A1742" i="34"/>
  <c r="Y1742" i="34"/>
  <c r="V1742" i="34"/>
  <c r="A1772" i="34"/>
  <c r="Y1772" i="34"/>
  <c r="V1772" i="34"/>
  <c r="A1797" i="34"/>
  <c r="V1797" i="34"/>
  <c r="Y1797" i="34"/>
  <c r="A1828" i="34"/>
  <c r="Y1828" i="34"/>
  <c r="V1828" i="34"/>
  <c r="A1612" i="34"/>
  <c r="Y1612" i="34"/>
  <c r="V1612" i="34"/>
  <c r="A1684" i="34"/>
  <c r="Y1684" i="34"/>
  <c r="V1684" i="34"/>
  <c r="A1421" i="34"/>
  <c r="Y1421" i="34"/>
  <c r="V1421" i="34"/>
  <c r="A1500" i="34"/>
  <c r="Y1500" i="34"/>
  <c r="V1500" i="34"/>
  <c r="A1526" i="34"/>
  <c r="Y1526" i="34"/>
  <c r="V1526" i="34"/>
  <c r="A1575" i="34"/>
  <c r="Y1575" i="34"/>
  <c r="V1575" i="34"/>
  <c r="A1315" i="34"/>
  <c r="V1315" i="34"/>
  <c r="Y1315" i="34"/>
  <c r="A1353" i="34"/>
  <c r="Y1353" i="34"/>
  <c r="V1353" i="34"/>
  <c r="A1381" i="34"/>
  <c r="Y1381" i="34"/>
  <c r="V1381" i="34"/>
  <c r="A1400" i="34"/>
  <c r="Y1400" i="34"/>
  <c r="V1400" i="34"/>
  <c r="A1414" i="34"/>
  <c r="Y1414" i="34"/>
  <c r="V1414" i="34"/>
  <c r="A1224" i="34"/>
  <c r="Y1224" i="34"/>
  <c r="V1224" i="34"/>
  <c r="A1263" i="34"/>
  <c r="V1263" i="34"/>
  <c r="Y1263" i="34"/>
  <c r="A1267" i="34"/>
  <c r="V1267" i="34"/>
  <c r="Y1267" i="34"/>
  <c r="A1301" i="34"/>
  <c r="Y1301" i="34"/>
  <c r="V1301" i="34"/>
  <c r="A1305" i="34"/>
  <c r="Y1305" i="34"/>
  <c r="V1305" i="34"/>
  <c r="A1309" i="34"/>
  <c r="Y1309" i="34"/>
  <c r="V1309" i="34"/>
  <c r="A1313" i="34"/>
  <c r="Y1313" i="34"/>
  <c r="V1313" i="34"/>
  <c r="A1190" i="34"/>
  <c r="Y1190" i="34"/>
  <c r="V1190" i="34"/>
  <c r="A1194" i="34"/>
  <c r="Y1194" i="34"/>
  <c r="V1194" i="34"/>
  <c r="A1135" i="34"/>
  <c r="Y1135" i="34"/>
  <c r="V1135" i="34"/>
  <c r="A1722" i="34"/>
  <c r="Y1722" i="34"/>
  <c r="V1722" i="34"/>
  <c r="A1718" i="34"/>
  <c r="Y1718" i="34"/>
  <c r="V1718" i="34"/>
  <c r="A1707" i="34"/>
  <c r="Y1707" i="34"/>
  <c r="V1707" i="34"/>
  <c r="A1703" i="34"/>
  <c r="Y1703" i="34"/>
  <c r="V1703" i="34"/>
  <c r="A1670" i="34"/>
  <c r="Y1670" i="34"/>
  <c r="V1670" i="34"/>
  <c r="A1666" i="34"/>
  <c r="Y1666" i="34"/>
  <c r="V1666" i="34"/>
  <c r="A1645" i="34"/>
  <c r="V1645" i="34"/>
  <c r="Y1645" i="34"/>
  <c r="A1641" i="34"/>
  <c r="V1641" i="34"/>
  <c r="Y1641" i="34"/>
  <c r="A1637" i="34"/>
  <c r="V1637" i="34"/>
  <c r="Y1637" i="34"/>
  <c r="A1632" i="34"/>
  <c r="Y1632" i="34"/>
  <c r="V1632" i="34"/>
  <c r="A1628" i="34"/>
  <c r="Y1628" i="34"/>
  <c r="V1628" i="34"/>
  <c r="A1546" i="34"/>
  <c r="Y1546" i="34"/>
  <c r="V1546" i="34"/>
  <c r="A1542" i="34"/>
  <c r="Y1542" i="34"/>
  <c r="V1542" i="34"/>
  <c r="A1476" i="34"/>
  <c r="Y1476" i="34"/>
  <c r="V1476" i="34"/>
  <c r="A1472" i="34"/>
  <c r="Y1472" i="34"/>
  <c r="V1472" i="34"/>
  <c r="A1468" i="34"/>
  <c r="Y1468" i="34"/>
  <c r="V1468" i="34"/>
  <c r="A1464" i="34"/>
  <c r="Y1464" i="34"/>
  <c r="V1464" i="34"/>
  <c r="A1450" i="34"/>
  <c r="Y1450" i="34"/>
  <c r="V1450" i="34"/>
  <c r="A1446" i="34"/>
  <c r="Y1446" i="34"/>
  <c r="V1446" i="34"/>
  <c r="A1440" i="34"/>
  <c r="Y1440" i="34"/>
  <c r="V1440" i="34"/>
  <c r="A1436" i="34"/>
  <c r="Y1436" i="34"/>
  <c r="V1436" i="34"/>
  <c r="A1397" i="34"/>
  <c r="Y1397" i="34"/>
  <c r="V1397" i="34"/>
  <c r="A1346" i="34"/>
  <c r="Y1346" i="34"/>
  <c r="V1346" i="34"/>
  <c r="A1342" i="34"/>
  <c r="Y1342" i="34"/>
  <c r="V1342" i="34"/>
  <c r="A1259" i="34"/>
  <c r="V1259" i="34"/>
  <c r="Y1259" i="34"/>
  <c r="A1255" i="34"/>
  <c r="V1255" i="34"/>
  <c r="Y1255" i="34"/>
  <c r="A1242" i="34"/>
  <c r="Y1242" i="34"/>
  <c r="V1242" i="34"/>
  <c r="A1238" i="34"/>
  <c r="Y1238" i="34"/>
  <c r="V1238" i="34"/>
  <c r="A1216" i="34"/>
  <c r="Y1216" i="34"/>
  <c r="V1216" i="34"/>
  <c r="A1186" i="34"/>
  <c r="Y1186" i="34"/>
  <c r="V1186" i="34"/>
  <c r="A1182" i="34"/>
  <c r="Y1182" i="34"/>
  <c r="V1182" i="34"/>
  <c r="A1178" i="34"/>
  <c r="Y1178" i="34"/>
  <c r="V1178" i="34"/>
  <c r="A1161" i="34"/>
  <c r="V1161" i="34"/>
  <c r="Y1161" i="34"/>
  <c r="A1157" i="34"/>
  <c r="V1157" i="34"/>
  <c r="Y1157" i="34"/>
  <c r="A1146" i="34"/>
  <c r="Y1146" i="34"/>
  <c r="V1146" i="34"/>
  <c r="A1142" i="34"/>
  <c r="Y1142" i="34"/>
  <c r="V1142" i="34"/>
  <c r="A1138" i="34"/>
  <c r="Y1138" i="34"/>
  <c r="V1138" i="34"/>
  <c r="A61" i="34"/>
  <c r="Y61" i="34"/>
  <c r="V61" i="34"/>
  <c r="A76" i="34"/>
  <c r="Y76" i="34"/>
  <c r="V76" i="34"/>
  <c r="A80" i="34"/>
  <c r="Y80" i="34"/>
  <c r="V80" i="34"/>
  <c r="A89" i="34"/>
  <c r="Y89" i="34"/>
  <c r="V89" i="34"/>
  <c r="A113" i="34"/>
  <c r="Y113" i="34"/>
  <c r="V113" i="34"/>
  <c r="A117" i="34"/>
  <c r="V117" i="34"/>
  <c r="Y117" i="34"/>
  <c r="A121" i="34"/>
  <c r="V121" i="34"/>
  <c r="Y121" i="34"/>
  <c r="A157" i="34"/>
  <c r="V157" i="34"/>
  <c r="Y157" i="34"/>
  <c r="A163" i="34"/>
  <c r="Y163" i="34"/>
  <c r="V163" i="34"/>
  <c r="A173" i="34"/>
  <c r="Y173" i="34"/>
  <c r="V173" i="34"/>
  <c r="A197" i="34"/>
  <c r="Y197" i="34"/>
  <c r="V197" i="34"/>
  <c r="A302" i="34"/>
  <c r="Y302" i="34"/>
  <c r="V302" i="34"/>
  <c r="A924" i="34"/>
  <c r="Y924" i="34"/>
  <c r="V924" i="34"/>
  <c r="A928" i="34"/>
  <c r="Y928" i="34"/>
  <c r="V928" i="34"/>
  <c r="A933" i="34"/>
  <c r="V933" i="34"/>
  <c r="Y933" i="34"/>
  <c r="A937" i="34"/>
  <c r="V937" i="34"/>
  <c r="Y937" i="34"/>
  <c r="A943" i="34"/>
  <c r="Y943" i="34"/>
  <c r="V943" i="34"/>
  <c r="A954" i="34"/>
  <c r="V954" i="34"/>
  <c r="Y954" i="34"/>
  <c r="A960" i="34"/>
  <c r="Y960" i="34"/>
  <c r="V960" i="34"/>
  <c r="A965" i="34"/>
  <c r="Y965" i="34"/>
  <c r="V965" i="34"/>
  <c r="A978" i="34"/>
  <c r="Y978" i="34"/>
  <c r="V978" i="34"/>
  <c r="A983" i="34"/>
  <c r="V983" i="34"/>
  <c r="Y983" i="34"/>
  <c r="A992" i="34"/>
  <c r="Y992" i="34"/>
  <c r="V992" i="34"/>
  <c r="A1008" i="34"/>
  <c r="Y1008" i="34"/>
  <c r="V1008" i="34"/>
  <c r="A1019" i="34"/>
  <c r="Y1019" i="34"/>
  <c r="V1019" i="34"/>
  <c r="A1030" i="34"/>
  <c r="Y1030" i="34"/>
  <c r="V1030" i="34"/>
  <c r="A1038" i="34"/>
  <c r="Y1038" i="34"/>
  <c r="V1038" i="34"/>
  <c r="A1042" i="34"/>
  <c r="Y1042" i="34"/>
  <c r="V1042" i="34"/>
  <c r="A1052" i="34"/>
  <c r="Y1052" i="34"/>
  <c r="V1052" i="34"/>
  <c r="A1060" i="34"/>
  <c r="Y1060" i="34"/>
  <c r="V1060" i="34"/>
  <c r="A1065" i="34"/>
  <c r="V1065" i="34"/>
  <c r="Y1065" i="34"/>
  <c r="A1075" i="34"/>
  <c r="Y1075" i="34"/>
  <c r="V1075" i="34"/>
  <c r="B1122" i="34"/>
  <c r="B746" i="34"/>
  <c r="B313" i="34"/>
  <c r="B286" i="34"/>
  <c r="A746" i="34" l="1"/>
  <c r="Y746" i="34"/>
  <c r="V746" i="34"/>
  <c r="A313" i="34"/>
  <c r="Y313" i="34"/>
  <c r="V313" i="34"/>
  <c r="A1122" i="34"/>
  <c r="Y1122" i="34"/>
  <c r="V1122" i="34"/>
  <c r="A286" i="34"/>
  <c r="Y286" i="34"/>
  <c r="V286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45" i="34" l="1"/>
  <c r="B170" i="34"/>
  <c r="B239" i="34"/>
  <c r="B230" i="34"/>
  <c r="B212" i="34"/>
  <c r="A230" i="34" l="1"/>
  <c r="Y230" i="34"/>
  <c r="V230" i="34"/>
  <c r="A170" i="34"/>
  <c r="Y170" i="34"/>
  <c r="V170" i="34"/>
  <c r="A239" i="34"/>
  <c r="Y239" i="34"/>
  <c r="V239" i="34"/>
  <c r="A212" i="34"/>
  <c r="Y212" i="34"/>
  <c r="V212" i="34"/>
  <c r="A245" i="34"/>
  <c r="V245" i="34"/>
  <c r="Y245" i="34"/>
  <c r="B720" i="34"/>
  <c r="B693" i="34"/>
  <c r="A720" i="34" l="1"/>
  <c r="V720" i="34"/>
  <c r="Y720" i="34"/>
  <c r="A693" i="34"/>
  <c r="Y693" i="34"/>
  <c r="V693" i="34"/>
  <c r="B433" i="34"/>
  <c r="B390" i="34"/>
  <c r="B444" i="34"/>
  <c r="B608" i="34"/>
  <c r="A444" i="34" l="1"/>
  <c r="Y444" i="34"/>
  <c r="V444" i="34"/>
  <c r="A608" i="34"/>
  <c r="Y608" i="34"/>
  <c r="V608" i="34"/>
  <c r="A390" i="34"/>
  <c r="Y390" i="34"/>
  <c r="V390" i="34"/>
  <c r="A433" i="34"/>
  <c r="Y433" i="34"/>
  <c r="V433" i="34"/>
  <c r="B692" i="34"/>
  <c r="B683" i="34"/>
  <c r="B682" i="34"/>
  <c r="B607" i="34"/>
  <c r="B604" i="34"/>
  <c r="B603" i="34"/>
  <c r="B602" i="34"/>
  <c r="B601" i="34"/>
  <c r="B599" i="34"/>
  <c r="B598" i="34"/>
  <c r="B593" i="34"/>
  <c r="B592" i="34"/>
  <c r="B567" i="34"/>
  <c r="B566" i="34"/>
  <c r="B563" i="34"/>
  <c r="B562" i="34"/>
  <c r="B561" i="34"/>
  <c r="B560" i="34"/>
  <c r="B559" i="34"/>
  <c r="B556" i="34"/>
  <c r="B555" i="34"/>
  <c r="B548" i="34"/>
  <c r="B547" i="34"/>
  <c r="B546" i="34"/>
  <c r="B545" i="34"/>
  <c r="B544" i="34"/>
  <c r="B543" i="34"/>
  <c r="B542" i="34"/>
  <c r="B541" i="34"/>
  <c r="B539" i="34"/>
  <c r="B519" i="34"/>
  <c r="B518" i="34"/>
  <c r="B514" i="34"/>
  <c r="B513" i="34"/>
  <c r="B512" i="34"/>
  <c r="B511" i="34"/>
  <c r="B510" i="34"/>
  <c r="B505" i="34"/>
  <c r="B504" i="34"/>
  <c r="B479" i="34"/>
  <c r="B478" i="34"/>
  <c r="B477" i="34"/>
  <c r="B476" i="34"/>
  <c r="B474" i="34"/>
  <c r="B473" i="34"/>
  <c r="B472" i="34"/>
  <c r="B471" i="34"/>
  <c r="B470" i="34"/>
  <c r="B428" i="34"/>
  <c r="B427" i="34"/>
  <c r="B426" i="34"/>
  <c r="B425" i="34"/>
  <c r="B424" i="34"/>
  <c r="B423" i="34"/>
  <c r="B422" i="34"/>
  <c r="B421" i="34"/>
  <c r="B420" i="34"/>
  <c r="B370" i="34"/>
  <c r="B369" i="34"/>
  <c r="B367" i="34"/>
  <c r="B366" i="34"/>
  <c r="B363" i="34"/>
  <c r="B362" i="34"/>
  <c r="B361" i="34"/>
  <c r="B360" i="34"/>
  <c r="B359" i="34"/>
  <c r="B281" i="34"/>
  <c r="B280" i="34"/>
  <c r="B279" i="34"/>
  <c r="B278" i="34"/>
  <c r="B271" i="34"/>
  <c r="B270" i="34"/>
  <c r="B269" i="34"/>
  <c r="B268" i="34"/>
  <c r="B267" i="34"/>
  <c r="B524" i="34"/>
  <c r="B468" i="34"/>
  <c r="B467" i="34"/>
  <c r="B466" i="34"/>
  <c r="B403" i="34"/>
  <c r="B402" i="34"/>
  <c r="B401" i="34"/>
  <c r="B327" i="34"/>
  <c r="B326" i="34"/>
  <c r="B325" i="34"/>
  <c r="B208" i="34"/>
  <c r="B206" i="34"/>
  <c r="B205" i="34"/>
  <c r="B202" i="34"/>
  <c r="B201" i="34"/>
  <c r="B200" i="34"/>
  <c r="B725" i="34"/>
  <c r="B724" i="34"/>
  <c r="B723" i="34"/>
  <c r="B722" i="34"/>
  <c r="B721" i="34"/>
  <c r="B244" i="34"/>
  <c r="B243" i="34"/>
  <c r="B190" i="34"/>
  <c r="B189" i="34"/>
  <c r="B188" i="34"/>
  <c r="B169" i="34"/>
  <c r="B168" i="34"/>
  <c r="B1082" i="34"/>
  <c r="B1081" i="34"/>
  <c r="B1080" i="34"/>
  <c r="B1079" i="34"/>
  <c r="B1078" i="34"/>
  <c r="B1077" i="34"/>
  <c r="B342" i="34"/>
  <c r="B341" i="34"/>
  <c r="B308" i="34"/>
  <c r="B307" i="34"/>
  <c r="B304" i="34"/>
  <c r="B266" i="34"/>
  <c r="B265" i="34"/>
  <c r="B263" i="34"/>
  <c r="B262" i="34"/>
  <c r="B261" i="34"/>
  <c r="B260" i="34"/>
  <c r="B259" i="34"/>
  <c r="B257" i="34"/>
  <c r="B256" i="34"/>
  <c r="B254" i="34"/>
  <c r="B253" i="34"/>
  <c r="B252" i="34"/>
  <c r="B251" i="34"/>
  <c r="B250" i="34"/>
  <c r="B249" i="34"/>
  <c r="B242" i="34"/>
  <c r="B241" i="34"/>
  <c r="B240" i="34"/>
  <c r="B234" i="34"/>
  <c r="B233" i="34"/>
  <c r="B232" i="34"/>
  <c r="B231" i="34"/>
  <c r="B229" i="34"/>
  <c r="B227" i="34"/>
  <c r="B226" i="34"/>
  <c r="B224" i="34"/>
  <c r="B223" i="34"/>
  <c r="B222" i="34"/>
  <c r="B218" i="34"/>
  <c r="B217" i="34"/>
  <c r="B215" i="34"/>
  <c r="B214" i="34"/>
  <c r="B213" i="34"/>
  <c r="B210" i="34"/>
  <c r="B209" i="34"/>
  <c r="B719" i="34"/>
  <c r="B694" i="34"/>
  <c r="B1662" i="34"/>
  <c r="B1660" i="34"/>
  <c r="B1658" i="34"/>
  <c r="B1657" i="34"/>
  <c r="B1656" i="34"/>
  <c r="B1655" i="34"/>
  <c r="B1649" i="34"/>
  <c r="B1648" i="34"/>
  <c r="B1647" i="34"/>
  <c r="B1635" i="34"/>
  <c r="B1548" i="34"/>
  <c r="B1540" i="34"/>
  <c r="B1539" i="34"/>
  <c r="B1538" i="34"/>
  <c r="B1537" i="34"/>
  <c r="B1480" i="34"/>
  <c r="B1479" i="34"/>
  <c r="B1481" i="34"/>
  <c r="B1462" i="34"/>
  <c r="B1460" i="34"/>
  <c r="B1459" i="34"/>
  <c r="B1458" i="34"/>
  <c r="B1444" i="34"/>
  <c r="B1443" i="34"/>
  <c r="B1433" i="34"/>
  <c r="B1432" i="34"/>
  <c r="B1431" i="34"/>
  <c r="B1430" i="34"/>
  <c r="B1429" i="34"/>
  <c r="B1425" i="34"/>
  <c r="B1424" i="34"/>
  <c r="B1408" i="34"/>
  <c r="B1279" i="34"/>
  <c r="B1281" i="34"/>
  <c r="B1280" i="34"/>
  <c r="B1237" i="34"/>
  <c r="B1236" i="34"/>
  <c r="B1204" i="34"/>
  <c r="B1168" i="34"/>
  <c r="B1167" i="34"/>
  <c r="B1166" i="34"/>
  <c r="B1165" i="34"/>
  <c r="B1156" i="34"/>
  <c r="B1155" i="34"/>
  <c r="B1154" i="34"/>
  <c r="B1153" i="34"/>
  <c r="B1152" i="34"/>
  <c r="B1151" i="34"/>
  <c r="B1150" i="34"/>
  <c r="B1133" i="34"/>
  <c r="B1132" i="34"/>
  <c r="B1847" i="34"/>
  <c r="B1852" i="34"/>
  <c r="B1851" i="34"/>
  <c r="B1623" i="34"/>
  <c r="B1625" i="34"/>
  <c r="B1624" i="34"/>
  <c r="B1423" i="34"/>
  <c r="B1427" i="34"/>
  <c r="B1426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70" i="34"/>
  <c r="B1069" i="34"/>
  <c r="B1068" i="34"/>
  <c r="B974" i="34"/>
  <c r="B973" i="34"/>
  <c r="B972" i="34"/>
  <c r="B863" i="34"/>
  <c r="B862" i="34"/>
  <c r="B861" i="34"/>
  <c r="B709" i="34"/>
  <c r="B708" i="34"/>
  <c r="B707" i="34"/>
  <c r="B642" i="34"/>
  <c r="B641" i="34"/>
  <c r="B640" i="34"/>
  <c r="B526" i="34"/>
  <c r="B525" i="34"/>
  <c r="B1482" i="34"/>
  <c r="B1453" i="34"/>
  <c r="B1850" i="34"/>
  <c r="B1849" i="34"/>
  <c r="B1854" i="34"/>
  <c r="B1853" i="34"/>
  <c r="B1848" i="34"/>
  <c r="B1725" i="34"/>
  <c r="B1710" i="34"/>
  <c r="B1709" i="34"/>
  <c r="B1712" i="34"/>
  <c r="B1711" i="34"/>
  <c r="B1700" i="34"/>
  <c r="B1699" i="34"/>
  <c r="B1698" i="34"/>
  <c r="B1697" i="34"/>
  <c r="A1711" i="34" l="1"/>
  <c r="Y1711" i="34"/>
  <c r="V1711" i="34"/>
  <c r="A973" i="34"/>
  <c r="Y973" i="34"/>
  <c r="V973" i="34"/>
  <c r="A1700" i="34"/>
  <c r="Y1700" i="34"/>
  <c r="V1700" i="34"/>
  <c r="A1710" i="34"/>
  <c r="Y1710" i="34"/>
  <c r="V1710" i="34"/>
  <c r="A1854" i="34"/>
  <c r="Y1854" i="34"/>
  <c r="V1854" i="34"/>
  <c r="A1482" i="34"/>
  <c r="Y1482" i="34"/>
  <c r="V1482" i="34"/>
  <c r="A641" i="34"/>
  <c r="Y641" i="34"/>
  <c r="V641" i="34"/>
  <c r="A709" i="34"/>
  <c r="V709" i="34"/>
  <c r="Y709" i="34"/>
  <c r="A972" i="34"/>
  <c r="Y972" i="34"/>
  <c r="V972" i="34"/>
  <c r="A1069" i="34"/>
  <c r="V1069" i="34"/>
  <c r="Y1069" i="34"/>
  <c r="A1085" i="34"/>
  <c r="V1085" i="34"/>
  <c r="Y1085" i="34"/>
  <c r="A1089" i="34"/>
  <c r="V1089" i="34"/>
  <c r="Y1089" i="34"/>
  <c r="A1093" i="34"/>
  <c r="V1093" i="34"/>
  <c r="Y1093" i="34"/>
  <c r="A1097" i="34"/>
  <c r="V1097" i="34"/>
  <c r="Y1097" i="34"/>
  <c r="A1101" i="34"/>
  <c r="V1101" i="34"/>
  <c r="Y1101" i="34"/>
  <c r="A1105" i="34"/>
  <c r="V1105" i="34"/>
  <c r="Y1105" i="34"/>
  <c r="A1109" i="34"/>
  <c r="V1109" i="34"/>
  <c r="Y1109" i="34"/>
  <c r="A1113" i="34"/>
  <c r="V1113" i="34"/>
  <c r="Y1113" i="34"/>
  <c r="A1128" i="34"/>
  <c r="Y1128" i="34"/>
  <c r="V1128" i="34"/>
  <c r="A1624" i="34"/>
  <c r="Y1624" i="34"/>
  <c r="V1624" i="34"/>
  <c r="A1852" i="34"/>
  <c r="Y1852" i="34"/>
  <c r="V1852" i="34"/>
  <c r="A1150" i="34"/>
  <c r="Y1150" i="34"/>
  <c r="V1150" i="34"/>
  <c r="A1154" i="34"/>
  <c r="Y1154" i="34"/>
  <c r="V1154" i="34"/>
  <c r="A1166" i="34"/>
  <c r="Y1166" i="34"/>
  <c r="V1166" i="34"/>
  <c r="A1236" i="34"/>
  <c r="Y1236" i="34"/>
  <c r="V1236" i="34"/>
  <c r="A1279" i="34"/>
  <c r="V1279" i="34"/>
  <c r="Y1279" i="34"/>
  <c r="A1429" i="34"/>
  <c r="Y1429" i="34"/>
  <c r="V1429" i="34"/>
  <c r="A1433" i="34"/>
  <c r="Y1433" i="34"/>
  <c r="V1433" i="34"/>
  <c r="A1459" i="34"/>
  <c r="V1459" i="34"/>
  <c r="Y1459" i="34"/>
  <c r="A1479" i="34"/>
  <c r="V1479" i="34"/>
  <c r="Y1479" i="34"/>
  <c r="A1539" i="34"/>
  <c r="Y1539" i="34"/>
  <c r="V1539" i="34"/>
  <c r="A1647" i="34"/>
  <c r="Y1647" i="34"/>
  <c r="V1647" i="34"/>
  <c r="A1656" i="34"/>
  <c r="Y1656" i="34"/>
  <c r="V1656" i="34"/>
  <c r="A1662" i="34"/>
  <c r="Y1662" i="34"/>
  <c r="V1662" i="34"/>
  <c r="A210" i="34"/>
  <c r="V210" i="34"/>
  <c r="Y210" i="34"/>
  <c r="A217" i="34"/>
  <c r="V217" i="34"/>
  <c r="Y217" i="34"/>
  <c r="A224" i="34"/>
  <c r="V224" i="34"/>
  <c r="Y224" i="34"/>
  <c r="A231" i="34"/>
  <c r="Y231" i="34"/>
  <c r="V231" i="34"/>
  <c r="A240" i="34"/>
  <c r="V240" i="34"/>
  <c r="Y240" i="34"/>
  <c r="A250" i="34"/>
  <c r="Y250" i="34"/>
  <c r="V250" i="34"/>
  <c r="A254" i="34"/>
  <c r="Y254" i="34"/>
  <c r="V254" i="34"/>
  <c r="A260" i="34"/>
  <c r="Y260" i="34"/>
  <c r="V260" i="34"/>
  <c r="A265" i="34"/>
  <c r="Y265" i="34"/>
  <c r="V265" i="34"/>
  <c r="A308" i="34"/>
  <c r="V308" i="34"/>
  <c r="Y308" i="34"/>
  <c r="A1078" i="34"/>
  <c r="Y1078" i="34"/>
  <c r="V1078" i="34"/>
  <c r="A1082" i="34"/>
  <c r="Y1082" i="34"/>
  <c r="V1082" i="34"/>
  <c r="A189" i="34"/>
  <c r="Y189" i="34"/>
  <c r="V189" i="34"/>
  <c r="A721" i="34"/>
  <c r="Y721" i="34"/>
  <c r="V721" i="34"/>
  <c r="A725" i="34"/>
  <c r="Y725" i="34"/>
  <c r="V725" i="34"/>
  <c r="A205" i="34"/>
  <c r="Y205" i="34"/>
  <c r="V205" i="34"/>
  <c r="A326" i="34"/>
  <c r="Y326" i="34"/>
  <c r="V326" i="34"/>
  <c r="A403" i="34"/>
  <c r="Y403" i="34"/>
  <c r="V403" i="34"/>
  <c r="A524" i="34"/>
  <c r="Y524" i="34"/>
  <c r="V524" i="34"/>
  <c r="A270" i="34"/>
  <c r="Y270" i="34"/>
  <c r="V270" i="34"/>
  <c r="A280" i="34"/>
  <c r="Y280" i="34"/>
  <c r="V280" i="34"/>
  <c r="A361" i="34"/>
  <c r="V361" i="34"/>
  <c r="Y361" i="34"/>
  <c r="A367" i="34"/>
  <c r="Y367" i="34"/>
  <c r="V367" i="34"/>
  <c r="A421" i="34"/>
  <c r="V421" i="34"/>
  <c r="Y421" i="34"/>
  <c r="A425" i="34"/>
  <c r="V425" i="34"/>
  <c r="Y425" i="34"/>
  <c r="A470" i="34"/>
  <c r="V470" i="34"/>
  <c r="Y470" i="34"/>
  <c r="A474" i="34"/>
  <c r="Y474" i="34"/>
  <c r="V474" i="34"/>
  <c r="A479" i="34"/>
  <c r="Y479" i="34"/>
  <c r="V479" i="34"/>
  <c r="A511" i="34"/>
  <c r="Y511" i="34"/>
  <c r="V511" i="34"/>
  <c r="A518" i="34"/>
  <c r="Y518" i="34"/>
  <c r="V518" i="34"/>
  <c r="A542" i="34"/>
  <c r="Y542" i="34"/>
  <c r="V542" i="34"/>
  <c r="A546" i="34"/>
  <c r="Y546" i="34"/>
  <c r="V546" i="34"/>
  <c r="A556" i="34"/>
  <c r="Y556" i="34"/>
  <c r="V556" i="34"/>
  <c r="A562" i="34"/>
  <c r="V562" i="34"/>
  <c r="Y562" i="34"/>
  <c r="A592" i="34"/>
  <c r="Y592" i="34"/>
  <c r="V592" i="34"/>
  <c r="A601" i="34"/>
  <c r="Y601" i="34"/>
  <c r="V601" i="34"/>
  <c r="A607" i="34"/>
  <c r="Y607" i="34"/>
  <c r="V607" i="34"/>
  <c r="A1725" i="34"/>
  <c r="V1725" i="34"/>
  <c r="Y1725" i="34"/>
  <c r="A642" i="34"/>
  <c r="V642" i="34"/>
  <c r="Y642" i="34"/>
  <c r="A1086" i="34"/>
  <c r="Y1086" i="34"/>
  <c r="V1086" i="34"/>
  <c r="A1090" i="34"/>
  <c r="Y1090" i="34"/>
  <c r="V1090" i="34"/>
  <c r="A1094" i="34"/>
  <c r="Y1094" i="34"/>
  <c r="V1094" i="34"/>
  <c r="A1098" i="34"/>
  <c r="Y1098" i="34"/>
  <c r="V1098" i="34"/>
  <c r="A1102" i="34"/>
  <c r="Y1102" i="34"/>
  <c r="V1102" i="34"/>
  <c r="A1106" i="34"/>
  <c r="Y1106" i="34"/>
  <c r="V1106" i="34"/>
  <c r="A1110" i="34"/>
  <c r="Y1110" i="34"/>
  <c r="V1110" i="34"/>
  <c r="A1114" i="34"/>
  <c r="Y1114" i="34"/>
  <c r="V1114" i="34"/>
  <c r="A1426" i="34"/>
  <c r="Y1426" i="34"/>
  <c r="V1426" i="34"/>
  <c r="A1625" i="34"/>
  <c r="V1625" i="34"/>
  <c r="Y1625" i="34"/>
  <c r="A1847" i="34"/>
  <c r="Y1847" i="34"/>
  <c r="V1847" i="34"/>
  <c r="A1151" i="34"/>
  <c r="Y1151" i="34"/>
  <c r="V1151" i="34"/>
  <c r="A1155" i="34"/>
  <c r="Y1155" i="34"/>
  <c r="V1155" i="34"/>
  <c r="A1167" i="34"/>
  <c r="Y1167" i="34"/>
  <c r="V1167" i="34"/>
  <c r="A1237" i="34"/>
  <c r="Y1237" i="34"/>
  <c r="V1237" i="34"/>
  <c r="A1408" i="34"/>
  <c r="Y1408" i="34"/>
  <c r="V1408" i="34"/>
  <c r="A1430" i="34"/>
  <c r="Y1430" i="34"/>
  <c r="V1430" i="34"/>
  <c r="A1443" i="34"/>
  <c r="V1443" i="34"/>
  <c r="Y1443" i="34"/>
  <c r="A1460" i="34"/>
  <c r="Y1460" i="34"/>
  <c r="V1460" i="34"/>
  <c r="A1480" i="34"/>
  <c r="Y1480" i="34"/>
  <c r="V1480" i="34"/>
  <c r="A1540" i="34"/>
  <c r="Y1540" i="34"/>
  <c r="V1540" i="34"/>
  <c r="A1648" i="34"/>
  <c r="Y1648" i="34"/>
  <c r="V1648" i="34"/>
  <c r="A1657" i="34"/>
  <c r="V1657" i="34"/>
  <c r="Y1657" i="34"/>
  <c r="A694" i="34"/>
  <c r="Y694" i="34"/>
  <c r="V694" i="34"/>
  <c r="A213" i="34"/>
  <c r="Y213" i="34"/>
  <c r="V213" i="34"/>
  <c r="A218" i="34"/>
  <c r="Y218" i="34"/>
  <c r="V218" i="34"/>
  <c r="A226" i="34"/>
  <c r="Y226" i="34"/>
  <c r="V226" i="34"/>
  <c r="A232" i="34"/>
  <c r="V232" i="34"/>
  <c r="Y232" i="34"/>
  <c r="A241" i="34"/>
  <c r="V241" i="34"/>
  <c r="Y241" i="34"/>
  <c r="A251" i="34"/>
  <c r="Y251" i="34"/>
  <c r="V251" i="34"/>
  <c r="A256" i="34"/>
  <c r="Y256" i="34"/>
  <c r="V256" i="34"/>
  <c r="A261" i="34"/>
  <c r="Y261" i="34"/>
  <c r="V261" i="34"/>
  <c r="A266" i="34"/>
  <c r="Y266" i="34"/>
  <c r="V266" i="34"/>
  <c r="A341" i="34"/>
  <c r="Y341" i="34"/>
  <c r="V341" i="34"/>
  <c r="A1079" i="34"/>
  <c r="Y1079" i="34"/>
  <c r="V1079" i="34"/>
  <c r="A168" i="34"/>
  <c r="V168" i="34"/>
  <c r="Y168" i="34"/>
  <c r="A190" i="34"/>
  <c r="Y190" i="34"/>
  <c r="V190" i="34"/>
  <c r="A722" i="34"/>
  <c r="Y722" i="34"/>
  <c r="V722" i="34"/>
  <c r="A200" i="34"/>
  <c r="Y200" i="34"/>
  <c r="V200" i="34"/>
  <c r="A206" i="34"/>
  <c r="V206" i="34"/>
  <c r="Y206" i="34"/>
  <c r="A327" i="34"/>
  <c r="Y327" i="34"/>
  <c r="V327" i="34"/>
  <c r="A466" i="34"/>
  <c r="V466" i="34"/>
  <c r="Y466" i="34"/>
  <c r="A267" i="34"/>
  <c r="V267" i="34"/>
  <c r="Y267" i="34"/>
  <c r="A271" i="34"/>
  <c r="V271" i="34"/>
  <c r="Y271" i="34"/>
  <c r="A281" i="34"/>
  <c r="Y281" i="34"/>
  <c r="V281" i="34"/>
  <c r="A362" i="34"/>
  <c r="Y362" i="34"/>
  <c r="V362" i="34"/>
  <c r="A369" i="34"/>
  <c r="Y369" i="34"/>
  <c r="V369" i="34"/>
  <c r="A422" i="34"/>
  <c r="Y422" i="34"/>
  <c r="V422" i="34"/>
  <c r="A426" i="34"/>
  <c r="Y426" i="34"/>
  <c r="V426" i="34"/>
  <c r="A471" i="34"/>
  <c r="Y471" i="34"/>
  <c r="V471" i="34"/>
  <c r="A476" i="34"/>
  <c r="Y476" i="34"/>
  <c r="V476" i="34"/>
  <c r="A504" i="34"/>
  <c r="Y504" i="34"/>
  <c r="V504" i="34"/>
  <c r="A512" i="34"/>
  <c r="Y512" i="34"/>
  <c r="V512" i="34"/>
  <c r="A519" i="34"/>
  <c r="Y519" i="34"/>
  <c r="V519" i="34"/>
  <c r="A543" i="34"/>
  <c r="V543" i="34"/>
  <c r="Y543" i="34"/>
  <c r="A547" i="34"/>
  <c r="V547" i="34"/>
  <c r="Y547" i="34"/>
  <c r="A559" i="34"/>
  <c r="Y559" i="34"/>
  <c r="V559" i="34"/>
  <c r="A563" i="34"/>
  <c r="Y563" i="34"/>
  <c r="V563" i="34"/>
  <c r="A593" i="34"/>
  <c r="V593" i="34"/>
  <c r="Y593" i="34"/>
  <c r="A602" i="34"/>
  <c r="V602" i="34"/>
  <c r="Y602" i="34"/>
  <c r="A682" i="34"/>
  <c r="Y682" i="34"/>
  <c r="V682" i="34"/>
  <c r="A525" i="34"/>
  <c r="V525" i="34"/>
  <c r="Y525" i="34"/>
  <c r="A861" i="34"/>
  <c r="Y861" i="34"/>
  <c r="V861" i="34"/>
  <c r="A1698" i="34"/>
  <c r="Y1698" i="34"/>
  <c r="V1698" i="34"/>
  <c r="A1712" i="34"/>
  <c r="Y1712" i="34"/>
  <c r="V1712" i="34"/>
  <c r="A1848" i="34"/>
  <c r="Y1848" i="34"/>
  <c r="V1848" i="34"/>
  <c r="A1850" i="34"/>
  <c r="Y1850" i="34"/>
  <c r="V1850" i="34"/>
  <c r="A526" i="34"/>
  <c r="Y526" i="34"/>
  <c r="V526" i="34"/>
  <c r="A707" i="34"/>
  <c r="V707" i="34"/>
  <c r="Y707" i="34"/>
  <c r="A862" i="34"/>
  <c r="Y862" i="34"/>
  <c r="V862" i="34"/>
  <c r="A974" i="34"/>
  <c r="Y974" i="34"/>
  <c r="V974" i="34"/>
  <c r="A1083" i="34"/>
  <c r="Y1083" i="34"/>
  <c r="V1083" i="34"/>
  <c r="A1087" i="34"/>
  <c r="Y1087" i="34"/>
  <c r="V1087" i="34"/>
  <c r="A1091" i="34"/>
  <c r="Y1091" i="34"/>
  <c r="V1091" i="34"/>
  <c r="A1095" i="34"/>
  <c r="Y1095" i="34"/>
  <c r="V1095" i="34"/>
  <c r="A1099" i="34"/>
  <c r="Y1099" i="34"/>
  <c r="V1099" i="34"/>
  <c r="A1103" i="34"/>
  <c r="Y1103" i="34"/>
  <c r="V1103" i="34"/>
  <c r="A1107" i="34"/>
  <c r="Y1107" i="34"/>
  <c r="V1107" i="34"/>
  <c r="A1111" i="34"/>
  <c r="Y1111" i="34"/>
  <c r="V1111" i="34"/>
  <c r="A1126" i="34"/>
  <c r="Y1126" i="34"/>
  <c r="V1126" i="34"/>
  <c r="A1427" i="34"/>
  <c r="V1427" i="34"/>
  <c r="Y1427" i="34"/>
  <c r="A1623" i="34"/>
  <c r="Y1623" i="34"/>
  <c r="V1623" i="34"/>
  <c r="A1132" i="34"/>
  <c r="Y1132" i="34"/>
  <c r="V1132" i="34"/>
  <c r="A1152" i="34"/>
  <c r="Y1152" i="34"/>
  <c r="V1152" i="34"/>
  <c r="A1156" i="34"/>
  <c r="Y1156" i="34"/>
  <c r="V1156" i="34"/>
  <c r="A1168" i="34"/>
  <c r="Y1168" i="34"/>
  <c r="V1168" i="34"/>
  <c r="A1280" i="34"/>
  <c r="Y1280" i="34"/>
  <c r="V1280" i="34"/>
  <c r="A1424" i="34"/>
  <c r="Y1424" i="34"/>
  <c r="V1424" i="34"/>
  <c r="A1431" i="34"/>
  <c r="V1431" i="34"/>
  <c r="Y1431" i="34"/>
  <c r="A1444" i="34"/>
  <c r="Y1444" i="34"/>
  <c r="V1444" i="34"/>
  <c r="A1462" i="34"/>
  <c r="Y1462" i="34"/>
  <c r="V1462" i="34"/>
  <c r="A1537" i="34"/>
  <c r="V1537" i="34"/>
  <c r="Y1537" i="34"/>
  <c r="A1548" i="34"/>
  <c r="Y1548" i="34"/>
  <c r="V1548" i="34"/>
  <c r="A1649" i="34"/>
  <c r="V1649" i="34"/>
  <c r="Y1649" i="34"/>
  <c r="A1658" i="34"/>
  <c r="Y1658" i="34"/>
  <c r="V1658" i="34"/>
  <c r="A719" i="34"/>
  <c r="V719" i="34"/>
  <c r="Y719" i="34"/>
  <c r="A214" i="34"/>
  <c r="Y214" i="34"/>
  <c r="V214" i="34"/>
  <c r="A222" i="34"/>
  <c r="Y222" i="34"/>
  <c r="V222" i="34"/>
  <c r="A227" i="34"/>
  <c r="Y227" i="34"/>
  <c r="V227" i="34"/>
  <c r="A233" i="34"/>
  <c r="Y233" i="34"/>
  <c r="V233" i="34"/>
  <c r="A242" i="34"/>
  <c r="Y242" i="34"/>
  <c r="V242" i="34"/>
  <c r="A252" i="34"/>
  <c r="V252" i="34"/>
  <c r="Y252" i="34"/>
  <c r="A257" i="34"/>
  <c r="Y257" i="34"/>
  <c r="V257" i="34"/>
  <c r="A262" i="34"/>
  <c r="Y262" i="34"/>
  <c r="V262" i="34"/>
  <c r="A304" i="34"/>
  <c r="Y304" i="34"/>
  <c r="V304" i="34"/>
  <c r="A342" i="34"/>
  <c r="Y342" i="34"/>
  <c r="V342" i="34"/>
  <c r="A1080" i="34"/>
  <c r="Y1080" i="34"/>
  <c r="V1080" i="34"/>
  <c r="A169" i="34"/>
  <c r="Y169" i="34"/>
  <c r="V169" i="34"/>
  <c r="A243" i="34"/>
  <c r="Y243" i="34"/>
  <c r="V243" i="34"/>
  <c r="A723" i="34"/>
  <c r="V723" i="34"/>
  <c r="Y723" i="34"/>
  <c r="A201" i="34"/>
  <c r="Y201" i="34"/>
  <c r="V201" i="34"/>
  <c r="A208" i="34"/>
  <c r="Y208" i="34"/>
  <c r="V208" i="34"/>
  <c r="A401" i="34"/>
  <c r="Y401" i="34"/>
  <c r="V401" i="34"/>
  <c r="A467" i="34"/>
  <c r="Y467" i="34"/>
  <c r="V467" i="34"/>
  <c r="A268" i="34"/>
  <c r="Y268" i="34"/>
  <c r="V268" i="34"/>
  <c r="A278" i="34"/>
  <c r="Y278" i="34"/>
  <c r="V278" i="34"/>
  <c r="A359" i="34"/>
  <c r="V359" i="34"/>
  <c r="Y359" i="34"/>
  <c r="A363" i="34"/>
  <c r="V363" i="34"/>
  <c r="Y363" i="34"/>
  <c r="A370" i="34"/>
  <c r="Y370" i="34"/>
  <c r="V370" i="34"/>
  <c r="A423" i="34"/>
  <c r="Y423" i="34"/>
  <c r="V423" i="34"/>
  <c r="A427" i="34"/>
  <c r="Y427" i="34"/>
  <c r="V427" i="34"/>
  <c r="A472" i="34"/>
  <c r="Y472" i="34"/>
  <c r="V472" i="34"/>
  <c r="A477" i="34"/>
  <c r="V477" i="34"/>
  <c r="Y477" i="34"/>
  <c r="A505" i="34"/>
  <c r="V505" i="34"/>
  <c r="Y505" i="34"/>
  <c r="A513" i="34"/>
  <c r="V513" i="34"/>
  <c r="Y513" i="34"/>
  <c r="A539" i="34"/>
  <c r="V539" i="34"/>
  <c r="Y539" i="34"/>
  <c r="A544" i="34"/>
  <c r="Y544" i="34"/>
  <c r="V544" i="34"/>
  <c r="A548" i="34"/>
  <c r="Y548" i="34"/>
  <c r="V548" i="34"/>
  <c r="A560" i="34"/>
  <c r="Y560" i="34"/>
  <c r="V560" i="34"/>
  <c r="A566" i="34"/>
  <c r="V566" i="34"/>
  <c r="Y566" i="34"/>
  <c r="A598" i="34"/>
  <c r="V598" i="34"/>
  <c r="Y598" i="34"/>
  <c r="A603" i="34"/>
  <c r="Y603" i="34"/>
  <c r="V603" i="34"/>
  <c r="A683" i="34"/>
  <c r="Y683" i="34"/>
  <c r="V683" i="34"/>
  <c r="A1697" i="34"/>
  <c r="V1697" i="34"/>
  <c r="Y1697" i="34"/>
  <c r="A1849" i="34"/>
  <c r="V1849" i="34"/>
  <c r="Y1849" i="34"/>
  <c r="A1070" i="34"/>
  <c r="Y1070" i="34"/>
  <c r="V1070" i="34"/>
  <c r="A1699" i="34"/>
  <c r="Y1699" i="34"/>
  <c r="V1699" i="34"/>
  <c r="A1709" i="34"/>
  <c r="V1709" i="34"/>
  <c r="Y1709" i="34"/>
  <c r="A1853" i="34"/>
  <c r="V1853" i="34"/>
  <c r="Y1853" i="34"/>
  <c r="A1453" i="34"/>
  <c r="Y1453" i="34"/>
  <c r="V1453" i="34"/>
  <c r="A640" i="34"/>
  <c r="Y640" i="34"/>
  <c r="V640" i="34"/>
  <c r="A708" i="34"/>
  <c r="Y708" i="34"/>
  <c r="V708" i="34"/>
  <c r="A863" i="34"/>
  <c r="Y863" i="34"/>
  <c r="V863" i="34"/>
  <c r="A1068" i="34"/>
  <c r="Y1068" i="34"/>
  <c r="V1068" i="34"/>
  <c r="A1084" i="34"/>
  <c r="Y1084" i="34"/>
  <c r="V1084" i="34"/>
  <c r="A1088" i="34"/>
  <c r="Y1088" i="34"/>
  <c r="V1088" i="34"/>
  <c r="A1092" i="34"/>
  <c r="Y1092" i="34"/>
  <c r="V1092" i="34"/>
  <c r="A1096" i="34"/>
  <c r="Y1096" i="34"/>
  <c r="V1096" i="34"/>
  <c r="A1100" i="34"/>
  <c r="Y1100" i="34"/>
  <c r="V1100" i="34"/>
  <c r="A1104" i="34"/>
  <c r="Y1104" i="34"/>
  <c r="V1104" i="34"/>
  <c r="A1108" i="34"/>
  <c r="Y1108" i="34"/>
  <c r="V1108" i="34"/>
  <c r="A1112" i="34"/>
  <c r="Y1112" i="34"/>
  <c r="V1112" i="34"/>
  <c r="A1127" i="34"/>
  <c r="Y1127" i="34"/>
  <c r="V1127" i="34"/>
  <c r="A1423" i="34"/>
  <c r="V1423" i="34"/>
  <c r="Y1423" i="34"/>
  <c r="A1851" i="34"/>
  <c r="Y1851" i="34"/>
  <c r="V1851" i="34"/>
  <c r="A1133" i="34"/>
  <c r="V1133" i="34"/>
  <c r="Y1133" i="34"/>
  <c r="A1153" i="34"/>
  <c r="V1153" i="34"/>
  <c r="Y1153" i="34"/>
  <c r="A1165" i="34"/>
  <c r="V1165" i="34"/>
  <c r="Y1165" i="34"/>
  <c r="A1204" i="34"/>
  <c r="Y1204" i="34"/>
  <c r="V1204" i="34"/>
  <c r="A1281" i="34"/>
  <c r="Y1281" i="34"/>
  <c r="V1281" i="34"/>
  <c r="A1425" i="34"/>
  <c r="Y1425" i="34"/>
  <c r="V1425" i="34"/>
  <c r="A1432" i="34"/>
  <c r="Y1432" i="34"/>
  <c r="V1432" i="34"/>
  <c r="A1458" i="34"/>
  <c r="Y1458" i="34"/>
  <c r="V1458" i="34"/>
  <c r="A1481" i="34"/>
  <c r="Y1481" i="34"/>
  <c r="V1481" i="34"/>
  <c r="A1538" i="34"/>
  <c r="Y1538" i="34"/>
  <c r="V1538" i="34"/>
  <c r="A1635" i="34"/>
  <c r="Y1635" i="34"/>
  <c r="V1635" i="34"/>
  <c r="A1655" i="34"/>
  <c r="Y1655" i="34"/>
  <c r="V1655" i="34"/>
  <c r="A1660" i="34"/>
  <c r="Y1660" i="34"/>
  <c r="V1660" i="34"/>
  <c r="A209" i="34"/>
  <c r="Y209" i="34"/>
  <c r="V209" i="34"/>
  <c r="A215" i="34"/>
  <c r="Y215" i="34"/>
  <c r="V215" i="34"/>
  <c r="A223" i="34"/>
  <c r="Y223" i="34"/>
  <c r="V223" i="34"/>
  <c r="A229" i="34"/>
  <c r="Y229" i="34"/>
  <c r="V229" i="34"/>
  <c r="A234" i="34"/>
  <c r="Y234" i="34"/>
  <c r="V234" i="34"/>
  <c r="A249" i="34"/>
  <c r="V249" i="34"/>
  <c r="Y249" i="34"/>
  <c r="A253" i="34"/>
  <c r="Y253" i="34"/>
  <c r="V253" i="34"/>
  <c r="A259" i="34"/>
  <c r="V259" i="34"/>
  <c r="Y259" i="34"/>
  <c r="A263" i="34"/>
  <c r="V263" i="34"/>
  <c r="Y263" i="34"/>
  <c r="A307" i="34"/>
  <c r="Y307" i="34"/>
  <c r="V307" i="34"/>
  <c r="A1077" i="34"/>
  <c r="V1077" i="34"/>
  <c r="Y1077" i="34"/>
  <c r="A1081" i="34"/>
  <c r="V1081" i="34"/>
  <c r="Y1081" i="34"/>
  <c r="A188" i="34"/>
  <c r="Y188" i="34"/>
  <c r="V188" i="34"/>
  <c r="A244" i="34"/>
  <c r="V244" i="34"/>
  <c r="Y244" i="34"/>
  <c r="A724" i="34"/>
  <c r="Y724" i="34"/>
  <c r="V724" i="34"/>
  <c r="A202" i="34"/>
  <c r="V202" i="34"/>
  <c r="Y202" i="34"/>
  <c r="A325" i="34"/>
  <c r="Y325" i="34"/>
  <c r="V325" i="34"/>
  <c r="A402" i="34"/>
  <c r="V402" i="34"/>
  <c r="Y402" i="34"/>
  <c r="A468" i="34"/>
  <c r="Y468" i="34"/>
  <c r="V468" i="34"/>
  <c r="A269" i="34"/>
  <c r="Y269" i="34"/>
  <c r="V269" i="34"/>
  <c r="A279" i="34"/>
  <c r="V279" i="34"/>
  <c r="Y279" i="34"/>
  <c r="A360" i="34"/>
  <c r="Y360" i="34"/>
  <c r="V360" i="34"/>
  <c r="A366" i="34"/>
  <c r="Y366" i="34"/>
  <c r="V366" i="34"/>
  <c r="A420" i="34"/>
  <c r="Y420" i="34"/>
  <c r="V420" i="34"/>
  <c r="A424" i="34"/>
  <c r="Y424" i="34"/>
  <c r="V424" i="34"/>
  <c r="A428" i="34"/>
  <c r="V428" i="34"/>
  <c r="Y428" i="34"/>
  <c r="A473" i="34"/>
  <c r="V473" i="34"/>
  <c r="Y473" i="34"/>
  <c r="A478" i="34"/>
  <c r="Y478" i="34"/>
  <c r="V478" i="34"/>
  <c r="A510" i="34"/>
  <c r="Y510" i="34"/>
  <c r="V510" i="34"/>
  <c r="A514" i="34"/>
  <c r="Y514" i="34"/>
  <c r="V514" i="34"/>
  <c r="A541" i="34"/>
  <c r="Y541" i="34"/>
  <c r="V541" i="34"/>
  <c r="A545" i="34"/>
  <c r="Y545" i="34"/>
  <c r="V545" i="34"/>
  <c r="A555" i="34"/>
  <c r="Y555" i="34"/>
  <c r="V555" i="34"/>
  <c r="A561" i="34"/>
  <c r="Y561" i="34"/>
  <c r="V561" i="34"/>
  <c r="A567" i="34"/>
  <c r="Y567" i="34"/>
  <c r="V567" i="34"/>
  <c r="A599" i="34"/>
  <c r="Y599" i="34"/>
  <c r="V599" i="34"/>
  <c r="A604" i="34"/>
  <c r="Y604" i="34"/>
  <c r="V604" i="34"/>
  <c r="A692" i="34"/>
  <c r="V692" i="34"/>
  <c r="Y692" i="34"/>
  <c r="W66" i="60"/>
  <c r="W65" i="60"/>
  <c r="B1121" i="34"/>
  <c r="B284" i="34"/>
  <c r="A1121" i="34" l="1"/>
  <c r="V1121" i="34"/>
  <c r="Y1121" i="34"/>
  <c r="A284" i="34"/>
  <c r="Y284" i="34"/>
  <c r="V284" i="34"/>
  <c r="R64" i="60"/>
  <c r="C64" i="60" s="1"/>
  <c r="B1549" i="34"/>
  <c r="B1726" i="34"/>
  <c r="B1713" i="34"/>
  <c r="B1650" i="34"/>
  <c r="B1134" i="34"/>
  <c r="B1810" i="34"/>
  <c r="A1726" i="34" l="1"/>
  <c r="Y1726" i="34"/>
  <c r="V1726" i="34"/>
  <c r="A1713" i="34"/>
  <c r="V1713" i="34"/>
  <c r="Y1713" i="34"/>
  <c r="A1810" i="34"/>
  <c r="Y1810" i="34"/>
  <c r="V1810" i="34"/>
  <c r="A1134" i="34"/>
  <c r="Y1134" i="34"/>
  <c r="V1134" i="34"/>
  <c r="A1549" i="34"/>
  <c r="V1549" i="34"/>
  <c r="Y1549" i="34"/>
  <c r="A1650" i="34"/>
  <c r="Y1650" i="34"/>
  <c r="V1650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0" i="34" l="1"/>
  <c r="N11" i="34"/>
  <c r="N12" i="34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B1115" i="34" l="1"/>
  <c r="B1120" i="34"/>
  <c r="B282" i="34"/>
  <c r="B283" i="34"/>
  <c r="A283" i="34" l="1"/>
  <c r="V283" i="34"/>
  <c r="Y283" i="34"/>
  <c r="A282" i="34"/>
  <c r="Y282" i="34"/>
  <c r="V282" i="34"/>
  <c r="A1120" i="34"/>
  <c r="Y1120" i="34"/>
  <c r="V1120" i="34"/>
  <c r="A1115" i="34"/>
  <c r="Y1115" i="34"/>
  <c r="V1115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G12" i="61"/>
  <c r="H12" i="61"/>
  <c r="C12" i="61"/>
  <c r="I12" i="61"/>
  <c r="E12" i="61"/>
  <c r="F12" i="61"/>
  <c r="D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0" i="34" l="1"/>
  <c r="S10" i="34"/>
  <c r="T10" i="34"/>
  <c r="W10" i="34"/>
  <c r="X10" i="34"/>
  <c r="R11" i="34"/>
  <c r="S11" i="34"/>
  <c r="T11" i="34"/>
  <c r="W11" i="34"/>
  <c r="X11" i="34"/>
  <c r="R12" i="34"/>
  <c r="S12" i="34"/>
  <c r="T12" i="34"/>
  <c r="W12" i="34"/>
  <c r="X12" i="34"/>
  <c r="A217" i="55" l="1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410" i="34" l="1"/>
  <c r="B408" i="34"/>
  <c r="B407" i="34"/>
  <c r="B372" i="34"/>
  <c r="B389" i="34"/>
  <c r="B387" i="34"/>
  <c r="B386" i="34"/>
  <c r="B385" i="34"/>
  <c r="B384" i="34"/>
  <c r="B383" i="34"/>
  <c r="B1116" i="34"/>
  <c r="B460" i="34"/>
  <c r="B459" i="34"/>
  <c r="B443" i="34"/>
  <c r="B441" i="34"/>
  <c r="B357" i="34"/>
  <c r="B503" i="34"/>
  <c r="B502" i="34"/>
  <c r="B1117" i="34"/>
  <c r="B1118" i="34"/>
  <c r="B378" i="34"/>
  <c r="B411" i="34"/>
  <c r="B412" i="34"/>
  <c r="B413" i="34"/>
  <c r="B414" i="34"/>
  <c r="B415" i="34"/>
  <c r="B417" i="34"/>
  <c r="B418" i="34"/>
  <c r="B419" i="34"/>
  <c r="B429" i="34"/>
  <c r="B430" i="34"/>
  <c r="B434" i="34"/>
  <c r="B435" i="34"/>
  <c r="B436" i="34"/>
  <c r="B439" i="34"/>
  <c r="B440" i="34"/>
  <c r="B445" i="34"/>
  <c r="B446" i="34"/>
  <c r="B447" i="34"/>
  <c r="B448" i="34"/>
  <c r="B449" i="34"/>
  <c r="B451" i="34"/>
  <c r="B452" i="34"/>
  <c r="B480" i="34"/>
  <c r="B485" i="34"/>
  <c r="B494" i="34"/>
  <c r="B495" i="34"/>
  <c r="B487" i="34"/>
  <c r="B497" i="34"/>
  <c r="B498" i="34"/>
  <c r="B532" i="34"/>
  <c r="B533" i="34"/>
  <c r="B534" i="34"/>
  <c r="B535" i="34"/>
  <c r="B536" i="34"/>
  <c r="B537" i="34"/>
  <c r="B538" i="34"/>
  <c r="B618" i="34"/>
  <c r="B619" i="34"/>
  <c r="B620" i="34"/>
  <c r="B621" i="34"/>
  <c r="B462" i="34"/>
  <c r="B463" i="34"/>
  <c r="B464" i="34"/>
  <c r="B465" i="34"/>
  <c r="B469" i="34"/>
  <c r="B490" i="34"/>
  <c r="B491" i="34"/>
  <c r="B492" i="34"/>
  <c r="B493" i="34"/>
  <c r="B569" i="34"/>
  <c r="B570" i="34"/>
  <c r="B571" i="34"/>
  <c r="B574" i="34"/>
  <c r="B575" i="34"/>
  <c r="B584" i="34"/>
  <c r="B585" i="34"/>
  <c r="B586" i="34"/>
  <c r="B587" i="34"/>
  <c r="B665" i="34"/>
  <c r="B666" i="34"/>
  <c r="B668" i="34"/>
  <c r="B669" i="34"/>
  <c r="B673" i="34"/>
  <c r="B674" i="34"/>
  <c r="B677" i="34"/>
  <c r="B678" i="34"/>
  <c r="B680" i="34"/>
  <c r="B681" i="34"/>
  <c r="B695" i="34"/>
  <c r="B699" i="34"/>
  <c r="B700" i="34"/>
  <c r="B703" i="34"/>
  <c r="B704" i="34"/>
  <c r="B713" i="34"/>
  <c r="B714" i="34"/>
  <c r="B716" i="34"/>
  <c r="B717" i="34"/>
  <c r="B718" i="34"/>
  <c r="B727" i="34"/>
  <c r="B728" i="34"/>
  <c r="B729" i="34"/>
  <c r="B730" i="34"/>
  <c r="B731" i="34"/>
  <c r="B732" i="34"/>
  <c r="B733" i="34"/>
  <c r="B734" i="34"/>
  <c r="B737" i="34"/>
  <c r="B738" i="34"/>
  <c r="B739" i="34"/>
  <c r="B740" i="34"/>
  <c r="B622" i="34"/>
  <c r="B624" i="34"/>
  <c r="B625" i="34"/>
  <c r="B626" i="34"/>
  <c r="B660" i="34"/>
  <c r="B661" i="34"/>
  <c r="B741" i="34"/>
  <c r="B744" i="34"/>
  <c r="B745" i="34"/>
  <c r="I13" i="71"/>
  <c r="O11" i="42"/>
  <c r="N11" i="42"/>
  <c r="O1057" i="34" l="1"/>
  <c r="P1057" i="34"/>
  <c r="O1054" i="34"/>
  <c r="Q1057" i="34"/>
  <c r="Q1054" i="34"/>
  <c r="P1054" i="34"/>
  <c r="P577" i="34"/>
  <c r="O577" i="34"/>
  <c r="Q577" i="34"/>
  <c r="O630" i="34"/>
  <c r="Q922" i="34"/>
  <c r="P409" i="34"/>
  <c r="P630" i="34"/>
  <c r="P1067" i="34"/>
  <c r="Q630" i="34"/>
  <c r="O922" i="34"/>
  <c r="Q409" i="34"/>
  <c r="P922" i="34"/>
  <c r="Q1067" i="34"/>
  <c r="O409" i="34"/>
  <c r="O1067" i="34"/>
  <c r="Q600" i="34"/>
  <c r="P225" i="34"/>
  <c r="P889" i="34"/>
  <c r="P162" i="34"/>
  <c r="P1049" i="34"/>
  <c r="P813" i="34"/>
  <c r="Q338" i="34"/>
  <c r="P979" i="34"/>
  <c r="P272" i="34"/>
  <c r="O600" i="34"/>
  <c r="P442" i="34"/>
  <c r="O442" i="34"/>
  <c r="Q1049" i="34"/>
  <c r="O338" i="34"/>
  <c r="Q966" i="34"/>
  <c r="O950" i="34"/>
  <c r="P950" i="34"/>
  <c r="Q979" i="34"/>
  <c r="P600" i="34"/>
  <c r="Q225" i="34"/>
  <c r="Q889" i="34"/>
  <c r="Q162" i="34"/>
  <c r="Q813" i="34"/>
  <c r="P338" i="34"/>
  <c r="Q950" i="34"/>
  <c r="Q639" i="34"/>
  <c r="Q272" i="34"/>
  <c r="O225" i="34"/>
  <c r="Q442" i="34"/>
  <c r="O889" i="34"/>
  <c r="O162" i="34"/>
  <c r="O1049" i="34"/>
  <c r="O813" i="34"/>
  <c r="P966" i="34"/>
  <c r="O966" i="34"/>
  <c r="O639" i="34"/>
  <c r="O979" i="34"/>
  <c r="O272" i="34"/>
  <c r="P639" i="34"/>
  <c r="Q368" i="34"/>
  <c r="P264" i="34"/>
  <c r="Q373" i="34"/>
  <c r="P810" i="34"/>
  <c r="P873" i="34"/>
  <c r="Q564" i="34"/>
  <c r="Q388" i="34"/>
  <c r="P742" i="34"/>
  <c r="P755" i="34"/>
  <c r="P288" i="34"/>
  <c r="P461" i="34"/>
  <c r="O461" i="34"/>
  <c r="Q963" i="34"/>
  <c r="O530" i="34"/>
  <c r="P364" i="34"/>
  <c r="P258" i="34"/>
  <c r="O258" i="34"/>
  <c r="O1062" i="34"/>
  <c r="O806" i="34"/>
  <c r="Q684" i="34"/>
  <c r="Q255" i="34"/>
  <c r="O129" i="34"/>
  <c r="P186" i="34"/>
  <c r="O594" i="34"/>
  <c r="O675" i="34"/>
  <c r="O62" i="34"/>
  <c r="O609" i="34"/>
  <c r="Q868" i="34"/>
  <c r="P958" i="34"/>
  <c r="Q958" i="34"/>
  <c r="O368" i="34"/>
  <c r="O373" i="34"/>
  <c r="O564" i="34"/>
  <c r="O388" i="34"/>
  <c r="P175" i="34"/>
  <c r="O175" i="34"/>
  <c r="P216" i="34"/>
  <c r="O216" i="34"/>
  <c r="Q931" i="34"/>
  <c r="Q1031" i="34"/>
  <c r="P530" i="34"/>
  <c r="Q285" i="34"/>
  <c r="Q939" i="34"/>
  <c r="P1062" i="34"/>
  <c r="P806" i="34"/>
  <c r="Q437" i="34"/>
  <c r="P129" i="34"/>
  <c r="P228" i="34"/>
  <c r="P475" i="34"/>
  <c r="P594" i="34"/>
  <c r="Q207" i="34"/>
  <c r="Q159" i="34"/>
  <c r="P211" i="34"/>
  <c r="Q522" i="34"/>
  <c r="P368" i="34"/>
  <c r="Q264" i="34"/>
  <c r="P373" i="34"/>
  <c r="Q810" i="34"/>
  <c r="Q873" i="34"/>
  <c r="P564" i="34"/>
  <c r="P388" i="34"/>
  <c r="Q742" i="34"/>
  <c r="Q755" i="34"/>
  <c r="Q288" i="34"/>
  <c r="Q461" i="34"/>
  <c r="O931" i="34"/>
  <c r="O963" i="34"/>
  <c r="O1031" i="34"/>
  <c r="Q364" i="34"/>
  <c r="O364" i="34"/>
  <c r="Q258" i="34"/>
  <c r="O285" i="34"/>
  <c r="O939" i="34"/>
  <c r="O437" i="34"/>
  <c r="O684" i="34"/>
  <c r="O255" i="34"/>
  <c r="Q129" i="34"/>
  <c r="Q186" i="34"/>
  <c r="Q228" i="34"/>
  <c r="Q594" i="34"/>
  <c r="Q675" i="34"/>
  <c r="O207" i="34"/>
  <c r="Q62" i="34"/>
  <c r="O159" i="34"/>
  <c r="O522" i="34"/>
  <c r="Q609" i="34"/>
  <c r="Q715" i="34"/>
  <c r="O715" i="34"/>
  <c r="O868" i="34"/>
  <c r="O264" i="34"/>
  <c r="O810" i="34"/>
  <c r="O873" i="34"/>
  <c r="O742" i="34"/>
  <c r="Q175" i="34"/>
  <c r="O755" i="34"/>
  <c r="Q216" i="34"/>
  <c r="O288" i="34"/>
  <c r="P931" i="34"/>
  <c r="P963" i="34"/>
  <c r="P1031" i="34"/>
  <c r="Q530" i="34"/>
  <c r="P285" i="34"/>
  <c r="P939" i="34"/>
  <c r="Q1062" i="34"/>
  <c r="Q806" i="34"/>
  <c r="P437" i="34"/>
  <c r="P684" i="34"/>
  <c r="P255" i="34"/>
  <c r="Q475" i="34"/>
  <c r="P207" i="34"/>
  <c r="P159" i="34"/>
  <c r="Q211" i="34"/>
  <c r="P522" i="34"/>
  <c r="P868" i="34"/>
  <c r="O186" i="34"/>
  <c r="O228" i="34"/>
  <c r="O475" i="34"/>
  <c r="P675" i="34"/>
  <c r="P62" i="34"/>
  <c r="O211" i="34"/>
  <c r="P609" i="34"/>
  <c r="P715" i="34"/>
  <c r="O958" i="34"/>
  <c r="P17" i="34"/>
  <c r="Q24" i="34"/>
  <c r="P20" i="34"/>
  <c r="P19" i="34"/>
  <c r="P21" i="34"/>
  <c r="Q17" i="34"/>
  <c r="Q20" i="34"/>
  <c r="Q21" i="34"/>
  <c r="P18" i="34"/>
  <c r="O18" i="34"/>
  <c r="O24" i="34"/>
  <c r="Q19" i="34"/>
  <c r="O23" i="34"/>
  <c r="P22" i="34"/>
  <c r="O22" i="34"/>
  <c r="P24" i="34"/>
  <c r="Q18" i="34"/>
  <c r="O17" i="34"/>
  <c r="O20" i="34"/>
  <c r="O19" i="34"/>
  <c r="Q23" i="34"/>
  <c r="Q22" i="34"/>
  <c r="O21" i="34"/>
  <c r="P23" i="34"/>
  <c r="P1024" i="34"/>
  <c r="O1024" i="34"/>
  <c r="Q1024" i="34"/>
  <c r="Q628" i="34"/>
  <c r="P635" i="34"/>
  <c r="P638" i="34"/>
  <c r="P631" i="34"/>
  <c r="P648" i="34"/>
  <c r="P650" i="34"/>
  <c r="Q655" i="34"/>
  <c r="Q659" i="34"/>
  <c r="P627" i="34"/>
  <c r="P636" i="34"/>
  <c r="P632" i="34"/>
  <c r="Q647" i="34"/>
  <c r="Q651" i="34"/>
  <c r="Q656" i="34"/>
  <c r="P658" i="34"/>
  <c r="Q690" i="34"/>
  <c r="P689" i="34"/>
  <c r="P688" i="34"/>
  <c r="Q688" i="34"/>
  <c r="Q631" i="34"/>
  <c r="Q648" i="34"/>
  <c r="P659" i="34"/>
  <c r="Q632" i="34"/>
  <c r="P654" i="34"/>
  <c r="P690" i="34"/>
  <c r="O628" i="34"/>
  <c r="Q638" i="34"/>
  <c r="P633" i="34"/>
  <c r="O633" i="34"/>
  <c r="Q650" i="34"/>
  <c r="Q653" i="34"/>
  <c r="O655" i="34"/>
  <c r="O657" i="34"/>
  <c r="O659" i="34"/>
  <c r="Q691" i="34"/>
  <c r="P687" i="34"/>
  <c r="O687" i="34"/>
  <c r="P629" i="34"/>
  <c r="O629" i="34"/>
  <c r="P637" i="34"/>
  <c r="O637" i="34"/>
  <c r="O647" i="34"/>
  <c r="Q649" i="34"/>
  <c r="O651" i="34"/>
  <c r="O654" i="34"/>
  <c r="O656" i="34"/>
  <c r="O690" i="34"/>
  <c r="Q635" i="34"/>
  <c r="P657" i="34"/>
  <c r="Q636" i="34"/>
  <c r="P651" i="34"/>
  <c r="Q658" i="34"/>
  <c r="P628" i="34"/>
  <c r="O635" i="34"/>
  <c r="O638" i="34"/>
  <c r="O631" i="34"/>
  <c r="Q633" i="34"/>
  <c r="O648" i="34"/>
  <c r="O650" i="34"/>
  <c r="P653" i="34"/>
  <c r="O653" i="34"/>
  <c r="Q657" i="34"/>
  <c r="P691" i="34"/>
  <c r="O691" i="34"/>
  <c r="Q687" i="34"/>
  <c r="O627" i="34"/>
  <c r="Q629" i="34"/>
  <c r="O636" i="34"/>
  <c r="Q637" i="34"/>
  <c r="O632" i="34"/>
  <c r="P649" i="34"/>
  <c r="O649" i="34"/>
  <c r="Q654" i="34"/>
  <c r="O658" i="34"/>
  <c r="O689" i="34"/>
  <c r="O688" i="34"/>
  <c r="P655" i="34"/>
  <c r="Q627" i="34"/>
  <c r="P647" i="34"/>
  <c r="P656" i="34"/>
  <c r="Q689" i="34"/>
  <c r="P613" i="34"/>
  <c r="O613" i="34"/>
  <c r="Q613" i="34"/>
  <c r="P396" i="34"/>
  <c r="P68" i="34"/>
  <c r="P529" i="34"/>
  <c r="Q878" i="34"/>
  <c r="P1011" i="34"/>
  <c r="P885" i="34"/>
  <c r="P1017" i="34"/>
  <c r="P644" i="34"/>
  <c r="P324" i="34"/>
  <c r="Q817" i="34"/>
  <c r="P849" i="34"/>
  <c r="Q1034" i="34"/>
  <c r="Q830" i="34"/>
  <c r="P858" i="34"/>
  <c r="Q1003" i="34"/>
  <c r="P1046" i="34"/>
  <c r="Q68" i="34"/>
  <c r="P836" i="34"/>
  <c r="Q644" i="34"/>
  <c r="P1034" i="34"/>
  <c r="P1003" i="34"/>
  <c r="P843" i="34"/>
  <c r="O843" i="34"/>
  <c r="P903" i="34"/>
  <c r="O903" i="34"/>
  <c r="Q529" i="34"/>
  <c r="O836" i="34"/>
  <c r="O878" i="34"/>
  <c r="P74" i="34"/>
  <c r="O74" i="34"/>
  <c r="Q1017" i="34"/>
  <c r="Q324" i="34"/>
  <c r="Q111" i="34"/>
  <c r="O817" i="34"/>
  <c r="Q87" i="34"/>
  <c r="P827" i="34"/>
  <c r="O827" i="34"/>
  <c r="O1034" i="34"/>
  <c r="Q58" i="34"/>
  <c r="O830" i="34"/>
  <c r="O1003" i="34"/>
  <c r="P878" i="34"/>
  <c r="Q885" i="34"/>
  <c r="Q849" i="34"/>
  <c r="Q858" i="34"/>
  <c r="Q396" i="34"/>
  <c r="Q843" i="34"/>
  <c r="O396" i="34"/>
  <c r="Q903" i="34"/>
  <c r="O68" i="34"/>
  <c r="O529" i="34"/>
  <c r="Q836" i="34"/>
  <c r="O1011" i="34"/>
  <c r="Q74" i="34"/>
  <c r="O885" i="34"/>
  <c r="O1017" i="34"/>
  <c r="O644" i="34"/>
  <c r="O324" i="34"/>
  <c r="P111" i="34"/>
  <c r="O111" i="34"/>
  <c r="P87" i="34"/>
  <c r="O87" i="34"/>
  <c r="Q827" i="34"/>
  <c r="O849" i="34"/>
  <c r="P58" i="34"/>
  <c r="O58" i="34"/>
  <c r="O858" i="34"/>
  <c r="O1046" i="34"/>
  <c r="Q1011" i="34"/>
  <c r="P817" i="34"/>
  <c r="P830" i="34"/>
  <c r="Q1046" i="34"/>
  <c r="P612" i="34"/>
  <c r="Q155" i="34"/>
  <c r="P597" i="34"/>
  <c r="P107" i="34"/>
  <c r="Q356" i="34"/>
  <c r="P29" i="34"/>
  <c r="Q762" i="34"/>
  <c r="P53" i="34"/>
  <c r="Q349" i="34"/>
  <c r="P583" i="34"/>
  <c r="Q277" i="34"/>
  <c r="P151" i="34"/>
  <c r="Q400" i="34"/>
  <c r="P145" i="34"/>
  <c r="Q133" i="34"/>
  <c r="O133" i="34"/>
  <c r="O155" i="34"/>
  <c r="O99" i="34"/>
  <c r="P126" i="34"/>
  <c r="O126" i="34"/>
  <c r="O332" i="34"/>
  <c r="Q597" i="34"/>
  <c r="O356" i="34"/>
  <c r="Q294" i="34"/>
  <c r="P167" i="34"/>
  <c r="O167" i="34"/>
  <c r="O762" i="34"/>
  <c r="O349" i="34"/>
  <c r="O277" i="34"/>
  <c r="O591" i="34"/>
  <c r="P591" i="34"/>
  <c r="O145" i="34"/>
  <c r="O400" i="34"/>
  <c r="Q42" i="34"/>
  <c r="Q612" i="34"/>
  <c r="P155" i="34"/>
  <c r="P99" i="34"/>
  <c r="P332" i="34"/>
  <c r="O597" i="34"/>
  <c r="Q107" i="34"/>
  <c r="P356" i="34"/>
  <c r="Q29" i="34"/>
  <c r="P762" i="34"/>
  <c r="Q53" i="34"/>
  <c r="P349" i="34"/>
  <c r="Q583" i="34"/>
  <c r="P277" i="34"/>
  <c r="Q151" i="34"/>
  <c r="Q591" i="34"/>
  <c r="P133" i="34"/>
  <c r="O612" i="34"/>
  <c r="Q99" i="34"/>
  <c r="Q126" i="34"/>
  <c r="Q332" i="34"/>
  <c r="O107" i="34"/>
  <c r="P294" i="34"/>
  <c r="O294" i="34"/>
  <c r="Q167" i="34"/>
  <c r="O29" i="34"/>
  <c r="O53" i="34"/>
  <c r="O583" i="34"/>
  <c r="O151" i="34"/>
  <c r="Q145" i="34"/>
  <c r="P42" i="34"/>
  <c r="O42" i="34"/>
  <c r="P400" i="34"/>
  <c r="P36" i="34"/>
  <c r="Q122" i="34"/>
  <c r="O178" i="34"/>
  <c r="Q192" i="34"/>
  <c r="O196" i="34"/>
  <c r="Q220" i="34"/>
  <c r="P248" i="34"/>
  <c r="P309" i="34"/>
  <c r="Q352" i="34"/>
  <c r="O376" i="34"/>
  <c r="P406" i="34"/>
  <c r="O456" i="34"/>
  <c r="Q484" i="34"/>
  <c r="O506" i="34"/>
  <c r="O515" i="34"/>
  <c r="P540" i="34"/>
  <c r="O572" i="34"/>
  <c r="P579" i="34"/>
  <c r="P645" i="34"/>
  <c r="O645" i="34"/>
  <c r="P652" i="34"/>
  <c r="Q670" i="34"/>
  <c r="P679" i="34"/>
  <c r="P712" i="34"/>
  <c r="O712" i="34"/>
  <c r="P751" i="34"/>
  <c r="Q763" i="34"/>
  <c r="Q824" i="34"/>
  <c r="O844" i="34"/>
  <c r="P879" i="34"/>
  <c r="O879" i="34"/>
  <c r="O891" i="34"/>
  <c r="O913" i="34"/>
  <c r="O915" i="34"/>
  <c r="O945" i="34"/>
  <c r="O952" i="34"/>
  <c r="O968" i="34"/>
  <c r="O971" i="34"/>
  <c r="Q994" i="34"/>
  <c r="P1000" i="34"/>
  <c r="O1014" i="34"/>
  <c r="P1073" i="34"/>
  <c r="P37" i="34"/>
  <c r="P39" i="34"/>
  <c r="Q49" i="34"/>
  <c r="Q65" i="34"/>
  <c r="P84" i="34"/>
  <c r="P86" i="34"/>
  <c r="P102" i="34"/>
  <c r="P104" i="34"/>
  <c r="P106" i="34"/>
  <c r="P142" i="34"/>
  <c r="Q154" i="34"/>
  <c r="P273" i="34"/>
  <c r="P275" i="34"/>
  <c r="Q318" i="34"/>
  <c r="Q322" i="34"/>
  <c r="P344" i="34"/>
  <c r="P348" i="34"/>
  <c r="P394" i="34"/>
  <c r="P527" i="34"/>
  <c r="O43" i="34"/>
  <c r="P46" i="34"/>
  <c r="O134" i="34"/>
  <c r="Q138" i="34"/>
  <c r="Q179" i="34"/>
  <c r="Q183" i="34"/>
  <c r="Q193" i="34"/>
  <c r="P221" i="34"/>
  <c r="Q298" i="34"/>
  <c r="Q329" i="34"/>
  <c r="P377" i="34"/>
  <c r="Q392" i="34"/>
  <c r="P431" i="34"/>
  <c r="O431" i="34"/>
  <c r="O453" i="34"/>
  <c r="O482" i="34"/>
  <c r="P499" i="34"/>
  <c r="Q507" i="34"/>
  <c r="P516" i="34"/>
  <c r="Q557" i="34"/>
  <c r="P573" i="34"/>
  <c r="O623" i="34"/>
  <c r="Q671" i="34"/>
  <c r="Q45" i="34"/>
  <c r="P122" i="34"/>
  <c r="P137" i="34"/>
  <c r="Q147" i="34"/>
  <c r="Q178" i="34"/>
  <c r="O182" i="34"/>
  <c r="P192" i="34"/>
  <c r="Q196" i="34"/>
  <c r="Q237" i="34"/>
  <c r="O248" i="34"/>
  <c r="O328" i="34"/>
  <c r="Q339" i="34"/>
  <c r="O352" i="34"/>
  <c r="Q376" i="34"/>
  <c r="O391" i="34"/>
  <c r="Q406" i="34"/>
  <c r="O450" i="34"/>
  <c r="Q456" i="34"/>
  <c r="O484" i="34"/>
  <c r="Q506" i="34"/>
  <c r="Q515" i="34"/>
  <c r="Q552" i="34"/>
  <c r="Q572" i="34"/>
  <c r="O606" i="34"/>
  <c r="O617" i="34"/>
  <c r="P670" i="34"/>
  <c r="O697" i="34"/>
  <c r="P763" i="34"/>
  <c r="P824" i="34"/>
  <c r="Q844" i="34"/>
  <c r="Q853" i="34"/>
  <c r="Q891" i="34"/>
  <c r="O899" i="34"/>
  <c r="P913" i="34"/>
  <c r="P915" i="34"/>
  <c r="P945" i="34"/>
  <c r="P952" i="34"/>
  <c r="P968" i="34"/>
  <c r="P971" i="34"/>
  <c r="Q1014" i="34"/>
  <c r="O1050" i="34"/>
  <c r="Q1073" i="34"/>
  <c r="Q39" i="34"/>
  <c r="O47" i="34"/>
  <c r="O49" i="34"/>
  <c r="O51" i="34"/>
  <c r="O65" i="34"/>
  <c r="O67" i="34"/>
  <c r="Q84" i="34"/>
  <c r="Q102" i="34"/>
  <c r="Q106" i="34"/>
  <c r="O124" i="34"/>
  <c r="P140" i="34"/>
  <c r="O140" i="34"/>
  <c r="P144" i="34"/>
  <c r="O144" i="34"/>
  <c r="Q152" i="34"/>
  <c r="O154" i="34"/>
  <c r="Q275" i="34"/>
  <c r="O316" i="34"/>
  <c r="O318" i="34"/>
  <c r="O320" i="34"/>
  <c r="O322" i="34"/>
  <c r="P346" i="34"/>
  <c r="O346" i="34"/>
  <c r="Q394" i="34"/>
  <c r="P590" i="34"/>
  <c r="O590" i="34"/>
  <c r="O610" i="34"/>
  <c r="O33" i="34"/>
  <c r="P43" i="34"/>
  <c r="P134" i="34"/>
  <c r="P138" i="34"/>
  <c r="Q148" i="34"/>
  <c r="P179" i="34"/>
  <c r="P193" i="34"/>
  <c r="O203" i="34"/>
  <c r="Q238" i="34"/>
  <c r="P298" i="34"/>
  <c r="O310" i="34"/>
  <c r="P329" i="34"/>
  <c r="O340" i="34"/>
  <c r="P365" i="34"/>
  <c r="P392" i="34"/>
  <c r="Q453" i="34"/>
  <c r="O36" i="34"/>
  <c r="O45" i="34"/>
  <c r="Q137" i="34"/>
  <c r="O137" i="34"/>
  <c r="O147" i="34"/>
  <c r="P178" i="34"/>
  <c r="Q182" i="34"/>
  <c r="P196" i="34"/>
  <c r="O220" i="34"/>
  <c r="O237" i="34"/>
  <c r="O309" i="34"/>
  <c r="Q328" i="34"/>
  <c r="P352" i="34"/>
  <c r="P376" i="34"/>
  <c r="Q391" i="34"/>
  <c r="Q450" i="34"/>
  <c r="P456" i="34"/>
  <c r="P484" i="34"/>
  <c r="P506" i="34"/>
  <c r="P515" i="34"/>
  <c r="O540" i="34"/>
  <c r="O552" i="34"/>
  <c r="P572" i="34"/>
  <c r="O579" i="34"/>
  <c r="Q606" i="34"/>
  <c r="Q617" i="34"/>
  <c r="Q645" i="34"/>
  <c r="O652" i="34"/>
  <c r="O679" i="34"/>
  <c r="Q697" i="34"/>
  <c r="O705" i="34"/>
  <c r="P705" i="34"/>
  <c r="Q712" i="34"/>
  <c r="O751" i="34"/>
  <c r="P844" i="34"/>
  <c r="O853" i="34"/>
  <c r="Q879" i="34"/>
  <c r="P891" i="34"/>
  <c r="Q899" i="34"/>
  <c r="Q915" i="34"/>
  <c r="Q952" i="34"/>
  <c r="Q971" i="34"/>
  <c r="O994" i="34"/>
  <c r="O1000" i="34"/>
  <c r="P1014" i="34"/>
  <c r="Q1050" i="34"/>
  <c r="Q37" i="34"/>
  <c r="P47" i="34"/>
  <c r="P49" i="34"/>
  <c r="P51" i="34"/>
  <c r="P65" i="34"/>
  <c r="P67" i="34"/>
  <c r="Q86" i="34"/>
  <c r="Q104" i="34"/>
  <c r="Q124" i="34"/>
  <c r="Q142" i="34"/>
  <c r="P154" i="34"/>
  <c r="Q273" i="34"/>
  <c r="Q36" i="34"/>
  <c r="P45" i="34"/>
  <c r="O122" i="34"/>
  <c r="P147" i="34"/>
  <c r="P182" i="34"/>
  <c r="O192" i="34"/>
  <c r="P220" i="34"/>
  <c r="P237" i="34"/>
  <c r="Q248" i="34"/>
  <c r="Q309" i="34"/>
  <c r="P328" i="34"/>
  <c r="P339" i="34"/>
  <c r="O339" i="34"/>
  <c r="P391" i="34"/>
  <c r="O406" i="34"/>
  <c r="P450" i="34"/>
  <c r="Q540" i="34"/>
  <c r="P552" i="34"/>
  <c r="Q579" i="34"/>
  <c r="P606" i="34"/>
  <c r="P617" i="34"/>
  <c r="Q652" i="34"/>
  <c r="O670" i="34"/>
  <c r="Q679" i="34"/>
  <c r="P697" i="34"/>
  <c r="Q705" i="34"/>
  <c r="Q751" i="34"/>
  <c r="O763" i="34"/>
  <c r="O824" i="34"/>
  <c r="P853" i="34"/>
  <c r="P899" i="34"/>
  <c r="Q913" i="34"/>
  <c r="Q945" i="34"/>
  <c r="Q968" i="34"/>
  <c r="P994" i="34"/>
  <c r="Q1000" i="34"/>
  <c r="P1050" i="34"/>
  <c r="O1073" i="34"/>
  <c r="O37" i="34"/>
  <c r="O39" i="34"/>
  <c r="Q47" i="34"/>
  <c r="Q51" i="34"/>
  <c r="Q67" i="34"/>
  <c r="O84" i="34"/>
  <c r="O86" i="34"/>
  <c r="O102" i="34"/>
  <c r="O104" i="34"/>
  <c r="O106" i="34"/>
  <c r="P124" i="34"/>
  <c r="Q140" i="34"/>
  <c r="O142" i="34"/>
  <c r="Q144" i="34"/>
  <c r="P152" i="34"/>
  <c r="O152" i="34"/>
  <c r="O273" i="34"/>
  <c r="O275" i="34"/>
  <c r="Q316" i="34"/>
  <c r="Q320" i="34"/>
  <c r="O344" i="34"/>
  <c r="Q346" i="34"/>
  <c r="O348" i="34"/>
  <c r="O394" i="34"/>
  <c r="O527" i="34"/>
  <c r="Q590" i="34"/>
  <c r="Q610" i="34"/>
  <c r="P33" i="34"/>
  <c r="Q46" i="34"/>
  <c r="O138" i="34"/>
  <c r="P148" i="34"/>
  <c r="O148" i="34"/>
  <c r="O179" i="34"/>
  <c r="O193" i="34"/>
  <c r="P203" i="34"/>
  <c r="Q221" i="34"/>
  <c r="P238" i="34"/>
  <c r="O298" i="34"/>
  <c r="P310" i="34"/>
  <c r="O329" i="34"/>
  <c r="Q340" i="34"/>
  <c r="Q365" i="34"/>
  <c r="Q377" i="34"/>
  <c r="O392" i="34"/>
  <c r="P457" i="34"/>
  <c r="Q482" i="34"/>
  <c r="Q499" i="34"/>
  <c r="P316" i="34"/>
  <c r="P320" i="34"/>
  <c r="Q344" i="34"/>
  <c r="P183" i="34"/>
  <c r="O183" i="34"/>
  <c r="O238" i="34"/>
  <c r="P340" i="34"/>
  <c r="O365" i="34"/>
  <c r="Q431" i="34"/>
  <c r="Q457" i="34"/>
  <c r="O573" i="34"/>
  <c r="Q580" i="34"/>
  <c r="Q614" i="34"/>
  <c r="P662" i="34"/>
  <c r="P698" i="34"/>
  <c r="Q706" i="34"/>
  <c r="P735" i="34"/>
  <c r="O752" i="34"/>
  <c r="Q880" i="34"/>
  <c r="P900" i="34"/>
  <c r="O916" i="34"/>
  <c r="P953" i="34"/>
  <c r="O953" i="34"/>
  <c r="P985" i="34"/>
  <c r="Q988" i="34"/>
  <c r="P995" i="34"/>
  <c r="O1020" i="34"/>
  <c r="P1023" i="34"/>
  <c r="Q27" i="34"/>
  <c r="Q55" i="34"/>
  <c r="Q71" i="34"/>
  <c r="Q91" i="34"/>
  <c r="Q95" i="34"/>
  <c r="O108" i="34"/>
  <c r="O110" i="34"/>
  <c r="O131" i="34"/>
  <c r="O149" i="34"/>
  <c r="O165" i="34"/>
  <c r="Q290" i="34"/>
  <c r="O292" i="34"/>
  <c r="Q331" i="34"/>
  <c r="O353" i="34"/>
  <c r="O355" i="34"/>
  <c r="Q398" i="34"/>
  <c r="O582" i="34"/>
  <c r="O595" i="34"/>
  <c r="O761" i="34"/>
  <c r="P34" i="34"/>
  <c r="O63" i="34"/>
  <c r="Q135" i="34"/>
  <c r="Q139" i="34"/>
  <c r="Q176" i="34"/>
  <c r="O180" i="34"/>
  <c r="O204" i="34"/>
  <c r="Q246" i="34"/>
  <c r="Q311" i="34"/>
  <c r="Q333" i="34"/>
  <c r="Q374" i="34"/>
  <c r="Q380" i="34"/>
  <c r="Q404" i="34"/>
  <c r="Q432" i="34"/>
  <c r="P458" i="34"/>
  <c r="P500" i="34"/>
  <c r="O500" i="34"/>
  <c r="Q508" i="34"/>
  <c r="Q517" i="34"/>
  <c r="O550" i="34"/>
  <c r="O588" i="34"/>
  <c r="P615" i="34"/>
  <c r="O634" i="34"/>
  <c r="O646" i="34"/>
  <c r="O663" i="34"/>
  <c r="O672" i="34"/>
  <c r="O701" i="34"/>
  <c r="Q710" i="34"/>
  <c r="P749" i="34"/>
  <c r="P756" i="34"/>
  <c r="O765" i="34"/>
  <c r="P838" i="34"/>
  <c r="Q881" i="34"/>
  <c r="O897" i="34"/>
  <c r="Q911" i="34"/>
  <c r="Q914" i="34"/>
  <c r="Q947" i="34"/>
  <c r="P610" i="34"/>
  <c r="Q310" i="34"/>
  <c r="O507" i="34"/>
  <c r="O549" i="34"/>
  <c r="O557" i="34"/>
  <c r="Q573" i="34"/>
  <c r="P580" i="34"/>
  <c r="P614" i="34"/>
  <c r="Q685" i="34"/>
  <c r="P706" i="34"/>
  <c r="O743" i="34"/>
  <c r="Q752" i="34"/>
  <c r="O764" i="34"/>
  <c r="O837" i="34"/>
  <c r="O850" i="34"/>
  <c r="Q854" i="34"/>
  <c r="O896" i="34"/>
  <c r="P916" i="34"/>
  <c r="Q946" i="34"/>
  <c r="Q969" i="34"/>
  <c r="O988" i="34"/>
  <c r="O1004" i="34"/>
  <c r="Q1020" i="34"/>
  <c r="O1051" i="34"/>
  <c r="Q25" i="34"/>
  <c r="Q40" i="34"/>
  <c r="Q57" i="34"/>
  <c r="Q73" i="34"/>
  <c r="Q93" i="34"/>
  <c r="Q97" i="34"/>
  <c r="P108" i="34"/>
  <c r="P110" i="34"/>
  <c r="Q131" i="34"/>
  <c r="P149" i="34"/>
  <c r="P165" i="34"/>
  <c r="P292" i="34"/>
  <c r="P353" i="34"/>
  <c r="P355" i="34"/>
  <c r="P582" i="34"/>
  <c r="P595" i="34"/>
  <c r="P761" i="34"/>
  <c r="Q63" i="34"/>
  <c r="P139" i="34"/>
  <c r="P176" i="34"/>
  <c r="Q180" i="34"/>
  <c r="O187" i="34"/>
  <c r="O194" i="34"/>
  <c r="Q204" i="34"/>
  <c r="P235" i="34"/>
  <c r="O235" i="34"/>
  <c r="O305" i="34"/>
  <c r="P311" i="34"/>
  <c r="P333" i="34"/>
  <c r="Q350" i="34"/>
  <c r="P374" i="34"/>
  <c r="P380" i="34"/>
  <c r="P404" i="34"/>
  <c r="O454" i="34"/>
  <c r="Q550" i="34"/>
  <c r="O558" i="34"/>
  <c r="O576" i="34"/>
  <c r="Q588" i="34"/>
  <c r="Q634" i="34"/>
  <c r="P646" i="34"/>
  <c r="Q663" i="34"/>
  <c r="Q672" i="34"/>
  <c r="Q686" i="34"/>
  <c r="Q701" i="34"/>
  <c r="Q765" i="34"/>
  <c r="Q851" i="34"/>
  <c r="O874" i="34"/>
  <c r="P881" i="34"/>
  <c r="Q897" i="34"/>
  <c r="Q527" i="34"/>
  <c r="Q203" i="34"/>
  <c r="O221" i="34"/>
  <c r="O377" i="34"/>
  <c r="P482" i="34"/>
  <c r="O499" i="34"/>
  <c r="O516" i="34"/>
  <c r="Q549" i="34"/>
  <c r="P557" i="34"/>
  <c r="Q623" i="34"/>
  <c r="O662" i="34"/>
  <c r="P671" i="34"/>
  <c r="O685" i="34"/>
  <c r="O698" i="34"/>
  <c r="Q735" i="34"/>
  <c r="Q743" i="34"/>
  <c r="P752" i="34"/>
  <c r="Q764" i="34"/>
  <c r="Q837" i="34"/>
  <c r="Q850" i="34"/>
  <c r="O854" i="34"/>
  <c r="O880" i="34"/>
  <c r="Q896" i="34"/>
  <c r="O900" i="34"/>
  <c r="O946" i="34"/>
  <c r="Q953" i="34"/>
  <c r="O969" i="34"/>
  <c r="O985" i="34"/>
  <c r="P988" i="34"/>
  <c r="Q995" i="34"/>
  <c r="Q1004" i="34"/>
  <c r="P1020" i="34"/>
  <c r="Q1023" i="34"/>
  <c r="Q1051" i="34"/>
  <c r="O25" i="34"/>
  <c r="O27" i="34"/>
  <c r="O40" i="34"/>
  <c r="O55" i="34"/>
  <c r="O57" i="34"/>
  <c r="O71" i="34"/>
  <c r="O73" i="34"/>
  <c r="O91" i="34"/>
  <c r="O93" i="34"/>
  <c r="O95" i="34"/>
  <c r="O97" i="34"/>
  <c r="Q110" i="34"/>
  <c r="Q149" i="34"/>
  <c r="P290" i="34"/>
  <c r="O290" i="34"/>
  <c r="P331" i="34"/>
  <c r="O331" i="34"/>
  <c r="Q355" i="34"/>
  <c r="O398" i="34"/>
  <c r="Q582" i="34"/>
  <c r="Q761" i="34"/>
  <c r="O34" i="34"/>
  <c r="P63" i="34"/>
  <c r="P135" i="34"/>
  <c r="P180" i="34"/>
  <c r="Q187" i="34"/>
  <c r="Q194" i="34"/>
  <c r="P204" i="34"/>
  <c r="Q305" i="34"/>
  <c r="O432" i="34"/>
  <c r="Q454" i="34"/>
  <c r="O458" i="34"/>
  <c r="Q500" i="34"/>
  <c r="P508" i="34"/>
  <c r="O508" i="34"/>
  <c r="O517" i="34"/>
  <c r="P550" i="34"/>
  <c r="P558" i="34"/>
  <c r="Q576" i="34"/>
  <c r="P588" i="34"/>
  <c r="Q615" i="34"/>
  <c r="P634" i="34"/>
  <c r="Q646" i="34"/>
  <c r="P663" i="34"/>
  <c r="P672" i="34"/>
  <c r="O686" i="34"/>
  <c r="P710" i="34"/>
  <c r="O710" i="34"/>
  <c r="O749" i="34"/>
  <c r="O756" i="34"/>
  <c r="P765" i="34"/>
  <c r="P318" i="34"/>
  <c r="P322" i="34"/>
  <c r="Q348" i="34"/>
  <c r="Q33" i="34"/>
  <c r="Q43" i="34"/>
  <c r="O46" i="34"/>
  <c r="Q134" i="34"/>
  <c r="P453" i="34"/>
  <c r="O457" i="34"/>
  <c r="P507" i="34"/>
  <c r="Q516" i="34"/>
  <c r="P549" i="34"/>
  <c r="O580" i="34"/>
  <c r="O614" i="34"/>
  <c r="P623" i="34"/>
  <c r="Q662" i="34"/>
  <c r="O671" i="34"/>
  <c r="P685" i="34"/>
  <c r="Q698" i="34"/>
  <c r="O706" i="34"/>
  <c r="O735" i="34"/>
  <c r="P743" i="34"/>
  <c r="P764" i="34"/>
  <c r="P837" i="34"/>
  <c r="P850" i="34"/>
  <c r="P854" i="34"/>
  <c r="P880" i="34"/>
  <c r="P896" i="34"/>
  <c r="Q900" i="34"/>
  <c r="Q916" i="34"/>
  <c r="P946" i="34"/>
  <c r="P969" i="34"/>
  <c r="Q985" i="34"/>
  <c r="O995" i="34"/>
  <c r="P1004" i="34"/>
  <c r="O1023" i="34"/>
  <c r="P1051" i="34"/>
  <c r="P25" i="34"/>
  <c r="P27" i="34"/>
  <c r="P40" i="34"/>
  <c r="P55" i="34"/>
  <c r="P57" i="34"/>
  <c r="P71" i="34"/>
  <c r="P73" i="34"/>
  <c r="P91" i="34"/>
  <c r="P93" i="34"/>
  <c r="P95" i="34"/>
  <c r="P97" i="34"/>
  <c r="Q108" i="34"/>
  <c r="P131" i="34"/>
  <c r="Q165" i="34"/>
  <c r="Q292" i="34"/>
  <c r="Q353" i="34"/>
  <c r="P398" i="34"/>
  <c r="Q595" i="34"/>
  <c r="Q34" i="34"/>
  <c r="O135" i="34"/>
  <c r="O139" i="34"/>
  <c r="O176" i="34"/>
  <c r="P187" i="34"/>
  <c r="P194" i="34"/>
  <c r="Q235" i="34"/>
  <c r="O246" i="34"/>
  <c r="P246" i="34"/>
  <c r="P305" i="34"/>
  <c r="O311" i="34"/>
  <c r="O333" i="34"/>
  <c r="P350" i="34"/>
  <c r="O350" i="34"/>
  <c r="O374" i="34"/>
  <c r="O380" i="34"/>
  <c r="O404" i="34"/>
  <c r="P432" i="34"/>
  <c r="P454" i="34"/>
  <c r="Q458" i="34"/>
  <c r="P517" i="34"/>
  <c r="Q558" i="34"/>
  <c r="P576" i="34"/>
  <c r="O615" i="34"/>
  <c r="P686" i="34"/>
  <c r="P701" i="34"/>
  <c r="Q749" i="34"/>
  <c r="Q756" i="34"/>
  <c r="Q838" i="34"/>
  <c r="P851" i="34"/>
  <c r="O851" i="34"/>
  <c r="P874" i="34"/>
  <c r="O881" i="34"/>
  <c r="P911" i="34"/>
  <c r="Q874" i="34"/>
  <c r="P897" i="34"/>
  <c r="O914" i="34"/>
  <c r="Q919" i="34"/>
  <c r="O947" i="34"/>
  <c r="P959" i="34"/>
  <c r="P970" i="34"/>
  <c r="O970" i="34"/>
  <c r="P998" i="34"/>
  <c r="Q1021" i="34"/>
  <c r="P1025" i="34"/>
  <c r="Q1071" i="34"/>
  <c r="P38" i="34"/>
  <c r="O38" i="34"/>
  <c r="P50" i="34"/>
  <c r="O50" i="34"/>
  <c r="O64" i="34"/>
  <c r="Q66" i="34"/>
  <c r="P83" i="34"/>
  <c r="O83" i="34"/>
  <c r="O103" i="34"/>
  <c r="Q105" i="34"/>
  <c r="O123" i="34"/>
  <c r="O125" i="34"/>
  <c r="Q141" i="34"/>
  <c r="Q153" i="34"/>
  <c r="Q274" i="34"/>
  <c r="O276" i="34"/>
  <c r="P319" i="34"/>
  <c r="O319" i="34"/>
  <c r="P323" i="34"/>
  <c r="O323" i="34"/>
  <c r="O343" i="34"/>
  <c r="O345" i="34"/>
  <c r="O347" i="34"/>
  <c r="P393" i="34"/>
  <c r="O393" i="34"/>
  <c r="P528" i="34"/>
  <c r="O528" i="34"/>
  <c r="O589" i="34"/>
  <c r="O611" i="34"/>
  <c r="P44" i="34"/>
  <c r="Q90" i="34"/>
  <c r="O146" i="34"/>
  <c r="P181" i="34"/>
  <c r="P195" i="34"/>
  <c r="P219" i="34"/>
  <c r="O219" i="34"/>
  <c r="O236" i="34"/>
  <c r="O247" i="34"/>
  <c r="P247" i="34"/>
  <c r="Q334" i="34"/>
  <c r="Q351" i="34"/>
  <c r="Q381" i="34"/>
  <c r="P405" i="34"/>
  <c r="O455" i="34"/>
  <c r="Q481" i="34"/>
  <c r="Q501" i="34"/>
  <c r="O509" i="34"/>
  <c r="O523" i="34"/>
  <c r="P551" i="34"/>
  <c r="Q578" i="34"/>
  <c r="Q605" i="34"/>
  <c r="O696" i="34"/>
  <c r="P702" i="34"/>
  <c r="O711" i="34"/>
  <c r="P736" i="34"/>
  <c r="O736" i="34"/>
  <c r="Q750" i="34"/>
  <c r="P757" i="34"/>
  <c r="O814" i="34"/>
  <c r="Q839" i="34"/>
  <c r="O852" i="34"/>
  <c r="P875" i="34"/>
  <c r="P898" i="34"/>
  <c r="P912" i="34"/>
  <c r="Q940" i="34"/>
  <c r="P967" i="34"/>
  <c r="O987" i="34"/>
  <c r="O993" i="34"/>
  <c r="P999" i="34"/>
  <c r="Q1072" i="34"/>
  <c r="O26" i="34"/>
  <c r="O56" i="34"/>
  <c r="Q94" i="34"/>
  <c r="P914" i="34"/>
  <c r="P919" i="34"/>
  <c r="O986" i="34"/>
  <c r="Q989" i="34"/>
  <c r="Q998" i="34"/>
  <c r="O1005" i="34"/>
  <c r="P1021" i="34"/>
  <c r="Q1025" i="34"/>
  <c r="P1071" i="34"/>
  <c r="Q48" i="34"/>
  <c r="Q52" i="34"/>
  <c r="P64" i="34"/>
  <c r="Q85" i="34"/>
  <c r="P103" i="34"/>
  <c r="Q123" i="34"/>
  <c r="P125" i="34"/>
  <c r="Q143" i="34"/>
  <c r="P276" i="34"/>
  <c r="Q317" i="34"/>
  <c r="Q321" i="34"/>
  <c r="P343" i="34"/>
  <c r="P345" i="34"/>
  <c r="P347" i="34"/>
  <c r="Q395" i="34"/>
  <c r="P589" i="34"/>
  <c r="P611" i="34"/>
  <c r="O35" i="34"/>
  <c r="P90" i="34"/>
  <c r="Q136" i="34"/>
  <c r="Q146" i="34"/>
  <c r="O177" i="34"/>
  <c r="O191" i="34"/>
  <c r="P236" i="34"/>
  <c r="O306" i="34"/>
  <c r="O312" i="34"/>
  <c r="P334" i="34"/>
  <c r="O375" i="34"/>
  <c r="P381" i="34"/>
  <c r="P438" i="34"/>
  <c r="O438" i="34"/>
  <c r="Q455" i="34"/>
  <c r="P483" i="34"/>
  <c r="P509" i="34"/>
  <c r="Q523" i="34"/>
  <c r="Q551" i="34"/>
  <c r="O565" i="34"/>
  <c r="P578" i="34"/>
  <c r="P605" i="34"/>
  <c r="Q616" i="34"/>
  <c r="O643" i="34"/>
  <c r="O667" i="34"/>
  <c r="O676" i="34"/>
  <c r="Q696" i="34"/>
  <c r="P711" i="34"/>
  <c r="P750" i="34"/>
  <c r="Q814" i="34"/>
  <c r="P839" i="34"/>
  <c r="P852" i="34"/>
  <c r="O890" i="34"/>
  <c r="P940" i="34"/>
  <c r="Q951" i="34"/>
  <c r="P987" i="34"/>
  <c r="Q993" i="34"/>
  <c r="Q1006" i="34"/>
  <c r="Q1022" i="34"/>
  <c r="P1026" i="34"/>
  <c r="Q28" i="34"/>
  <c r="P41" i="34"/>
  <c r="P56" i="34"/>
  <c r="Q72" i="34"/>
  <c r="P92" i="34"/>
  <c r="P96" i="34"/>
  <c r="Q150" i="34"/>
  <c r="O911" i="34"/>
  <c r="O959" i="34"/>
  <c r="Q970" i="34"/>
  <c r="Q986" i="34"/>
  <c r="Q1005" i="34"/>
  <c r="Q38" i="34"/>
  <c r="O48" i="34"/>
  <c r="Q50" i="34"/>
  <c r="O52" i="34"/>
  <c r="P66" i="34"/>
  <c r="O66" i="34"/>
  <c r="Q83" i="34"/>
  <c r="O85" i="34"/>
  <c r="P105" i="34"/>
  <c r="O105" i="34"/>
  <c r="Q125" i="34"/>
  <c r="O141" i="34"/>
  <c r="O143" i="34"/>
  <c r="O153" i="34"/>
  <c r="P274" i="34"/>
  <c r="O274" i="34"/>
  <c r="O317" i="34"/>
  <c r="Q319" i="34"/>
  <c r="O321" i="34"/>
  <c r="Q323" i="34"/>
  <c r="Q343" i="34"/>
  <c r="Q347" i="34"/>
  <c r="Q393" i="34"/>
  <c r="O395" i="34"/>
  <c r="Q528" i="34"/>
  <c r="Q589" i="34"/>
  <c r="Q35" i="34"/>
  <c r="Q44" i="34"/>
  <c r="O136" i="34"/>
  <c r="P146" i="34"/>
  <c r="Q177" i="34"/>
  <c r="O181" i="34"/>
  <c r="Q191" i="34"/>
  <c r="O195" i="34"/>
  <c r="Q219" i="34"/>
  <c r="Q236" i="34"/>
  <c r="Q247" i="34"/>
  <c r="Q306" i="34"/>
  <c r="Q312" i="34"/>
  <c r="O351" i="34"/>
  <c r="Q375" i="34"/>
  <c r="O405" i="34"/>
  <c r="P455" i="34"/>
  <c r="O481" i="34"/>
  <c r="O483" i="34"/>
  <c r="O501" i="34"/>
  <c r="Q509" i="34"/>
  <c r="P523" i="34"/>
  <c r="Q565" i="34"/>
  <c r="O616" i="34"/>
  <c r="Q643" i="34"/>
  <c r="Q667" i="34"/>
  <c r="Q676" i="34"/>
  <c r="P696" i="34"/>
  <c r="O702" i="34"/>
  <c r="Q711" i="34"/>
  <c r="Q736" i="34"/>
  <c r="O757" i="34"/>
  <c r="P814" i="34"/>
  <c r="Q852" i="34"/>
  <c r="O875" i="34"/>
  <c r="Q890" i="34"/>
  <c r="O898" i="34"/>
  <c r="Q912" i="34"/>
  <c r="P951" i="34"/>
  <c r="O951" i="34"/>
  <c r="O967" i="34"/>
  <c r="P993" i="34"/>
  <c r="Q999" i="34"/>
  <c r="P1006" i="34"/>
  <c r="O1022" i="34"/>
  <c r="P1072" i="34"/>
  <c r="O1072" i="34"/>
  <c r="Q26" i="34"/>
  <c r="O28" i="34"/>
  <c r="P54" i="34"/>
  <c r="O54" i="34"/>
  <c r="O72" i="34"/>
  <c r="P94" i="34"/>
  <c r="O838" i="34"/>
  <c r="O919" i="34"/>
  <c r="P947" i="34"/>
  <c r="Q959" i="34"/>
  <c r="P986" i="34"/>
  <c r="P989" i="34"/>
  <c r="O989" i="34"/>
  <c r="O998" i="34"/>
  <c r="P1005" i="34"/>
  <c r="O1021" i="34"/>
  <c r="O1025" i="34"/>
  <c r="O1071" i="34"/>
  <c r="P48" i="34"/>
  <c r="P52" i="34"/>
  <c r="Q64" i="34"/>
  <c r="P85" i="34"/>
  <c r="Q103" i="34"/>
  <c r="P123" i="34"/>
  <c r="P141" i="34"/>
  <c r="P143" i="34"/>
  <c r="P153" i="34"/>
  <c r="Q276" i="34"/>
  <c r="P317" i="34"/>
  <c r="P321" i="34"/>
  <c r="Q345" i="34"/>
  <c r="P395" i="34"/>
  <c r="Q611" i="34"/>
  <c r="P35" i="34"/>
  <c r="O44" i="34"/>
  <c r="O90" i="34"/>
  <c r="P136" i="34"/>
  <c r="P177" i="34"/>
  <c r="Q181" i="34"/>
  <c r="P191" i="34"/>
  <c r="Q195" i="34"/>
  <c r="P306" i="34"/>
  <c r="P312" i="34"/>
  <c r="O334" i="34"/>
  <c r="P351" i="34"/>
  <c r="P375" i="34"/>
  <c r="O381" i="34"/>
  <c r="Q405" i="34"/>
  <c r="Q438" i="34"/>
  <c r="P481" i="34"/>
  <c r="Q483" i="34"/>
  <c r="P501" i="34"/>
  <c r="O551" i="34"/>
  <c r="P565" i="34"/>
  <c r="O578" i="34"/>
  <c r="O605" i="34"/>
  <c r="P616" i="34"/>
  <c r="P643" i="34"/>
  <c r="P667" i="34"/>
  <c r="P676" i="34"/>
  <c r="Q702" i="34"/>
  <c r="O750" i="34"/>
  <c r="Q757" i="34"/>
  <c r="O839" i="34"/>
  <c r="Q875" i="34"/>
  <c r="P890" i="34"/>
  <c r="Q898" i="34"/>
  <c r="O912" i="34"/>
  <c r="O940" i="34"/>
  <c r="Q967" i="34"/>
  <c r="Q987" i="34"/>
  <c r="O999" i="34"/>
  <c r="P1022" i="34"/>
  <c r="Q1026" i="34"/>
  <c r="P28" i="34"/>
  <c r="Q41" i="34"/>
  <c r="Q56" i="34"/>
  <c r="P72" i="34"/>
  <c r="Q92" i="34"/>
  <c r="Q96" i="34"/>
  <c r="Q130" i="34"/>
  <c r="Q132" i="34"/>
  <c r="P150" i="34"/>
  <c r="Q166" i="34"/>
  <c r="P289" i="34"/>
  <c r="P291" i="34"/>
  <c r="P293" i="34"/>
  <c r="Q330" i="34"/>
  <c r="P399" i="34"/>
  <c r="O1006" i="34"/>
  <c r="O1026" i="34"/>
  <c r="P26" i="34"/>
  <c r="O41" i="34"/>
  <c r="Q54" i="34"/>
  <c r="O92" i="34"/>
  <c r="O96" i="34"/>
  <c r="Q98" i="34"/>
  <c r="O397" i="34"/>
  <c r="O596" i="34"/>
  <c r="O354" i="34"/>
  <c r="P109" i="34"/>
  <c r="O109" i="34"/>
  <c r="O150" i="34"/>
  <c r="O166" i="34"/>
  <c r="O330" i="34"/>
  <c r="P596" i="34"/>
  <c r="O130" i="34"/>
  <c r="O132" i="34"/>
  <c r="P166" i="34"/>
  <c r="O289" i="34"/>
  <c r="Q293" i="34"/>
  <c r="P330" i="34"/>
  <c r="P354" i="34"/>
  <c r="Q397" i="34"/>
  <c r="O94" i="34"/>
  <c r="O98" i="34"/>
  <c r="Q109" i="34"/>
  <c r="P130" i="34"/>
  <c r="Q291" i="34"/>
  <c r="P581" i="34"/>
  <c r="O581" i="34"/>
  <c r="Q596" i="34"/>
  <c r="P760" i="34"/>
  <c r="O760" i="34"/>
  <c r="P98" i="34"/>
  <c r="P132" i="34"/>
  <c r="Q289" i="34"/>
  <c r="O293" i="34"/>
  <c r="Q354" i="34"/>
  <c r="P397" i="34"/>
  <c r="Q399" i="34"/>
  <c r="O291" i="34"/>
  <c r="Q581" i="34"/>
  <c r="Q760" i="34"/>
  <c r="O399" i="34"/>
  <c r="P1661" i="34"/>
  <c r="P1119" i="34"/>
  <c r="P1855" i="34"/>
  <c r="Q1461" i="34"/>
  <c r="P1659" i="34"/>
  <c r="Q1966" i="34"/>
  <c r="P1461" i="34"/>
  <c r="Q1661" i="34"/>
  <c r="P1964" i="34"/>
  <c r="O1964" i="34"/>
  <c r="O1461" i="34"/>
  <c r="O1966" i="34"/>
  <c r="Q1659" i="34"/>
  <c r="Q1119" i="34"/>
  <c r="P1966" i="34"/>
  <c r="O1661" i="34"/>
  <c r="O1119" i="34"/>
  <c r="Q1964" i="34"/>
  <c r="O1855" i="34"/>
  <c r="O1659" i="34"/>
  <c r="Q1855" i="34"/>
  <c r="P1815" i="34"/>
  <c r="P1513" i="34"/>
  <c r="P1567" i="34"/>
  <c r="P1601" i="34"/>
  <c r="Q1814" i="34"/>
  <c r="P1818" i="34"/>
  <c r="Q1822" i="34"/>
  <c r="Q1486" i="34"/>
  <c r="Q1490" i="34"/>
  <c r="P1557" i="34"/>
  <c r="P1565" i="34"/>
  <c r="P1675" i="34"/>
  <c r="Q1679" i="34"/>
  <c r="P1727" i="34"/>
  <c r="Q1731" i="34"/>
  <c r="P1735" i="34"/>
  <c r="P1757" i="34"/>
  <c r="P1785" i="34"/>
  <c r="P1793" i="34"/>
  <c r="P1297" i="34"/>
  <c r="P1363" i="34"/>
  <c r="P1371" i="34"/>
  <c r="P1420" i="34"/>
  <c r="Q1484" i="34"/>
  <c r="Q1171" i="34"/>
  <c r="P1175" i="34"/>
  <c r="Q1206" i="34"/>
  <c r="P1210" i="34"/>
  <c r="P1285" i="34"/>
  <c r="Q1289" i="34"/>
  <c r="P1293" i="34"/>
  <c r="Q1606" i="34"/>
  <c r="P1487" i="34"/>
  <c r="Q1554" i="34"/>
  <c r="P1558" i="34"/>
  <c r="Q1562" i="34"/>
  <c r="P1566" i="34"/>
  <c r="P1758" i="34"/>
  <c r="Q1762" i="34"/>
  <c r="P1786" i="34"/>
  <c r="Q1790" i="34"/>
  <c r="P1811" i="34"/>
  <c r="P1339" i="34"/>
  <c r="P1364" i="34"/>
  <c r="Q1368" i="34"/>
  <c r="P1395" i="34"/>
  <c r="P1550" i="34"/>
  <c r="P1207" i="34"/>
  <c r="Q1211" i="34"/>
  <c r="P1251" i="34"/>
  <c r="P1819" i="34"/>
  <c r="Q1491" i="34"/>
  <c r="P1569" i="34"/>
  <c r="P1603" i="34"/>
  <c r="Q1607" i="34"/>
  <c r="Q1514" i="34"/>
  <c r="P1518" i="34"/>
  <c r="Q1555" i="34"/>
  <c r="P1559" i="34"/>
  <c r="Q1563" i="34"/>
  <c r="P1677" i="34"/>
  <c r="P1714" i="34"/>
  <c r="P1729" i="34"/>
  <c r="P1737" i="34"/>
  <c r="P1759" i="34"/>
  <c r="Q1763" i="34"/>
  <c r="P1568" i="34"/>
  <c r="O1568" i="34"/>
  <c r="Q1513" i="34"/>
  <c r="Q1601" i="34"/>
  <c r="O1605" i="34"/>
  <c r="O1814" i="34"/>
  <c r="O1822" i="34"/>
  <c r="O1490" i="34"/>
  <c r="Q1512" i="34"/>
  <c r="P1516" i="34"/>
  <c r="O1516" i="34"/>
  <c r="Q1520" i="34"/>
  <c r="Q1557" i="34"/>
  <c r="O1561" i="34"/>
  <c r="Q1565" i="34"/>
  <c r="O1679" i="34"/>
  <c r="O1731" i="34"/>
  <c r="Q1757" i="34"/>
  <c r="O1761" i="34"/>
  <c r="Q1785" i="34"/>
  <c r="O1789" i="34"/>
  <c r="Q1793" i="34"/>
  <c r="P1334" i="34"/>
  <c r="O1334" i="34"/>
  <c r="Q1338" i="34"/>
  <c r="Q1363" i="34"/>
  <c r="O1367" i="34"/>
  <c r="Q1371" i="34"/>
  <c r="Q1394" i="34"/>
  <c r="P1410" i="34"/>
  <c r="O1410" i="34"/>
  <c r="O1484" i="34"/>
  <c r="Q1652" i="34"/>
  <c r="O1171" i="34"/>
  <c r="O1206" i="34"/>
  <c r="P1246" i="34"/>
  <c r="O1246" i="34"/>
  <c r="Q1250" i="34"/>
  <c r="P1254" i="34"/>
  <c r="O1254" i="34"/>
  <c r="O1289" i="34"/>
  <c r="O1606" i="34"/>
  <c r="O1554" i="34"/>
  <c r="O1562" i="34"/>
  <c r="P1676" i="34"/>
  <c r="O1676" i="34"/>
  <c r="Q1680" i="34"/>
  <c r="P1728" i="34"/>
  <c r="O1728" i="34"/>
  <c r="Q1732" i="34"/>
  <c r="P1736" i="34"/>
  <c r="O1736" i="34"/>
  <c r="O1762" i="34"/>
  <c r="O1790" i="34"/>
  <c r="P1298" i="34"/>
  <c r="O1298" i="34"/>
  <c r="O1335" i="34"/>
  <c r="Q1339" i="34"/>
  <c r="O1368" i="34"/>
  <c r="O1391" i="34"/>
  <c r="Q1395" i="34"/>
  <c r="O1411" i="34"/>
  <c r="P1454" i="34"/>
  <c r="O1454" i="34"/>
  <c r="P1672" i="34"/>
  <c r="O1672" i="34"/>
  <c r="Q1172" i="34"/>
  <c r="P1176" i="34"/>
  <c r="O1176" i="34"/>
  <c r="O1211" i="34"/>
  <c r="O1247" i="34"/>
  <c r="Q1251" i="34"/>
  <c r="Q1282" i="34"/>
  <c r="P1286" i="34"/>
  <c r="O1286" i="34"/>
  <c r="Q1290" i="34"/>
  <c r="P1294" i="34"/>
  <c r="O1294" i="34"/>
  <c r="O1491" i="34"/>
  <c r="O287" i="34"/>
  <c r="Q1569" i="34"/>
  <c r="O1607" i="34"/>
  <c r="Q1816" i="34"/>
  <c r="P1820" i="34"/>
  <c r="O1820" i="34"/>
  <c r="Q1815" i="34"/>
  <c r="Q1567" i="34"/>
  <c r="P1605" i="34"/>
  <c r="P1814" i="34"/>
  <c r="Q1818" i="34"/>
  <c r="P1822" i="34"/>
  <c r="O1486" i="34"/>
  <c r="P1490" i="34"/>
  <c r="P1561" i="34"/>
  <c r="Q1675" i="34"/>
  <c r="P1679" i="34"/>
  <c r="Q1727" i="34"/>
  <c r="P1731" i="34"/>
  <c r="Q1735" i="34"/>
  <c r="P1761" i="34"/>
  <c r="P1789" i="34"/>
  <c r="Q1297" i="34"/>
  <c r="P1367" i="34"/>
  <c r="Q1420" i="34"/>
  <c r="P1484" i="34"/>
  <c r="P1171" i="34"/>
  <c r="Q1175" i="34"/>
  <c r="P1206" i="34"/>
  <c r="Q1210" i="34"/>
  <c r="Q1285" i="34"/>
  <c r="P1289" i="34"/>
  <c r="Q1293" i="34"/>
  <c r="P1606" i="34"/>
  <c r="Q1487" i="34"/>
  <c r="P1554" i="34"/>
  <c r="Q1558" i="34"/>
  <c r="P1562" i="34"/>
  <c r="Q1566" i="34"/>
  <c r="Q1758" i="34"/>
  <c r="P1762" i="34"/>
  <c r="Q1786" i="34"/>
  <c r="P1790" i="34"/>
  <c r="Q1811" i="34"/>
  <c r="P1335" i="34"/>
  <c r="Q1364" i="34"/>
  <c r="P1368" i="34"/>
  <c r="P1391" i="34"/>
  <c r="P1411" i="34"/>
  <c r="Q1550" i="34"/>
  <c r="Q1207" i="34"/>
  <c r="P1211" i="34"/>
  <c r="P1247" i="34"/>
  <c r="Q1819" i="34"/>
  <c r="Q1568" i="34"/>
  <c r="O1815" i="34"/>
  <c r="O1513" i="34"/>
  <c r="O1567" i="34"/>
  <c r="O1601" i="34"/>
  <c r="Q1605" i="34"/>
  <c r="O1818" i="34"/>
  <c r="P1486" i="34"/>
  <c r="P1512" i="34"/>
  <c r="O1512" i="34"/>
  <c r="Q1516" i="34"/>
  <c r="P1520" i="34"/>
  <c r="O1520" i="34"/>
  <c r="O1557" i="34"/>
  <c r="Q1561" i="34"/>
  <c r="O1565" i="34"/>
  <c r="O1675" i="34"/>
  <c r="O1727" i="34"/>
  <c r="O1735" i="34"/>
  <c r="O1757" i="34"/>
  <c r="Q1761" i="34"/>
  <c r="O1785" i="34"/>
  <c r="Q1789" i="34"/>
  <c r="O1793" i="34"/>
  <c r="O1297" i="34"/>
  <c r="Q1334" i="34"/>
  <c r="P1338" i="34"/>
  <c r="O1338" i="34"/>
  <c r="O1363" i="34"/>
  <c r="Q1367" i="34"/>
  <c r="O1371" i="34"/>
  <c r="P1394" i="34"/>
  <c r="O1394" i="34"/>
  <c r="Q1410" i="34"/>
  <c r="O1420" i="34"/>
  <c r="P1652" i="34"/>
  <c r="O1652" i="34"/>
  <c r="O1175" i="34"/>
  <c r="O1210" i="34"/>
  <c r="Q1246" i="34"/>
  <c r="P1250" i="34"/>
  <c r="O1250" i="34"/>
  <c r="Q1254" i="34"/>
  <c r="O1285" i="34"/>
  <c r="O1293" i="34"/>
  <c r="O1487" i="34"/>
  <c r="O1558" i="34"/>
  <c r="O1566" i="34"/>
  <c r="Q1676" i="34"/>
  <c r="P1680" i="34"/>
  <c r="O1680" i="34"/>
  <c r="Q1728" i="34"/>
  <c r="P1732" i="34"/>
  <c r="O1732" i="34"/>
  <c r="Q1736" i="34"/>
  <c r="O1758" i="34"/>
  <c r="O1786" i="34"/>
  <c r="O1811" i="34"/>
  <c r="Q1298" i="34"/>
  <c r="Q1335" i="34"/>
  <c r="O1339" i="34"/>
  <c r="O1364" i="34"/>
  <c r="Q1391" i="34"/>
  <c r="O1395" i="34"/>
  <c r="Q1411" i="34"/>
  <c r="Q1454" i="34"/>
  <c r="O1550" i="34"/>
  <c r="Q1672" i="34"/>
  <c r="P1172" i="34"/>
  <c r="O1172" i="34"/>
  <c r="Q1176" i="34"/>
  <c r="O1207" i="34"/>
  <c r="Q1247" i="34"/>
  <c r="O1251" i="34"/>
  <c r="P1282" i="34"/>
  <c r="O1282" i="34"/>
  <c r="Q1286" i="34"/>
  <c r="P1290" i="34"/>
  <c r="O1290" i="34"/>
  <c r="Q1294" i="34"/>
  <c r="O1819" i="34"/>
  <c r="Q287" i="34"/>
  <c r="O1569" i="34"/>
  <c r="O1603" i="34"/>
  <c r="P1816" i="34"/>
  <c r="O1816" i="34"/>
  <c r="Q1820" i="34"/>
  <c r="P1824" i="34"/>
  <c r="P287" i="34"/>
  <c r="Q1518" i="34"/>
  <c r="P1555" i="34"/>
  <c r="O1559" i="34"/>
  <c r="O1673" i="34"/>
  <c r="Q1677" i="34"/>
  <c r="O1729" i="34"/>
  <c r="Q1759" i="34"/>
  <c r="P1763" i="34"/>
  <c r="O1787" i="34"/>
  <c r="P1812" i="34"/>
  <c r="O1812" i="34"/>
  <c r="O1299" i="34"/>
  <c r="O1336" i="34"/>
  <c r="O1365" i="34"/>
  <c r="O1392" i="34"/>
  <c r="O1412" i="34"/>
  <c r="O1455" i="34"/>
  <c r="O1551" i="34"/>
  <c r="O1169" i="34"/>
  <c r="Q1173" i="34"/>
  <c r="O1177" i="34"/>
  <c r="P1208" i="34"/>
  <c r="O1208" i="34"/>
  <c r="Q1212" i="34"/>
  <c r="O1248" i="34"/>
  <c r="Q1283" i="34"/>
  <c r="O1287" i="34"/>
  <c r="Q1291" i="34"/>
  <c r="O1295" i="34"/>
  <c r="O1602" i="34"/>
  <c r="Q1517" i="34"/>
  <c r="P1604" i="34"/>
  <c r="O1604" i="34"/>
  <c r="Q1608" i="34"/>
  <c r="Q1817" i="34"/>
  <c r="O1821" i="34"/>
  <c r="O1485" i="34"/>
  <c r="P1485" i="34"/>
  <c r="O1489" i="34"/>
  <c r="Q1493" i="34"/>
  <c r="O1519" i="34"/>
  <c r="Q1556" i="34"/>
  <c r="P1560" i="34"/>
  <c r="O1560" i="34"/>
  <c r="Q1564" i="34"/>
  <c r="O1674" i="34"/>
  <c r="O1715" i="34"/>
  <c r="O1734" i="34"/>
  <c r="Q1756" i="34"/>
  <c r="P1760" i="34"/>
  <c r="O1760" i="34"/>
  <c r="Q1764" i="34"/>
  <c r="P1788" i="34"/>
  <c r="O1788" i="34"/>
  <c r="Q1792" i="34"/>
  <c r="Q1813" i="34"/>
  <c r="O1337" i="34"/>
  <c r="P1366" i="34"/>
  <c r="O1366" i="34"/>
  <c r="Q1370" i="34"/>
  <c r="Q1419" i="34"/>
  <c r="O1483" i="34"/>
  <c r="O1651" i="34"/>
  <c r="Q1209" i="34"/>
  <c r="O1249" i="34"/>
  <c r="Q1483" i="34"/>
  <c r="Q1213" i="34"/>
  <c r="O1288" i="34"/>
  <c r="Q1824" i="34"/>
  <c r="P1488" i="34"/>
  <c r="O1488" i="34"/>
  <c r="Q1492" i="34"/>
  <c r="O1514" i="34"/>
  <c r="O1563" i="34"/>
  <c r="P1673" i="34"/>
  <c r="O1714" i="34"/>
  <c r="O1733" i="34"/>
  <c r="Q1737" i="34"/>
  <c r="P1787" i="34"/>
  <c r="Q1791" i="34"/>
  <c r="P1299" i="34"/>
  <c r="P1336" i="34"/>
  <c r="Q1340" i="34"/>
  <c r="P1365" i="34"/>
  <c r="Q1369" i="34"/>
  <c r="P1392" i="34"/>
  <c r="Q1396" i="34"/>
  <c r="P1412" i="34"/>
  <c r="P1455" i="34"/>
  <c r="P1551" i="34"/>
  <c r="P1169" i="34"/>
  <c r="P1177" i="34"/>
  <c r="P1248" i="34"/>
  <c r="Q1252" i="34"/>
  <c r="P1287" i="34"/>
  <c r="P1295" i="34"/>
  <c r="P1602" i="34"/>
  <c r="Q1823" i="34"/>
  <c r="Q1570" i="34"/>
  <c r="P1821" i="34"/>
  <c r="Q1485" i="34"/>
  <c r="P1489" i="34"/>
  <c r="Q1515" i="34"/>
  <c r="P1519" i="34"/>
  <c r="P1674" i="34"/>
  <c r="Q1678" i="34"/>
  <c r="P1715" i="34"/>
  <c r="Q1730" i="34"/>
  <c r="P1734" i="34"/>
  <c r="Q1333" i="34"/>
  <c r="P1337" i="34"/>
  <c r="Q1341" i="34"/>
  <c r="P1393" i="34"/>
  <c r="Q1409" i="34"/>
  <c r="P1651" i="34"/>
  <c r="Q1170" i="34"/>
  <c r="P1174" i="34"/>
  <c r="P1205" i="34"/>
  <c r="P1249" i="34"/>
  <c r="Q1253" i="34"/>
  <c r="P1284" i="34"/>
  <c r="Q1288" i="34"/>
  <c r="P1292" i="34"/>
  <c r="Q1296" i="34"/>
  <c r="O1333" i="34"/>
  <c r="P1483" i="34"/>
  <c r="O1209" i="34"/>
  <c r="O1296" i="34"/>
  <c r="P1607" i="34"/>
  <c r="P1514" i="34"/>
  <c r="O1518" i="34"/>
  <c r="Q1559" i="34"/>
  <c r="P1563" i="34"/>
  <c r="Q1673" i="34"/>
  <c r="O1677" i="34"/>
  <c r="Q1729" i="34"/>
  <c r="P1733" i="34"/>
  <c r="O1759" i="34"/>
  <c r="O1791" i="34"/>
  <c r="Q1812" i="34"/>
  <c r="Q1299" i="34"/>
  <c r="O1340" i="34"/>
  <c r="O1369" i="34"/>
  <c r="O1396" i="34"/>
  <c r="Q1455" i="34"/>
  <c r="Q1169" i="34"/>
  <c r="O1173" i="34"/>
  <c r="Q1177" i="34"/>
  <c r="Q1208" i="34"/>
  <c r="P1212" i="34"/>
  <c r="O1212" i="34"/>
  <c r="O1252" i="34"/>
  <c r="O1283" i="34"/>
  <c r="Q1287" i="34"/>
  <c r="O1291" i="34"/>
  <c r="Q1295" i="34"/>
  <c r="O1823" i="34"/>
  <c r="O1517" i="34"/>
  <c r="O1570" i="34"/>
  <c r="Q1604" i="34"/>
  <c r="P1608" i="34"/>
  <c r="O1608" i="34"/>
  <c r="O1817" i="34"/>
  <c r="Q1821" i="34"/>
  <c r="Q1489" i="34"/>
  <c r="O1493" i="34"/>
  <c r="O1515" i="34"/>
  <c r="P1556" i="34"/>
  <c r="O1556" i="34"/>
  <c r="Q1560" i="34"/>
  <c r="P1564" i="34"/>
  <c r="O1564" i="34"/>
  <c r="O1678" i="34"/>
  <c r="O1730" i="34"/>
  <c r="P1756" i="34"/>
  <c r="O1756" i="34"/>
  <c r="Q1760" i="34"/>
  <c r="P1764" i="34"/>
  <c r="Q1788" i="34"/>
  <c r="P1792" i="34"/>
  <c r="O1792" i="34"/>
  <c r="O1813" i="34"/>
  <c r="O1341" i="34"/>
  <c r="P1370" i="34"/>
  <c r="O1419" i="34"/>
  <c r="P1213" i="34"/>
  <c r="P1491" i="34"/>
  <c r="Q1603" i="34"/>
  <c r="O1824" i="34"/>
  <c r="Q1488" i="34"/>
  <c r="P1492" i="34"/>
  <c r="O1492" i="34"/>
  <c r="O1555" i="34"/>
  <c r="Q1714" i="34"/>
  <c r="Q1733" i="34"/>
  <c r="O1737" i="34"/>
  <c r="O1763" i="34"/>
  <c r="Q1787" i="34"/>
  <c r="P1791" i="34"/>
  <c r="Q1336" i="34"/>
  <c r="P1340" i="34"/>
  <c r="Q1365" i="34"/>
  <c r="P1369" i="34"/>
  <c r="Q1392" i="34"/>
  <c r="P1396" i="34"/>
  <c r="Q1412" i="34"/>
  <c r="Q1551" i="34"/>
  <c r="P1173" i="34"/>
  <c r="Q1248" i="34"/>
  <c r="P1252" i="34"/>
  <c r="P1283" i="34"/>
  <c r="P1291" i="34"/>
  <c r="Q1602" i="34"/>
  <c r="P1823" i="34"/>
  <c r="P1517" i="34"/>
  <c r="P1570" i="34"/>
  <c r="P1817" i="34"/>
  <c r="P1493" i="34"/>
  <c r="P1515" i="34"/>
  <c r="Q1519" i="34"/>
  <c r="Q1674" i="34"/>
  <c r="P1678" i="34"/>
  <c r="Q1715" i="34"/>
  <c r="P1730" i="34"/>
  <c r="Q1734" i="34"/>
  <c r="P1813" i="34"/>
  <c r="P1333" i="34"/>
  <c r="Q1337" i="34"/>
  <c r="P1341" i="34"/>
  <c r="Q1393" i="34"/>
  <c r="P1409" i="34"/>
  <c r="P1419" i="34"/>
  <c r="Q1651" i="34"/>
  <c r="P1170" i="34"/>
  <c r="Q1174" i="34"/>
  <c r="P1209" i="34"/>
  <c r="Q1249" i="34"/>
  <c r="P1253" i="34"/>
  <c r="Q1284" i="34"/>
  <c r="P1288" i="34"/>
  <c r="Q1292" i="34"/>
  <c r="P1296" i="34"/>
  <c r="O1393" i="34"/>
  <c r="O1174" i="34"/>
  <c r="O1205" i="34"/>
  <c r="O1213" i="34"/>
  <c r="O1284" i="34"/>
  <c r="O1292" i="34"/>
  <c r="O1764" i="34"/>
  <c r="Q1366" i="34"/>
  <c r="O1370" i="34"/>
  <c r="O1409" i="34"/>
  <c r="O1170" i="34"/>
  <c r="Q1205" i="34"/>
  <c r="O1253" i="34"/>
  <c r="Q923" i="34"/>
  <c r="P832" i="34"/>
  <c r="P893" i="34"/>
  <c r="Q766" i="34"/>
  <c r="Q829" i="34"/>
  <c r="P909" i="34"/>
  <c r="P804" i="34"/>
  <c r="Q866" i="34"/>
  <c r="P296" i="34"/>
  <c r="Q758" i="34"/>
  <c r="P776" i="34"/>
  <c r="P784" i="34"/>
  <c r="Q788" i="34"/>
  <c r="P826" i="34"/>
  <c r="Q845" i="34"/>
  <c r="Q901" i="34"/>
  <c r="Q906" i="34"/>
  <c r="P910" i="34"/>
  <c r="P797" i="34"/>
  <c r="Q805" i="34"/>
  <c r="P820" i="34"/>
  <c r="P860" i="34"/>
  <c r="P872" i="34"/>
  <c r="Q1055" i="34"/>
  <c r="P32" i="34"/>
  <c r="Q297" i="34"/>
  <c r="Q759" i="34"/>
  <c r="P769" i="34"/>
  <c r="Q773" i="34"/>
  <c r="P777" i="34"/>
  <c r="Q781" i="34"/>
  <c r="P785" i="34"/>
  <c r="P828" i="34"/>
  <c r="Q846" i="34"/>
  <c r="Q882" i="34"/>
  <c r="P902" i="34"/>
  <c r="Q1010" i="34"/>
  <c r="Q802" i="34"/>
  <c r="P886" i="34"/>
  <c r="Q299" i="34"/>
  <c r="P816" i="34"/>
  <c r="P857" i="34"/>
  <c r="P794" i="34"/>
  <c r="P864" i="34"/>
  <c r="P753" i="34"/>
  <c r="P774" i="34"/>
  <c r="P786" i="34"/>
  <c r="P841" i="34"/>
  <c r="Q1015" i="34"/>
  <c r="P904" i="34"/>
  <c r="P1123" i="34"/>
  <c r="Q795" i="34"/>
  <c r="P799" i="34"/>
  <c r="Q803" i="34"/>
  <c r="Q818" i="34"/>
  <c r="P822" i="34"/>
  <c r="Q833" i="34"/>
  <c r="P865" i="34"/>
  <c r="Q870" i="34"/>
  <c r="Q894" i="34"/>
  <c r="P295" i="34"/>
  <c r="P300" i="34"/>
  <c r="Q754" i="34"/>
  <c r="P767" i="34"/>
  <c r="P779" i="34"/>
  <c r="Q787" i="34"/>
  <c r="P791" i="34"/>
  <c r="Q825" i="34"/>
  <c r="P834" i="34"/>
  <c r="Q842" i="34"/>
  <c r="P876" i="34"/>
  <c r="P1002" i="34"/>
  <c r="P1045" i="34"/>
  <c r="P917" i="34"/>
  <c r="Q798" i="34"/>
  <c r="P821" i="34"/>
  <c r="Q869" i="34"/>
  <c r="Q770" i="34"/>
  <c r="Q905" i="34"/>
  <c r="P920" i="34"/>
  <c r="P809" i="34"/>
  <c r="P888" i="34"/>
  <c r="Q747" i="34"/>
  <c r="Q780" i="34"/>
  <c r="P792" i="34"/>
  <c r="P877" i="34"/>
  <c r="P1009" i="34"/>
  <c r="P314" i="34"/>
  <c r="O905" i="34"/>
  <c r="O796" i="34"/>
  <c r="O823" i="34"/>
  <c r="Q859" i="34"/>
  <c r="O31" i="34"/>
  <c r="O772" i="34"/>
  <c r="O780" i="34"/>
  <c r="O835" i="34"/>
  <c r="Q1009" i="34"/>
  <c r="P798" i="34"/>
  <c r="P790" i="34"/>
  <c r="P747" i="34"/>
  <c r="Q877" i="34"/>
  <c r="O923" i="34"/>
  <c r="Q807" i="34"/>
  <c r="Q832" i="34"/>
  <c r="O766" i="34"/>
  <c r="Q778" i="34"/>
  <c r="O829" i="34"/>
  <c r="P1124" i="34"/>
  <c r="O1124" i="34"/>
  <c r="Q800" i="34"/>
  <c r="Q804" i="34"/>
  <c r="Q819" i="34"/>
  <c r="O866" i="34"/>
  <c r="Q871" i="34"/>
  <c r="P895" i="34"/>
  <c r="O895" i="34"/>
  <c r="O758" i="34"/>
  <c r="O768" i="34"/>
  <c r="Q776" i="34"/>
  <c r="O788" i="34"/>
  <c r="O845" i="34"/>
  <c r="Q855" i="34"/>
  <c r="O901" i="34"/>
  <c r="Q1032" i="34"/>
  <c r="O906" i="34"/>
  <c r="P921" i="34"/>
  <c r="O921" i="34"/>
  <c r="Q793" i="34"/>
  <c r="Q797" i="34"/>
  <c r="O801" i="34"/>
  <c r="O805" i="34"/>
  <c r="Q811" i="34"/>
  <c r="Q820" i="34"/>
  <c r="Q831" i="34"/>
  <c r="Q860" i="34"/>
  <c r="Q867" i="34"/>
  <c r="Q872" i="34"/>
  <c r="O892" i="34"/>
  <c r="O1055" i="34"/>
  <c r="O297" i="34"/>
  <c r="Q748" i="34"/>
  <c r="O759" i="34"/>
  <c r="O773" i="34"/>
  <c r="O781" i="34"/>
  <c r="P789" i="34"/>
  <c r="O789" i="34"/>
  <c r="Q815" i="34"/>
  <c r="Q828" i="34"/>
  <c r="O840" i="34"/>
  <c r="O846" i="34"/>
  <c r="O856" i="34"/>
  <c r="O882" i="34"/>
  <c r="O1010" i="34"/>
  <c r="O1033" i="34"/>
  <c r="P315" i="34"/>
  <c r="O315" i="34"/>
  <c r="Q907" i="34"/>
  <c r="O802" i="34"/>
  <c r="O299" i="34"/>
  <c r="Q782" i="34"/>
  <c r="Q816" i="34"/>
  <c r="P1001" i="34"/>
  <c r="O1001" i="34"/>
  <c r="Q1044" i="34"/>
  <c r="Q794" i="34"/>
  <c r="O812" i="34"/>
  <c r="Q864" i="34"/>
  <c r="Q1056" i="34"/>
  <c r="Q753" i="34"/>
  <c r="Q786" i="34"/>
  <c r="P847" i="34"/>
  <c r="O847" i="34"/>
  <c r="Q883" i="34"/>
  <c r="O1015" i="34"/>
  <c r="Q335" i="34"/>
  <c r="Q904" i="34"/>
  <c r="O908" i="34"/>
  <c r="P918" i="34"/>
  <c r="O918" i="34"/>
  <c r="O795" i="34"/>
  <c r="O803" i="34"/>
  <c r="O808" i="34"/>
  <c r="O818" i="34"/>
  <c r="O833" i="34"/>
  <c r="O870" i="34"/>
  <c r="Q887" i="34"/>
  <c r="O894" i="34"/>
  <c r="Q30" i="34"/>
  <c r="Q295" i="34"/>
  <c r="O754" i="34"/>
  <c r="P771" i="34"/>
  <c r="O771" i="34"/>
  <c r="Q775" i="34"/>
  <c r="Q779" i="34"/>
  <c r="O783" i="34"/>
  <c r="O787" i="34"/>
  <c r="O825" i="34"/>
  <c r="O842" i="34"/>
  <c r="O848" i="34"/>
  <c r="Q876" i="34"/>
  <c r="O884" i="34"/>
  <c r="Q1002" i="34"/>
  <c r="Q1016" i="34"/>
  <c r="Q1045" i="34"/>
  <c r="O798" i="34"/>
  <c r="O869" i="34"/>
  <c r="O59" i="34"/>
  <c r="O770" i="34"/>
  <c r="O790" i="34"/>
  <c r="P796" i="34"/>
  <c r="P823" i="34"/>
  <c r="Q888" i="34"/>
  <c r="O747" i="34"/>
  <c r="P835" i="34"/>
  <c r="P59" i="34"/>
  <c r="P905" i="34"/>
  <c r="Q809" i="34"/>
  <c r="P772" i="34"/>
  <c r="Q314" i="34"/>
  <c r="P923" i="34"/>
  <c r="Q893" i="34"/>
  <c r="P766" i="34"/>
  <c r="P829" i="34"/>
  <c r="Q909" i="34"/>
  <c r="P866" i="34"/>
  <c r="Q296" i="34"/>
  <c r="P758" i="34"/>
  <c r="P768" i="34"/>
  <c r="Q784" i="34"/>
  <c r="P788" i="34"/>
  <c r="Q826" i="34"/>
  <c r="P845" i="34"/>
  <c r="P901" i="34"/>
  <c r="P906" i="34"/>
  <c r="Q910" i="34"/>
  <c r="P801" i="34"/>
  <c r="P805" i="34"/>
  <c r="P892" i="34"/>
  <c r="P1055" i="34"/>
  <c r="Q32" i="34"/>
  <c r="P297" i="34"/>
  <c r="P759" i="34"/>
  <c r="Q769" i="34"/>
  <c r="P773" i="34"/>
  <c r="Q777" i="34"/>
  <c r="P781" i="34"/>
  <c r="Q785" i="34"/>
  <c r="P840" i="34"/>
  <c r="P846" i="34"/>
  <c r="P856" i="34"/>
  <c r="P882" i="34"/>
  <c r="Q902" i="34"/>
  <c r="P1010" i="34"/>
  <c r="P1033" i="34"/>
  <c r="P802" i="34"/>
  <c r="Q886" i="34"/>
  <c r="P299" i="34"/>
  <c r="Q857" i="34"/>
  <c r="P812" i="34"/>
  <c r="Q774" i="34"/>
  <c r="Q841" i="34"/>
  <c r="P1015" i="34"/>
  <c r="P908" i="34"/>
  <c r="Q1123" i="34"/>
  <c r="P795" i="34"/>
  <c r="Q799" i="34"/>
  <c r="P803" i="34"/>
  <c r="P808" i="34"/>
  <c r="P818" i="34"/>
  <c r="Q822" i="34"/>
  <c r="P833" i="34"/>
  <c r="Q865" i="34"/>
  <c r="P870" i="34"/>
  <c r="P894" i="34"/>
  <c r="Q300" i="34"/>
  <c r="P754" i="34"/>
  <c r="Q767" i="34"/>
  <c r="P783" i="34"/>
  <c r="P787" i="34"/>
  <c r="Q791" i="34"/>
  <c r="P825" i="34"/>
  <c r="Q834" i="34"/>
  <c r="P842" i="34"/>
  <c r="P848" i="34"/>
  <c r="P884" i="34"/>
  <c r="Q917" i="34"/>
  <c r="Q821" i="34"/>
  <c r="P770" i="34"/>
  <c r="P780" i="34"/>
  <c r="P807" i="34"/>
  <c r="O807" i="34"/>
  <c r="O832" i="34"/>
  <c r="O893" i="34"/>
  <c r="P778" i="34"/>
  <c r="O778" i="34"/>
  <c r="O909" i="34"/>
  <c r="Q1124" i="34"/>
  <c r="P800" i="34"/>
  <c r="O800" i="34"/>
  <c r="O804" i="34"/>
  <c r="P819" i="34"/>
  <c r="O819" i="34"/>
  <c r="P871" i="34"/>
  <c r="O871" i="34"/>
  <c r="Q895" i="34"/>
  <c r="O296" i="34"/>
  <c r="Q768" i="34"/>
  <c r="O776" i="34"/>
  <c r="O784" i="34"/>
  <c r="O826" i="34"/>
  <c r="P855" i="34"/>
  <c r="O855" i="34"/>
  <c r="P1032" i="34"/>
  <c r="O1032" i="34"/>
  <c r="O910" i="34"/>
  <c r="Q921" i="34"/>
  <c r="P793" i="34"/>
  <c r="O793" i="34"/>
  <c r="O797" i="34"/>
  <c r="Q801" i="34"/>
  <c r="P811" i="34"/>
  <c r="O811" i="34"/>
  <c r="O820" i="34"/>
  <c r="P831" i="34"/>
  <c r="O831" i="34"/>
  <c r="O860" i="34"/>
  <c r="P867" i="34"/>
  <c r="O867" i="34"/>
  <c r="O872" i="34"/>
  <c r="Q892" i="34"/>
  <c r="O32" i="34"/>
  <c r="P748" i="34"/>
  <c r="O748" i="34"/>
  <c r="O769" i="34"/>
  <c r="O777" i="34"/>
  <c r="O785" i="34"/>
  <c r="Q789" i="34"/>
  <c r="P815" i="34"/>
  <c r="O815" i="34"/>
  <c r="O828" i="34"/>
  <c r="Q840" i="34"/>
  <c r="Q856" i="34"/>
  <c r="O902" i="34"/>
  <c r="Q1033" i="34"/>
  <c r="Q315" i="34"/>
  <c r="P907" i="34"/>
  <c r="O907" i="34"/>
  <c r="O886" i="34"/>
  <c r="P782" i="34"/>
  <c r="O782" i="34"/>
  <c r="O816" i="34"/>
  <c r="O857" i="34"/>
  <c r="Q1001" i="34"/>
  <c r="P1044" i="34"/>
  <c r="O1044" i="34"/>
  <c r="O794" i="34"/>
  <c r="Q812" i="34"/>
  <c r="O864" i="34"/>
  <c r="P1056" i="34"/>
  <c r="O1056" i="34"/>
  <c r="O753" i="34"/>
  <c r="O774" i="34"/>
  <c r="O786" i="34"/>
  <c r="O841" i="34"/>
  <c r="Q847" i="34"/>
  <c r="P883" i="34"/>
  <c r="O883" i="34"/>
  <c r="P335" i="34"/>
  <c r="O335" i="34"/>
  <c r="O904" i="34"/>
  <c r="Q908" i="34"/>
  <c r="Q918" i="34"/>
  <c r="O1123" i="34"/>
  <c r="O799" i="34"/>
  <c r="Q808" i="34"/>
  <c r="O822" i="34"/>
  <c r="O865" i="34"/>
  <c r="P887" i="34"/>
  <c r="O887" i="34"/>
  <c r="P30" i="34"/>
  <c r="O30" i="34"/>
  <c r="O295" i="34"/>
  <c r="O300" i="34"/>
  <c r="O767" i="34"/>
  <c r="Q771" i="34"/>
  <c r="P775" i="34"/>
  <c r="O775" i="34"/>
  <c r="O779" i="34"/>
  <c r="Q783" i="34"/>
  <c r="O791" i="34"/>
  <c r="O834" i="34"/>
  <c r="Q848" i="34"/>
  <c r="O876" i="34"/>
  <c r="Q884" i="34"/>
  <c r="O1002" i="34"/>
  <c r="P1016" i="34"/>
  <c r="O1016" i="34"/>
  <c r="O1045" i="34"/>
  <c r="O917" i="34"/>
  <c r="O821" i="34"/>
  <c r="Q59" i="34"/>
  <c r="Q790" i="34"/>
  <c r="O920" i="34"/>
  <c r="Q796" i="34"/>
  <c r="O809" i="34"/>
  <c r="Q823" i="34"/>
  <c r="P859" i="34"/>
  <c r="O859" i="34"/>
  <c r="O888" i="34"/>
  <c r="Q31" i="34"/>
  <c r="Q772" i="34"/>
  <c r="O792" i="34"/>
  <c r="Q835" i="34"/>
  <c r="O877" i="34"/>
  <c r="O1009" i="34"/>
  <c r="O314" i="34"/>
  <c r="P869" i="34"/>
  <c r="Q920" i="34"/>
  <c r="P31" i="34"/>
  <c r="Q792" i="34"/>
  <c r="Q1663" i="34"/>
  <c r="P1663" i="34"/>
  <c r="O1663" i="34"/>
  <c r="P1985" i="34"/>
  <c r="Q2022" i="34"/>
  <c r="P2027" i="34"/>
  <c r="Q1986" i="34"/>
  <c r="P2017" i="34"/>
  <c r="P2051" i="34"/>
  <c r="P2049" i="34"/>
  <c r="P2019" i="34"/>
  <c r="P1983" i="34"/>
  <c r="Q2023" i="34"/>
  <c r="P2050" i="34"/>
  <c r="Q1985" i="34"/>
  <c r="O2085" i="34"/>
  <c r="P1984" i="34"/>
  <c r="O1984" i="34"/>
  <c r="Q2024" i="34"/>
  <c r="O2022" i="34"/>
  <c r="O1986" i="34"/>
  <c r="O2053" i="34"/>
  <c r="Q2017" i="34"/>
  <c r="O2025" i="34"/>
  <c r="P2020" i="34"/>
  <c r="O2020" i="34"/>
  <c r="Q2049" i="34"/>
  <c r="P2048" i="34"/>
  <c r="O2048" i="34"/>
  <c r="O2023" i="34"/>
  <c r="O2021" i="34"/>
  <c r="P2052" i="34"/>
  <c r="O2052" i="34"/>
  <c r="P2085" i="34"/>
  <c r="P2022" i="34"/>
  <c r="Q2027" i="34"/>
  <c r="P1986" i="34"/>
  <c r="P2053" i="34"/>
  <c r="P2025" i="34"/>
  <c r="Q2051" i="34"/>
  <c r="Q2019" i="34"/>
  <c r="Q1983" i="34"/>
  <c r="P2023" i="34"/>
  <c r="P2021" i="34"/>
  <c r="Q2050" i="34"/>
  <c r="O1985" i="34"/>
  <c r="Q2085" i="34"/>
  <c r="Q1984" i="34"/>
  <c r="P2024" i="34"/>
  <c r="O2024" i="34"/>
  <c r="O2027" i="34"/>
  <c r="Q2053" i="34"/>
  <c r="O2017" i="34"/>
  <c r="Q2025" i="34"/>
  <c r="Q2020" i="34"/>
  <c r="O2051" i="34"/>
  <c r="O2049" i="34"/>
  <c r="O2019" i="34"/>
  <c r="Q2048" i="34"/>
  <c r="O1983" i="34"/>
  <c r="Q2021" i="34"/>
  <c r="Q2052" i="34"/>
  <c r="O2050" i="34"/>
  <c r="Q2062" i="34"/>
  <c r="P1958" i="34"/>
  <c r="P2066" i="34"/>
  <c r="P1869" i="34"/>
  <c r="Q1922" i="34"/>
  <c r="P2018" i="34"/>
  <c r="Q2030" i="34"/>
  <c r="P2034" i="34"/>
  <c r="P2057" i="34"/>
  <c r="P1953" i="34"/>
  <c r="Q2003" i="34"/>
  <c r="P2007" i="34"/>
  <c r="Q2011" i="34"/>
  <c r="P2015" i="34"/>
  <c r="P2065" i="34"/>
  <c r="Q2078" i="34"/>
  <c r="Q1962" i="34"/>
  <c r="P2087" i="34"/>
  <c r="P1917" i="34"/>
  <c r="P1925" i="34"/>
  <c r="P1974" i="34"/>
  <c r="Q1978" i="34"/>
  <c r="P1982" i="34"/>
  <c r="Q2055" i="34"/>
  <c r="P2075" i="34"/>
  <c r="P1894" i="34"/>
  <c r="Q1899" i="34"/>
  <c r="P1903" i="34"/>
  <c r="Q1930" i="34"/>
  <c r="P1934" i="34"/>
  <c r="Q1907" i="34"/>
  <c r="P1911" i="34"/>
  <c r="P1938" i="34"/>
  <c r="Q1942" i="34"/>
  <c r="P1946" i="34"/>
  <c r="Q1990" i="34"/>
  <c r="P1994" i="34"/>
  <c r="Q1998" i="34"/>
  <c r="P1228" i="34"/>
  <c r="Q1232" i="34"/>
  <c r="P1275" i="34"/>
  <c r="P1317" i="34"/>
  <c r="Q1321" i="34"/>
  <c r="P1325" i="34"/>
  <c r="Q1329" i="34"/>
  <c r="P1359" i="34"/>
  <c r="P1387" i="34"/>
  <c r="P1407" i="34"/>
  <c r="P1505" i="34"/>
  <c r="Q1530" i="34"/>
  <c r="P1534" i="34"/>
  <c r="Q1586" i="34"/>
  <c r="P1590" i="34"/>
  <c r="Q1594" i="34"/>
  <c r="P1598" i="34"/>
  <c r="P1617" i="34"/>
  <c r="Q1690" i="34"/>
  <c r="P1694" i="34"/>
  <c r="Q1747" i="34"/>
  <c r="P1751" i="34"/>
  <c r="Q1755" i="34"/>
  <c r="P1809" i="34"/>
  <c r="P1839" i="34"/>
  <c r="Q1843" i="34"/>
  <c r="P2031" i="34"/>
  <c r="P2077" i="34"/>
  <c r="P2041" i="34"/>
  <c r="P2079" i="34"/>
  <c r="P2081" i="34"/>
  <c r="P1975" i="34"/>
  <c r="P1895" i="34"/>
  <c r="P1881" i="34"/>
  <c r="Q1927" i="34"/>
  <c r="P1931" i="34"/>
  <c r="Q1935" i="34"/>
  <c r="P1867" i="34"/>
  <c r="Q1939" i="34"/>
  <c r="P1943" i="34"/>
  <c r="Q1947" i="34"/>
  <c r="P1991" i="34"/>
  <c r="Q1995" i="34"/>
  <c r="P1999" i="34"/>
  <c r="Q1229" i="34"/>
  <c r="P1233" i="34"/>
  <c r="Q1272" i="34"/>
  <c r="P1276" i="34"/>
  <c r="Q1356" i="34"/>
  <c r="P1360" i="34"/>
  <c r="Q1384" i="34"/>
  <c r="P1388" i="34"/>
  <c r="Q1404" i="34"/>
  <c r="P1416" i="34"/>
  <c r="Q1457" i="34"/>
  <c r="P1506" i="34"/>
  <c r="Q1510" i="34"/>
  <c r="P1531" i="34"/>
  <c r="Q1535" i="34"/>
  <c r="P1587" i="34"/>
  <c r="Q1591" i="34"/>
  <c r="P1595" i="34"/>
  <c r="Q1599" i="34"/>
  <c r="P1618" i="34"/>
  <c r="Q1622" i="34"/>
  <c r="P1691" i="34"/>
  <c r="Q1695" i="34"/>
  <c r="P1781" i="34"/>
  <c r="P1802" i="34"/>
  <c r="Q1806" i="34"/>
  <c r="Q2002" i="34"/>
  <c r="P2058" i="34"/>
  <c r="Q1954" i="34"/>
  <c r="P2045" i="34"/>
  <c r="P2086" i="34"/>
  <c r="Q1963" i="34"/>
  <c r="P1918" i="34"/>
  <c r="Q1979" i="34"/>
  <c r="P2059" i="34"/>
  <c r="Q2063" i="34"/>
  <c r="Q1951" i="34"/>
  <c r="P1955" i="34"/>
  <c r="Q1959" i="34"/>
  <c r="P2009" i="34"/>
  <c r="Q2038" i="34"/>
  <c r="P2042" i="34"/>
  <c r="Q2046" i="34"/>
  <c r="P2067" i="34"/>
  <c r="Q2071" i="34"/>
  <c r="Q1862" i="34"/>
  <c r="P1870" i="34"/>
  <c r="P1893" i="34"/>
  <c r="Q1970" i="34"/>
  <c r="P2082" i="34"/>
  <c r="Q1915" i="34"/>
  <c r="P1919" i="34"/>
  <c r="Q1923" i="34"/>
  <c r="Q2026" i="34"/>
  <c r="P1861" i="34"/>
  <c r="Q1878" i="34"/>
  <c r="P1882" i="34"/>
  <c r="Q1886" i="34"/>
  <c r="P1890" i="34"/>
  <c r="P1897" i="34"/>
  <c r="O2062" i="34"/>
  <c r="P2012" i="34"/>
  <c r="O2012" i="34"/>
  <c r="Q1869" i="34"/>
  <c r="O1969" i="34"/>
  <c r="O1922" i="34"/>
  <c r="P1896" i="34"/>
  <c r="O1896" i="34"/>
  <c r="O2001" i="34"/>
  <c r="O2030" i="34"/>
  <c r="Q2057" i="34"/>
  <c r="O2061" i="34"/>
  <c r="P2076" i="34"/>
  <c r="O2076" i="34"/>
  <c r="O1949" i="34"/>
  <c r="Q1953" i="34"/>
  <c r="O1957" i="34"/>
  <c r="O2003" i="34"/>
  <c r="O2011" i="34"/>
  <c r="P2040" i="34"/>
  <c r="O2040" i="34"/>
  <c r="Q2044" i="34"/>
  <c r="Q2065" i="34"/>
  <c r="O2069" i="34"/>
  <c r="O2078" i="34"/>
  <c r="Q2084" i="34"/>
  <c r="P1864" i="34"/>
  <c r="O1864" i="34"/>
  <c r="Q1872" i="34"/>
  <c r="O1962" i="34"/>
  <c r="Q1968" i="34"/>
  <c r="P2080" i="34"/>
  <c r="O2080" i="34"/>
  <c r="Q1917" i="34"/>
  <c r="O1921" i="34"/>
  <c r="Q1925" i="34"/>
  <c r="O1978" i="34"/>
  <c r="O2055" i="34"/>
  <c r="P1876" i="34"/>
  <c r="O1876" i="34"/>
  <c r="P1880" i="34"/>
  <c r="O1880" i="34"/>
  <c r="Q1884" i="34"/>
  <c r="P1888" i="34"/>
  <c r="O1888" i="34"/>
  <c r="Q1892" i="34"/>
  <c r="O1899" i="34"/>
  <c r="O1930" i="34"/>
  <c r="O1907" i="34"/>
  <c r="P1988" i="34"/>
  <c r="O1988" i="34"/>
  <c r="O1942" i="34"/>
  <c r="O1990" i="34"/>
  <c r="O1998" i="34"/>
  <c r="O1232" i="34"/>
  <c r="O1271" i="34"/>
  <c r="Q1275" i="34"/>
  <c r="O1321" i="34"/>
  <c r="O1329" i="34"/>
  <c r="O1355" i="34"/>
  <c r="Q1359" i="34"/>
  <c r="O1383" i="34"/>
  <c r="Q1387" i="34"/>
  <c r="O1403" i="34"/>
  <c r="Q1407" i="34"/>
  <c r="Q1422" i="34"/>
  <c r="Q1505" i="34"/>
  <c r="O1509" i="34"/>
  <c r="O1530" i="34"/>
  <c r="O1586" i="34"/>
  <c r="O1594" i="34"/>
  <c r="Q1617" i="34"/>
  <c r="O1621" i="34"/>
  <c r="O1690" i="34"/>
  <c r="O1747" i="34"/>
  <c r="O1755" i="34"/>
  <c r="Q1780" i="34"/>
  <c r="P1784" i="34"/>
  <c r="O1784" i="34"/>
  <c r="O1805" i="34"/>
  <c r="Q1809" i="34"/>
  <c r="O1843" i="34"/>
  <c r="Q2077" i="34"/>
  <c r="Q2004" i="34"/>
  <c r="Q2041" i="34"/>
  <c r="Q2081" i="34"/>
  <c r="P1860" i="34"/>
  <c r="O1860" i="34"/>
  <c r="Q1881" i="34"/>
  <c r="O1885" i="34"/>
  <c r="O1927" i="34"/>
  <c r="O1935" i="34"/>
  <c r="Q1908" i="34"/>
  <c r="P1912" i="34"/>
  <c r="O1912" i="34"/>
  <c r="O1939" i="34"/>
  <c r="O1947" i="34"/>
  <c r="O1995" i="34"/>
  <c r="O1229" i="34"/>
  <c r="O1272" i="34"/>
  <c r="P1318" i="34"/>
  <c r="O1318" i="34"/>
  <c r="Q1322" i="34"/>
  <c r="P1326" i="34"/>
  <c r="O1326" i="34"/>
  <c r="Q1330" i="34"/>
  <c r="O1356" i="34"/>
  <c r="O1384" i="34"/>
  <c r="O1404" i="34"/>
  <c r="O1457" i="34"/>
  <c r="O1510" i="34"/>
  <c r="O1535" i="34"/>
  <c r="O1591" i="34"/>
  <c r="O1599" i="34"/>
  <c r="O1622" i="34"/>
  <c r="O1695" i="34"/>
  <c r="Q1748" i="34"/>
  <c r="P1752" i="34"/>
  <c r="O1752" i="34"/>
  <c r="O1777" i="34"/>
  <c r="Q1781" i="34"/>
  <c r="O1806" i="34"/>
  <c r="Q1836" i="34"/>
  <c r="P1840" i="34"/>
  <c r="O1840" i="34"/>
  <c r="Q1844" i="34"/>
  <c r="O2002" i="34"/>
  <c r="O1954" i="34"/>
  <c r="Q2008" i="34"/>
  <c r="Q2045" i="34"/>
  <c r="O1963" i="34"/>
  <c r="O1979" i="34"/>
  <c r="Q1900" i="34"/>
  <c r="P2028" i="34"/>
  <c r="O2028" i="34"/>
  <c r="Q2032" i="34"/>
  <c r="P2036" i="34"/>
  <c r="O2036" i="34"/>
  <c r="O2063" i="34"/>
  <c r="Q1868" i="34"/>
  <c r="O1951" i="34"/>
  <c r="O1959" i="34"/>
  <c r="O2005" i="34"/>
  <c r="Q2009" i="34"/>
  <c r="O2013" i="34"/>
  <c r="O2038" i="34"/>
  <c r="O2046" i="34"/>
  <c r="O2071" i="34"/>
  <c r="Q1856" i="34"/>
  <c r="O1862" i="34"/>
  <c r="Q1893" i="34"/>
  <c r="O1965" i="34"/>
  <c r="O1970" i="34"/>
  <c r="O1915" i="34"/>
  <c r="O1923" i="34"/>
  <c r="Q1972" i="34"/>
  <c r="P1976" i="34"/>
  <c r="O1976" i="34"/>
  <c r="Q1980" i="34"/>
  <c r="O2026" i="34"/>
  <c r="O2073" i="34"/>
  <c r="Q1861" i="34"/>
  <c r="O1865" i="34"/>
  <c r="O1878" i="34"/>
  <c r="O1886" i="34"/>
  <c r="Q1897" i="34"/>
  <c r="O1901" i="34"/>
  <c r="P1928" i="34"/>
  <c r="P2062" i="34"/>
  <c r="Q1958" i="34"/>
  <c r="Q2066" i="34"/>
  <c r="P1969" i="34"/>
  <c r="P1922" i="34"/>
  <c r="Q2018" i="34"/>
  <c r="P2001" i="34"/>
  <c r="P2030" i="34"/>
  <c r="Q2034" i="34"/>
  <c r="P2061" i="34"/>
  <c r="P1949" i="34"/>
  <c r="P1957" i="34"/>
  <c r="P2003" i="34"/>
  <c r="Q2007" i="34"/>
  <c r="P2011" i="34"/>
  <c r="Q2015" i="34"/>
  <c r="P2069" i="34"/>
  <c r="P2078" i="34"/>
  <c r="P1962" i="34"/>
  <c r="Q2087" i="34"/>
  <c r="P1921" i="34"/>
  <c r="Q1974" i="34"/>
  <c r="P1978" i="34"/>
  <c r="Q1982" i="34"/>
  <c r="P2055" i="34"/>
  <c r="Q2075" i="34"/>
  <c r="Q1894" i="34"/>
  <c r="P1899" i="34"/>
  <c r="Q1903" i="34"/>
  <c r="P1930" i="34"/>
  <c r="Q1934" i="34"/>
  <c r="P1907" i="34"/>
  <c r="Q1911" i="34"/>
  <c r="Q1938" i="34"/>
  <c r="P1942" i="34"/>
  <c r="Q1946" i="34"/>
  <c r="P1990" i="34"/>
  <c r="Q1994" i="34"/>
  <c r="P1998" i="34"/>
  <c r="Q1228" i="34"/>
  <c r="P1232" i="34"/>
  <c r="P1271" i="34"/>
  <c r="Q1317" i="34"/>
  <c r="P1321" i="34"/>
  <c r="Q1325" i="34"/>
  <c r="P1329" i="34"/>
  <c r="P1355" i="34"/>
  <c r="P1383" i="34"/>
  <c r="P1403" i="34"/>
  <c r="P1509" i="34"/>
  <c r="P1530" i="34"/>
  <c r="Q1534" i="34"/>
  <c r="P1586" i="34"/>
  <c r="Q1590" i="34"/>
  <c r="P1594" i="34"/>
  <c r="Q1598" i="34"/>
  <c r="P1621" i="34"/>
  <c r="P1690" i="34"/>
  <c r="Q1694" i="34"/>
  <c r="P1747" i="34"/>
  <c r="Q1751" i="34"/>
  <c r="P1755" i="34"/>
  <c r="P1805" i="34"/>
  <c r="Q1839" i="34"/>
  <c r="P1843" i="34"/>
  <c r="Q2031" i="34"/>
  <c r="Q2079" i="34"/>
  <c r="Q1975" i="34"/>
  <c r="Q1895" i="34"/>
  <c r="P1885" i="34"/>
  <c r="P1927" i="34"/>
  <c r="Q1931" i="34"/>
  <c r="P1935" i="34"/>
  <c r="Q1867" i="34"/>
  <c r="P1939" i="34"/>
  <c r="Q1943" i="34"/>
  <c r="P1947" i="34"/>
  <c r="Q1991" i="34"/>
  <c r="P1995" i="34"/>
  <c r="Q1999" i="34"/>
  <c r="P1229" i="34"/>
  <c r="Q1233" i="34"/>
  <c r="P1272" i="34"/>
  <c r="Q1276" i="34"/>
  <c r="P1356" i="34"/>
  <c r="Q1360" i="34"/>
  <c r="P1384" i="34"/>
  <c r="Q1388" i="34"/>
  <c r="P1404" i="34"/>
  <c r="Q1416" i="34"/>
  <c r="P1457" i="34"/>
  <c r="Q1506" i="34"/>
  <c r="P1510" i="34"/>
  <c r="Q1531" i="34"/>
  <c r="P1535" i="34"/>
  <c r="Q1587" i="34"/>
  <c r="P1591" i="34"/>
  <c r="Q1595" i="34"/>
  <c r="P1599" i="34"/>
  <c r="Q1618" i="34"/>
  <c r="P1622" i="34"/>
  <c r="Q1691" i="34"/>
  <c r="P1695" i="34"/>
  <c r="P1777" i="34"/>
  <c r="Q1802" i="34"/>
  <c r="P1806" i="34"/>
  <c r="P2002" i="34"/>
  <c r="Q2058" i="34"/>
  <c r="P1954" i="34"/>
  <c r="Q2086" i="34"/>
  <c r="P1963" i="34"/>
  <c r="Q1918" i="34"/>
  <c r="P1979" i="34"/>
  <c r="Q2059" i="34"/>
  <c r="P2063" i="34"/>
  <c r="P1951" i="34"/>
  <c r="O1958" i="34"/>
  <c r="Q2012" i="34"/>
  <c r="O2066" i="34"/>
  <c r="O1869" i="34"/>
  <c r="Q1969" i="34"/>
  <c r="O2018" i="34"/>
  <c r="Q1896" i="34"/>
  <c r="Q2001" i="34"/>
  <c r="O2034" i="34"/>
  <c r="O2057" i="34"/>
  <c r="Q2061" i="34"/>
  <c r="Q2076" i="34"/>
  <c r="Q1949" i="34"/>
  <c r="O1953" i="34"/>
  <c r="Q1957" i="34"/>
  <c r="O2007" i="34"/>
  <c r="O2015" i="34"/>
  <c r="Q2040" i="34"/>
  <c r="P2044" i="34"/>
  <c r="O2044" i="34"/>
  <c r="O2065" i="34"/>
  <c r="Q2069" i="34"/>
  <c r="P2084" i="34"/>
  <c r="O2084" i="34"/>
  <c r="Q1864" i="34"/>
  <c r="P1872" i="34"/>
  <c r="O1872" i="34"/>
  <c r="P1968" i="34"/>
  <c r="O1968" i="34"/>
  <c r="Q2080" i="34"/>
  <c r="O2087" i="34"/>
  <c r="O1917" i="34"/>
  <c r="Q1921" i="34"/>
  <c r="O1925" i="34"/>
  <c r="O1974" i="34"/>
  <c r="O1982" i="34"/>
  <c r="O2075" i="34"/>
  <c r="Q1876" i="34"/>
  <c r="O1894" i="34"/>
  <c r="Q1880" i="34"/>
  <c r="P1884" i="34"/>
  <c r="O1884" i="34"/>
  <c r="Q1888" i="34"/>
  <c r="P1892" i="34"/>
  <c r="O1892" i="34"/>
  <c r="O1903" i="34"/>
  <c r="O1934" i="34"/>
  <c r="O1911" i="34"/>
  <c r="Q1988" i="34"/>
  <c r="O1938" i="34"/>
  <c r="O1946" i="34"/>
  <c r="O1994" i="34"/>
  <c r="O1228" i="34"/>
  <c r="Q1271" i="34"/>
  <c r="O1275" i="34"/>
  <c r="O1317" i="34"/>
  <c r="O1325" i="34"/>
  <c r="Q1355" i="34"/>
  <c r="O1359" i="34"/>
  <c r="Q1383" i="34"/>
  <c r="O1387" i="34"/>
  <c r="Q1403" i="34"/>
  <c r="O1407" i="34"/>
  <c r="P1422" i="34"/>
  <c r="O1422" i="34"/>
  <c r="O1505" i="34"/>
  <c r="Q1509" i="34"/>
  <c r="O1534" i="34"/>
  <c r="O1590" i="34"/>
  <c r="O1598" i="34"/>
  <c r="O1617" i="34"/>
  <c r="Q1621" i="34"/>
  <c r="O1694" i="34"/>
  <c r="O1751" i="34"/>
  <c r="P1780" i="34"/>
  <c r="O1780" i="34"/>
  <c r="Q1784" i="34"/>
  <c r="Q1805" i="34"/>
  <c r="O1809" i="34"/>
  <c r="O1839" i="34"/>
  <c r="O2031" i="34"/>
  <c r="O2077" i="34"/>
  <c r="P2004" i="34"/>
  <c r="O2004" i="34"/>
  <c r="O2041" i="34"/>
  <c r="O2079" i="34"/>
  <c r="O2081" i="34"/>
  <c r="O1975" i="34"/>
  <c r="Q1860" i="34"/>
  <c r="O1895" i="34"/>
  <c r="O1881" i="34"/>
  <c r="Q1885" i="34"/>
  <c r="O1931" i="34"/>
  <c r="P1908" i="34"/>
  <c r="O1908" i="34"/>
  <c r="Q1912" i="34"/>
  <c r="O1867" i="34"/>
  <c r="O1943" i="34"/>
  <c r="O1991" i="34"/>
  <c r="O1999" i="34"/>
  <c r="O1233" i="34"/>
  <c r="O1276" i="34"/>
  <c r="Q1318" i="34"/>
  <c r="P1322" i="34"/>
  <c r="O1322" i="34"/>
  <c r="Q1326" i="34"/>
  <c r="P1330" i="34"/>
  <c r="O1330" i="34"/>
  <c r="O1360" i="34"/>
  <c r="O1388" i="34"/>
  <c r="O1416" i="34"/>
  <c r="O1506" i="34"/>
  <c r="O1531" i="34"/>
  <c r="O1587" i="34"/>
  <c r="O1595" i="34"/>
  <c r="O1618" i="34"/>
  <c r="O1691" i="34"/>
  <c r="P1748" i="34"/>
  <c r="O1748" i="34"/>
  <c r="Q1752" i="34"/>
  <c r="Q1777" i="34"/>
  <c r="O1781" i="34"/>
  <c r="O1802" i="34"/>
  <c r="P1836" i="34"/>
  <c r="O1836" i="34"/>
  <c r="Q1840" i="34"/>
  <c r="P1844" i="34"/>
  <c r="O1844" i="34"/>
  <c r="O2058" i="34"/>
  <c r="P2008" i="34"/>
  <c r="O2008" i="34"/>
  <c r="O2045" i="34"/>
  <c r="O2086" i="34"/>
  <c r="O1918" i="34"/>
  <c r="P1900" i="34"/>
  <c r="O1900" i="34"/>
  <c r="Q2028" i="34"/>
  <c r="P2032" i="34"/>
  <c r="O2032" i="34"/>
  <c r="Q2036" i="34"/>
  <c r="O2059" i="34"/>
  <c r="P1868" i="34"/>
  <c r="O1868" i="34"/>
  <c r="O1955" i="34"/>
  <c r="Q2005" i="34"/>
  <c r="O2009" i="34"/>
  <c r="Q2013" i="34"/>
  <c r="O2042" i="34"/>
  <c r="O2067" i="34"/>
  <c r="P1856" i="34"/>
  <c r="O1856" i="34"/>
  <c r="O1870" i="34"/>
  <c r="O1893" i="34"/>
  <c r="Q1965" i="34"/>
  <c r="O2082" i="34"/>
  <c r="O1919" i="34"/>
  <c r="P1972" i="34"/>
  <c r="O1972" i="34"/>
  <c r="Q1976" i="34"/>
  <c r="P1980" i="34"/>
  <c r="O1980" i="34"/>
  <c r="Q2073" i="34"/>
  <c r="O1861" i="34"/>
  <c r="Q1865" i="34"/>
  <c r="O1882" i="34"/>
  <c r="O1890" i="34"/>
  <c r="O1897" i="34"/>
  <c r="Q1901" i="34"/>
  <c r="Q1928" i="34"/>
  <c r="P1932" i="34"/>
  <c r="P1959" i="34"/>
  <c r="P2013" i="34"/>
  <c r="Q2042" i="34"/>
  <c r="Q2067" i="34"/>
  <c r="P1913" i="34"/>
  <c r="P1202" i="34"/>
  <c r="Q1273" i="34"/>
  <c r="P1277" i="34"/>
  <c r="P1319" i="34"/>
  <c r="P1327" i="34"/>
  <c r="Q1357" i="34"/>
  <c r="P1361" i="34"/>
  <c r="Q1385" i="34"/>
  <c r="P1389" i="34"/>
  <c r="Q1405" i="34"/>
  <c r="P1417" i="34"/>
  <c r="Q1503" i="34"/>
  <c r="P1507" i="34"/>
  <c r="Q1511" i="34"/>
  <c r="P1619" i="34"/>
  <c r="Q1654" i="34"/>
  <c r="P1753" i="34"/>
  <c r="P1778" i="34"/>
  <c r="Q1782" i="34"/>
  <c r="P1803" i="34"/>
  <c r="Q1807" i="34"/>
  <c r="P1841" i="34"/>
  <c r="Q2035" i="34"/>
  <c r="P1950" i="34"/>
  <c r="P2070" i="34"/>
  <c r="P1873" i="34"/>
  <c r="P1914" i="34"/>
  <c r="Q1926" i="34"/>
  <c r="P1877" i="34"/>
  <c r="P2033" i="34"/>
  <c r="P1905" i="34"/>
  <c r="Q2006" i="34"/>
  <c r="P2010" i="34"/>
  <c r="Q2014" i="34"/>
  <c r="P2039" i="34"/>
  <c r="Q2043" i="34"/>
  <c r="P2047" i="34"/>
  <c r="P1857" i="34"/>
  <c r="P1863" i="34"/>
  <c r="Q1871" i="34"/>
  <c r="Q1967" i="34"/>
  <c r="P1971" i="34"/>
  <c r="Q2083" i="34"/>
  <c r="P1973" i="34"/>
  <c r="P1981" i="34"/>
  <c r="P2054" i="34"/>
  <c r="Q2074" i="34"/>
  <c r="P1875" i="34"/>
  <c r="Q1866" i="34"/>
  <c r="P1879" i="34"/>
  <c r="Q1883" i="34"/>
  <c r="P1887" i="34"/>
  <c r="Q1891" i="34"/>
  <c r="P1898" i="34"/>
  <c r="Q1902" i="34"/>
  <c r="P1933" i="34"/>
  <c r="P1906" i="34"/>
  <c r="Q1910" i="34"/>
  <c r="P1987" i="34"/>
  <c r="P1937" i="34"/>
  <c r="P1945" i="34"/>
  <c r="P1993" i="34"/>
  <c r="Q1203" i="34"/>
  <c r="P1235" i="34"/>
  <c r="P1320" i="34"/>
  <c r="Q1324" i="34"/>
  <c r="P1328" i="34"/>
  <c r="Q1332" i="34"/>
  <c r="P1533" i="34"/>
  <c r="P1589" i="34"/>
  <c r="P1597" i="34"/>
  <c r="P1693" i="34"/>
  <c r="Q1750" i="34"/>
  <c r="Q1754" i="34"/>
  <c r="Q1779" i="34"/>
  <c r="P1783" i="34"/>
  <c r="Q1838" i="34"/>
  <c r="P1842" i="34"/>
  <c r="Q1846" i="34"/>
  <c r="O1846" i="34"/>
  <c r="Q1955" i="34"/>
  <c r="P2005" i="34"/>
  <c r="P1970" i="34"/>
  <c r="P1915" i="34"/>
  <c r="P1923" i="34"/>
  <c r="P1878" i="34"/>
  <c r="P1886" i="34"/>
  <c r="P1901" i="34"/>
  <c r="Q1932" i="34"/>
  <c r="P1936" i="34"/>
  <c r="O1936" i="34"/>
  <c r="O1909" i="34"/>
  <c r="Q1913" i="34"/>
  <c r="Q1904" i="34"/>
  <c r="P1940" i="34"/>
  <c r="O1940" i="34"/>
  <c r="Q1944" i="34"/>
  <c r="P1948" i="34"/>
  <c r="O1948" i="34"/>
  <c r="Q1992" i="34"/>
  <c r="P1996" i="34"/>
  <c r="O1996" i="34"/>
  <c r="P1230" i="34"/>
  <c r="O1230" i="34"/>
  <c r="Q1234" i="34"/>
  <c r="O1273" i="34"/>
  <c r="Q1319" i="34"/>
  <c r="O1323" i="34"/>
  <c r="Q1327" i="34"/>
  <c r="O1331" i="34"/>
  <c r="O1357" i="34"/>
  <c r="O1385" i="34"/>
  <c r="O1405" i="34"/>
  <c r="O1503" i="34"/>
  <c r="O1511" i="34"/>
  <c r="Q1532" i="34"/>
  <c r="P1536" i="34"/>
  <c r="O1536" i="34"/>
  <c r="Q1588" i="34"/>
  <c r="P1592" i="34"/>
  <c r="O1592" i="34"/>
  <c r="Q1596" i="34"/>
  <c r="P1600" i="34"/>
  <c r="O1600" i="34"/>
  <c r="O1654" i="34"/>
  <c r="Q1692" i="34"/>
  <c r="P1696" i="34"/>
  <c r="O1696" i="34"/>
  <c r="O1749" i="34"/>
  <c r="Q1753" i="34"/>
  <c r="O1782" i="34"/>
  <c r="O1807" i="34"/>
  <c r="O1837" i="34"/>
  <c r="Q1841" i="34"/>
  <c r="O1845" i="34"/>
  <c r="O2035" i="34"/>
  <c r="P2016" i="34"/>
  <c r="O2016" i="34"/>
  <c r="Q1873" i="34"/>
  <c r="O1926" i="34"/>
  <c r="Q2056" i="34"/>
  <c r="Q1877" i="34"/>
  <c r="O1889" i="34"/>
  <c r="P2000" i="34"/>
  <c r="O2000" i="34"/>
  <c r="O2029" i="34"/>
  <c r="Q2033" i="34"/>
  <c r="O2037" i="34"/>
  <c r="P2060" i="34"/>
  <c r="O2060" i="34"/>
  <c r="Q2064" i="34"/>
  <c r="Q1905" i="34"/>
  <c r="Q1952" i="34"/>
  <c r="P1956" i="34"/>
  <c r="O1956" i="34"/>
  <c r="Q1960" i="34"/>
  <c r="O2006" i="34"/>
  <c r="O2014" i="34"/>
  <c r="O2043" i="34"/>
  <c r="P2068" i="34"/>
  <c r="O2068" i="34"/>
  <c r="Q2072" i="34"/>
  <c r="Q1857" i="34"/>
  <c r="O1871" i="34"/>
  <c r="O1961" i="34"/>
  <c r="O1967" i="34"/>
  <c r="O2083" i="34"/>
  <c r="Q1916" i="34"/>
  <c r="P1920" i="34"/>
  <c r="O1920" i="34"/>
  <c r="Q1924" i="34"/>
  <c r="Q1973" i="34"/>
  <c r="O1977" i="34"/>
  <c r="Q1981" i="34"/>
  <c r="O2074" i="34"/>
  <c r="O1866" i="34"/>
  <c r="O1883" i="34"/>
  <c r="O1891" i="34"/>
  <c r="O1902" i="34"/>
  <c r="O1929" i="34"/>
  <c r="Q1933" i="34"/>
  <c r="O1910" i="34"/>
  <c r="Q1937" i="34"/>
  <c r="O1941" i="34"/>
  <c r="Q1945" i="34"/>
  <c r="O1989" i="34"/>
  <c r="Q1993" i="34"/>
  <c r="O1997" i="34"/>
  <c r="O1203" i="34"/>
  <c r="O1231" i="34"/>
  <c r="Q1235" i="34"/>
  <c r="Q1274" i="34"/>
  <c r="P1278" i="34"/>
  <c r="O1278" i="34"/>
  <c r="O1324" i="34"/>
  <c r="O1332" i="34"/>
  <c r="Q1358" i="34"/>
  <c r="P1362" i="34"/>
  <c r="O1362" i="34"/>
  <c r="Q1386" i="34"/>
  <c r="P1390" i="34"/>
  <c r="O1390" i="34"/>
  <c r="Q1406" i="34"/>
  <c r="P1418" i="34"/>
  <c r="O1418" i="34"/>
  <c r="Q1504" i="34"/>
  <c r="P1508" i="34"/>
  <c r="O1508" i="34"/>
  <c r="O1529" i="34"/>
  <c r="Q1533" i="34"/>
  <c r="O1553" i="34"/>
  <c r="Q1589" i="34"/>
  <c r="O1593" i="34"/>
  <c r="Q1597" i="34"/>
  <c r="Q1616" i="34"/>
  <c r="P1620" i="34"/>
  <c r="O1620" i="34"/>
  <c r="O1689" i="34"/>
  <c r="Q1693" i="34"/>
  <c r="Q1724" i="34"/>
  <c r="O1750" i="34"/>
  <c r="O1779" i="34"/>
  <c r="P1804" i="34"/>
  <c r="Q1808" i="34"/>
  <c r="O1838" i="34"/>
  <c r="P1862" i="34"/>
  <c r="P1965" i="34"/>
  <c r="Q2082" i="34"/>
  <c r="Q1919" i="34"/>
  <c r="P2026" i="34"/>
  <c r="P1865" i="34"/>
  <c r="Q1882" i="34"/>
  <c r="Q1890" i="34"/>
  <c r="O1928" i="34"/>
  <c r="P1909" i="34"/>
  <c r="Q1202" i="34"/>
  <c r="P1273" i="34"/>
  <c r="Q1277" i="34"/>
  <c r="P1323" i="34"/>
  <c r="P1331" i="34"/>
  <c r="P1357" i="34"/>
  <c r="Q1361" i="34"/>
  <c r="P1385" i="34"/>
  <c r="Q1389" i="34"/>
  <c r="P1405" i="34"/>
  <c r="Q1417" i="34"/>
  <c r="P1503" i="34"/>
  <c r="Q1507" i="34"/>
  <c r="P1511" i="34"/>
  <c r="Q1619" i="34"/>
  <c r="P1654" i="34"/>
  <c r="P1749" i="34"/>
  <c r="Q1778" i="34"/>
  <c r="P1782" i="34"/>
  <c r="Q1803" i="34"/>
  <c r="P1807" i="34"/>
  <c r="P1837" i="34"/>
  <c r="P1845" i="34"/>
  <c r="P2035" i="34"/>
  <c r="Q1950" i="34"/>
  <c r="Q2070" i="34"/>
  <c r="Q1914" i="34"/>
  <c r="P1926" i="34"/>
  <c r="P1889" i="34"/>
  <c r="P2029" i="34"/>
  <c r="P2037" i="34"/>
  <c r="P2006" i="34"/>
  <c r="Q2010" i="34"/>
  <c r="P2014" i="34"/>
  <c r="Q2039" i="34"/>
  <c r="P2043" i="34"/>
  <c r="Q2047" i="34"/>
  <c r="Q1863" i="34"/>
  <c r="P1871" i="34"/>
  <c r="P1961" i="34"/>
  <c r="P1967" i="34"/>
  <c r="Q1971" i="34"/>
  <c r="P2083" i="34"/>
  <c r="P1977" i="34"/>
  <c r="Q2054" i="34"/>
  <c r="P2074" i="34"/>
  <c r="Q1875" i="34"/>
  <c r="P1866" i="34"/>
  <c r="Q1879" i="34"/>
  <c r="P1883" i="34"/>
  <c r="Q1887" i="34"/>
  <c r="P1891" i="34"/>
  <c r="Q1898" i="34"/>
  <c r="P1902" i="34"/>
  <c r="P1929" i="34"/>
  <c r="Q1906" i="34"/>
  <c r="P1910" i="34"/>
  <c r="Q1987" i="34"/>
  <c r="P1941" i="34"/>
  <c r="P1989" i="34"/>
  <c r="P1997" i="34"/>
  <c r="P1203" i="34"/>
  <c r="P1231" i="34"/>
  <c r="Q1320" i="34"/>
  <c r="P1324" i="34"/>
  <c r="Q1328" i="34"/>
  <c r="P1332" i="34"/>
  <c r="P1529" i="34"/>
  <c r="P1553" i="34"/>
  <c r="P1593" i="34"/>
  <c r="P1689" i="34"/>
  <c r="P1750" i="34"/>
  <c r="O1754" i="34"/>
  <c r="P1779" i="34"/>
  <c r="Q1783" i="34"/>
  <c r="P1838" i="34"/>
  <c r="Q1842" i="34"/>
  <c r="P1846" i="34"/>
  <c r="P2038" i="34"/>
  <c r="P2046" i="34"/>
  <c r="P2071" i="34"/>
  <c r="Q1870" i="34"/>
  <c r="P2073" i="34"/>
  <c r="O1932" i="34"/>
  <c r="Q1936" i="34"/>
  <c r="Q1909" i="34"/>
  <c r="O1913" i="34"/>
  <c r="P1904" i="34"/>
  <c r="O1904" i="34"/>
  <c r="Q1940" i="34"/>
  <c r="P1944" i="34"/>
  <c r="O1944" i="34"/>
  <c r="Q1948" i="34"/>
  <c r="P1992" i="34"/>
  <c r="O1992" i="34"/>
  <c r="Q1996" i="34"/>
  <c r="O1202" i="34"/>
  <c r="Q1230" i="34"/>
  <c r="P1234" i="34"/>
  <c r="O1234" i="34"/>
  <c r="O1277" i="34"/>
  <c r="O1319" i="34"/>
  <c r="Q1323" i="34"/>
  <c r="O1327" i="34"/>
  <c r="Q1331" i="34"/>
  <c r="O1361" i="34"/>
  <c r="O1389" i="34"/>
  <c r="O1417" i="34"/>
  <c r="O1507" i="34"/>
  <c r="P1532" i="34"/>
  <c r="O1532" i="34"/>
  <c r="Q1536" i="34"/>
  <c r="P1588" i="34"/>
  <c r="O1588" i="34"/>
  <c r="Q1592" i="34"/>
  <c r="P1596" i="34"/>
  <c r="O1596" i="34"/>
  <c r="Q1600" i="34"/>
  <c r="O1619" i="34"/>
  <c r="P1692" i="34"/>
  <c r="O1692" i="34"/>
  <c r="Q1696" i="34"/>
  <c r="Q1749" i="34"/>
  <c r="O1753" i="34"/>
  <c r="O1778" i="34"/>
  <c r="O1803" i="34"/>
  <c r="Q1837" i="34"/>
  <c r="O1841" i="34"/>
  <c r="Q1845" i="34"/>
  <c r="O1950" i="34"/>
  <c r="Q2016" i="34"/>
  <c r="O2070" i="34"/>
  <c r="O1873" i="34"/>
  <c r="O1914" i="34"/>
  <c r="P2056" i="34"/>
  <c r="O2056" i="34"/>
  <c r="O1877" i="34"/>
  <c r="Q1889" i="34"/>
  <c r="Q2000" i="34"/>
  <c r="Q2029" i="34"/>
  <c r="O2033" i="34"/>
  <c r="Q2037" i="34"/>
  <c r="Q2060" i="34"/>
  <c r="P2064" i="34"/>
  <c r="O2064" i="34"/>
  <c r="O1905" i="34"/>
  <c r="P1952" i="34"/>
  <c r="O1952" i="34"/>
  <c r="Q1956" i="34"/>
  <c r="P1960" i="34"/>
  <c r="O1960" i="34"/>
  <c r="O2010" i="34"/>
  <c r="O2039" i="34"/>
  <c r="O2047" i="34"/>
  <c r="Q2068" i="34"/>
  <c r="P2072" i="34"/>
  <c r="O2072" i="34"/>
  <c r="O1857" i="34"/>
  <c r="O1863" i="34"/>
  <c r="Q1961" i="34"/>
  <c r="O1971" i="34"/>
  <c r="P1916" i="34"/>
  <c r="O1916" i="34"/>
  <c r="Q1920" i="34"/>
  <c r="P1924" i="34"/>
  <c r="O1924" i="34"/>
  <c r="O1973" i="34"/>
  <c r="Q1977" i="34"/>
  <c r="O1981" i="34"/>
  <c r="O2054" i="34"/>
  <c r="O1875" i="34"/>
  <c r="O1879" i="34"/>
  <c r="O1887" i="34"/>
  <c r="O1898" i="34"/>
  <c r="Q1929" i="34"/>
  <c r="O1933" i="34"/>
  <c r="O1906" i="34"/>
  <c r="O1987" i="34"/>
  <c r="O1937" i="34"/>
  <c r="Q1941" i="34"/>
  <c r="O1945" i="34"/>
  <c r="Q1989" i="34"/>
  <c r="O1993" i="34"/>
  <c r="Q1997" i="34"/>
  <c r="Q1231" i="34"/>
  <c r="O1235" i="34"/>
  <c r="P1274" i="34"/>
  <c r="O1274" i="34"/>
  <c r="Q1278" i="34"/>
  <c r="O1320" i="34"/>
  <c r="O1328" i="34"/>
  <c r="P1358" i="34"/>
  <c r="O1358" i="34"/>
  <c r="Q1362" i="34"/>
  <c r="P1386" i="34"/>
  <c r="O1386" i="34"/>
  <c r="Q1390" i="34"/>
  <c r="P1406" i="34"/>
  <c r="O1406" i="34"/>
  <c r="Q1418" i="34"/>
  <c r="P1504" i="34"/>
  <c r="O1504" i="34"/>
  <c r="Q1508" i="34"/>
  <c r="Q1529" i="34"/>
  <c r="O1533" i="34"/>
  <c r="Q1553" i="34"/>
  <c r="O1589" i="34"/>
  <c r="Q1593" i="34"/>
  <c r="O1597" i="34"/>
  <c r="P1616" i="34"/>
  <c r="O1616" i="34"/>
  <c r="Q1620" i="34"/>
  <c r="Q1689" i="34"/>
  <c r="O1693" i="34"/>
  <c r="P1724" i="34"/>
  <c r="O1724" i="34"/>
  <c r="P1754" i="34"/>
  <c r="O1783" i="34"/>
  <c r="Q1804" i="34"/>
  <c r="P1808" i="34"/>
  <c r="O1808" i="34"/>
  <c r="O1842" i="34"/>
  <c r="O1804" i="34"/>
  <c r="Q1858" i="34"/>
  <c r="P1198" i="34"/>
  <c r="Q1774" i="34"/>
  <c r="P1579" i="34"/>
  <c r="Q1614" i="34"/>
  <c r="P1498" i="34"/>
  <c r="P1573" i="34"/>
  <c r="P1746" i="34"/>
  <c r="P1581" i="34"/>
  <c r="P1653" i="34"/>
  <c r="P1522" i="34"/>
  <c r="Q1571" i="34"/>
  <c r="P1349" i="34"/>
  <c r="Q1377" i="34"/>
  <c r="P1833" i="34"/>
  <c r="P1300" i="34"/>
  <c r="P1197" i="34"/>
  <c r="Q1743" i="34"/>
  <c r="P1773" i="34"/>
  <c r="P1794" i="34"/>
  <c r="Q1798" i="34"/>
  <c r="Q1578" i="34"/>
  <c r="P1582" i="34"/>
  <c r="P1609" i="34"/>
  <c r="P1681" i="34"/>
  <c r="Q1723" i="34"/>
  <c r="P1456" i="34"/>
  <c r="P1497" i="34"/>
  <c r="Q1523" i="34"/>
  <c r="P1527" i="34"/>
  <c r="Q1316" i="34"/>
  <c r="P1401" i="34"/>
  <c r="P1415" i="34"/>
  <c r="P1225" i="34"/>
  <c r="Q1264" i="34"/>
  <c r="P1268" i="34"/>
  <c r="Q1191" i="34"/>
  <c r="P1195" i="34"/>
  <c r="Q1767" i="34"/>
  <c r="P1717" i="34"/>
  <c r="P1706" i="34"/>
  <c r="Q1702" i="34"/>
  <c r="P1665" i="34"/>
  <c r="Q1631" i="34"/>
  <c r="P1627" i="34"/>
  <c r="P1545" i="34"/>
  <c r="P1475" i="34"/>
  <c r="P1467" i="34"/>
  <c r="Q1449" i="34"/>
  <c r="P1445" i="34"/>
  <c r="P1439" i="34"/>
  <c r="P1345" i="34"/>
  <c r="Q1245" i="34"/>
  <c r="P1241" i="34"/>
  <c r="P1219" i="34"/>
  <c r="Q1215" i="34"/>
  <c r="P1185" i="34"/>
  <c r="P1149" i="34"/>
  <c r="P1141" i="34"/>
  <c r="Q69" i="34"/>
  <c r="P81" i="34"/>
  <c r="P100" i="34"/>
  <c r="P127" i="34"/>
  <c r="P158" i="34"/>
  <c r="P174" i="34"/>
  <c r="P303" i="34"/>
  <c r="P925" i="34"/>
  <c r="Q934" i="34"/>
  <c r="P938" i="34"/>
  <c r="O955" i="34"/>
  <c r="Q961" i="34"/>
  <c r="Q980" i="34"/>
  <c r="P984" i="34"/>
  <c r="Q996" i="34"/>
  <c r="Q1027" i="34"/>
  <c r="P1035" i="34"/>
  <c r="Q1039" i="34"/>
  <c r="P1043" i="34"/>
  <c r="P1053" i="34"/>
  <c r="Q1066" i="34"/>
  <c r="Q1830" i="34"/>
  <c r="Q1826" i="34"/>
  <c r="P1686" i="34"/>
  <c r="Q1502" i="34"/>
  <c r="P1379" i="34"/>
  <c r="P1307" i="34"/>
  <c r="P1220" i="34"/>
  <c r="P1705" i="34"/>
  <c r="P1643" i="34"/>
  <c r="Q1634" i="34"/>
  <c r="P1626" i="34"/>
  <c r="P1448" i="34"/>
  <c r="P1373" i="34"/>
  <c r="Q1261" i="34"/>
  <c r="P1244" i="34"/>
  <c r="Q1218" i="34"/>
  <c r="Q1163" i="34"/>
  <c r="Q82" i="34"/>
  <c r="Q119" i="34"/>
  <c r="O184" i="34"/>
  <c r="P336" i="34"/>
  <c r="P930" i="34"/>
  <c r="P941" i="34"/>
  <c r="P956" i="34"/>
  <c r="Q976" i="34"/>
  <c r="P1013" i="34"/>
  <c r="P726" i="34"/>
  <c r="P1130" i="34"/>
  <c r="Q1770" i="34"/>
  <c r="P1799" i="34"/>
  <c r="Q1610" i="34"/>
  <c r="P1738" i="34"/>
  <c r="P1265" i="34"/>
  <c r="P1311" i="34"/>
  <c r="P1766" i="34"/>
  <c r="P1701" i="34"/>
  <c r="P1639" i="34"/>
  <c r="Q1630" i="34"/>
  <c r="P1452" i="34"/>
  <c r="Q1344" i="34"/>
  <c r="P1257" i="34"/>
  <c r="Q1240" i="34"/>
  <c r="P1159" i="34"/>
  <c r="Q78" i="34"/>
  <c r="P101" i="34"/>
  <c r="P115" i="34"/>
  <c r="P199" i="34"/>
  <c r="Q926" i="34"/>
  <c r="P935" i="34"/>
  <c r="P948" i="34"/>
  <c r="Q981" i="34"/>
  <c r="O1858" i="34"/>
  <c r="O1774" i="34"/>
  <c r="O1614" i="34"/>
  <c r="Q1573" i="34"/>
  <c r="O1375" i="34"/>
  <c r="P1222" i="34"/>
  <c r="O1222" i="34"/>
  <c r="O1303" i="34"/>
  <c r="P1188" i="34"/>
  <c r="O1188" i="34"/>
  <c r="Q1720" i="34"/>
  <c r="P1668" i="34"/>
  <c r="O1668" i="34"/>
  <c r="Q1466" i="34"/>
  <c r="P1832" i="34"/>
  <c r="O1832" i="34"/>
  <c r="O1129" i="34"/>
  <c r="P1200" i="34"/>
  <c r="O1200" i="34"/>
  <c r="P1776" i="34"/>
  <c r="O1776" i="34"/>
  <c r="O1801" i="34"/>
  <c r="Q1581" i="34"/>
  <c r="O1585" i="34"/>
  <c r="Q1653" i="34"/>
  <c r="Q1688" i="34"/>
  <c r="P1496" i="34"/>
  <c r="O1496" i="34"/>
  <c r="O1571" i="34"/>
  <c r="O1377" i="34"/>
  <c r="O1829" i="34"/>
  <c r="Q1833" i="34"/>
  <c r="Q1197" i="34"/>
  <c r="O1201" i="34"/>
  <c r="O1743" i="34"/>
  <c r="O1769" i="34"/>
  <c r="Q1773" i="34"/>
  <c r="O1798" i="34"/>
  <c r="O1825" i="34"/>
  <c r="O1578" i="34"/>
  <c r="Q1609" i="34"/>
  <c r="O1613" i="34"/>
  <c r="Q1681" i="34"/>
  <c r="O1685" i="34"/>
  <c r="O1723" i="34"/>
  <c r="Q1497" i="34"/>
  <c r="O1501" i="34"/>
  <c r="O1523" i="34"/>
  <c r="P1572" i="34"/>
  <c r="O1572" i="34"/>
  <c r="Q1576" i="34"/>
  <c r="O1316" i="34"/>
  <c r="Q1350" i="34"/>
  <c r="P1354" i="34"/>
  <c r="O1354" i="34"/>
  <c r="Q1378" i="34"/>
  <c r="P1382" i="34"/>
  <c r="O1382" i="34"/>
  <c r="Q1415" i="34"/>
  <c r="O1264" i="34"/>
  <c r="P1302" i="34"/>
  <c r="O1302" i="34"/>
  <c r="Q1306" i="34"/>
  <c r="P1310" i="34"/>
  <c r="O1310" i="34"/>
  <c r="Q1768" i="34"/>
  <c r="O1191" i="34"/>
  <c r="O1767" i="34"/>
  <c r="O1721" i="34"/>
  <c r="Q1717" i="34"/>
  <c r="O1702" i="34"/>
  <c r="O1669" i="34"/>
  <c r="Q1665" i="34"/>
  <c r="Q1644" i="34"/>
  <c r="P1640" i="34"/>
  <c r="O1640" i="34"/>
  <c r="Q1636" i="34"/>
  <c r="O1631" i="34"/>
  <c r="Q1545" i="34"/>
  <c r="O1541" i="34"/>
  <c r="Q1475" i="34"/>
  <c r="O1471" i="34"/>
  <c r="Q1467" i="34"/>
  <c r="O1463" i="34"/>
  <c r="O1449" i="34"/>
  <c r="Q1439" i="34"/>
  <c r="O1435" i="34"/>
  <c r="P1374" i="34"/>
  <c r="O1374" i="34"/>
  <c r="P1262" i="34"/>
  <c r="O1262" i="34"/>
  <c r="Q1258" i="34"/>
  <c r="O1245" i="34"/>
  <c r="Q1219" i="34"/>
  <c r="Q1185" i="34"/>
  <c r="O1181" i="34"/>
  <c r="P1164" i="34"/>
  <c r="O1164" i="34"/>
  <c r="Q1160" i="34"/>
  <c r="Q1149" i="34"/>
  <c r="O1145" i="34"/>
  <c r="Q1141" i="34"/>
  <c r="O1137" i="34"/>
  <c r="O69" i="34"/>
  <c r="O77" i="34"/>
  <c r="Q81" i="34"/>
  <c r="P114" i="34"/>
  <c r="O114" i="34"/>
  <c r="Q118" i="34"/>
  <c r="O127" i="34"/>
  <c r="P164" i="34"/>
  <c r="O164" i="34"/>
  <c r="P198" i="34"/>
  <c r="O198" i="34"/>
  <c r="Q925" i="34"/>
  <c r="O929" i="34"/>
  <c r="O934" i="34"/>
  <c r="P944" i="34"/>
  <c r="O944" i="34"/>
  <c r="O961" i="34"/>
  <c r="O975" i="34"/>
  <c r="O980" i="34"/>
  <c r="O996" i="34"/>
  <c r="Q1012" i="34"/>
  <c r="O1027" i="34"/>
  <c r="O1039" i="34"/>
  <c r="Q1053" i="34"/>
  <c r="O1061" i="34"/>
  <c r="O1066" i="34"/>
  <c r="Q1076" i="34"/>
  <c r="O1830" i="34"/>
  <c r="Q1740" i="34"/>
  <c r="O1826" i="34"/>
  <c r="O1502" i="34"/>
  <c r="O1577" i="34"/>
  <c r="Q1379" i="34"/>
  <c r="Q1226" i="34"/>
  <c r="Q1307" i="34"/>
  <c r="Q1705" i="34"/>
  <c r="O1634" i="34"/>
  <c r="P1474" i="34"/>
  <c r="O1474" i="34"/>
  <c r="P1438" i="34"/>
  <c r="O1438" i="34"/>
  <c r="O1261" i="34"/>
  <c r="P1218" i="34"/>
  <c r="Q1184" i="34"/>
  <c r="O1163" i="34"/>
  <c r="Q1148" i="34"/>
  <c r="P1136" i="34"/>
  <c r="O1136" i="34"/>
  <c r="Q70" i="34"/>
  <c r="O82" i="34"/>
  <c r="P160" i="34"/>
  <c r="O160" i="34"/>
  <c r="Q336" i="34"/>
  <c r="Q941" i="34"/>
  <c r="O976" i="34"/>
  <c r="O990" i="34"/>
  <c r="Q1013" i="34"/>
  <c r="Q1040" i="34"/>
  <c r="Q726" i="34"/>
  <c r="O1770" i="34"/>
  <c r="O1610" i="34"/>
  <c r="P1524" i="34"/>
  <c r="O1524" i="34"/>
  <c r="O1351" i="34"/>
  <c r="P1402" i="34"/>
  <c r="O1402" i="34"/>
  <c r="Q1311" i="34"/>
  <c r="P1858" i="34"/>
  <c r="Q1198" i="34"/>
  <c r="P1774" i="34"/>
  <c r="Q1579" i="34"/>
  <c r="P1614" i="34"/>
  <c r="Q1498" i="34"/>
  <c r="P1375" i="34"/>
  <c r="P1303" i="34"/>
  <c r="P1129" i="34"/>
  <c r="Q1746" i="34"/>
  <c r="P1801" i="34"/>
  <c r="P1585" i="34"/>
  <c r="Q1522" i="34"/>
  <c r="P1571" i="34"/>
  <c r="Q1349" i="34"/>
  <c r="P1377" i="34"/>
  <c r="P1829" i="34"/>
  <c r="Q1300" i="34"/>
  <c r="P1201" i="34"/>
  <c r="P1743" i="34"/>
  <c r="P1769" i="34"/>
  <c r="Q1794" i="34"/>
  <c r="P1798" i="34"/>
  <c r="P1825" i="34"/>
  <c r="P1578" i="34"/>
  <c r="Q1582" i="34"/>
  <c r="P1613" i="34"/>
  <c r="P1685" i="34"/>
  <c r="P1723" i="34"/>
  <c r="Q1456" i="34"/>
  <c r="P1501" i="34"/>
  <c r="P1523" i="34"/>
  <c r="Q1527" i="34"/>
  <c r="P1316" i="34"/>
  <c r="Q1401" i="34"/>
  <c r="Q1225" i="34"/>
  <c r="P1264" i="34"/>
  <c r="Q1268" i="34"/>
  <c r="P1191" i="34"/>
  <c r="Q1195" i="34"/>
  <c r="P1767" i="34"/>
  <c r="P1721" i="34"/>
  <c r="Q1706" i="34"/>
  <c r="P1702" i="34"/>
  <c r="P1669" i="34"/>
  <c r="P1631" i="34"/>
  <c r="Q1627" i="34"/>
  <c r="P1541" i="34"/>
  <c r="P1471" i="34"/>
  <c r="P1463" i="34"/>
  <c r="P1449" i="34"/>
  <c r="Q1445" i="34"/>
  <c r="P1435" i="34"/>
  <c r="Q1345" i="34"/>
  <c r="P1245" i="34"/>
  <c r="Q1241" i="34"/>
  <c r="P1215" i="34"/>
  <c r="P1181" i="34"/>
  <c r="P1145" i="34"/>
  <c r="P1137" i="34"/>
  <c r="P69" i="34"/>
  <c r="P77" i="34"/>
  <c r="Q100" i="34"/>
  <c r="Q127" i="34"/>
  <c r="Q158" i="34"/>
  <c r="Q174" i="34"/>
  <c r="Q303" i="34"/>
  <c r="P929" i="34"/>
  <c r="P934" i="34"/>
  <c r="Q938" i="34"/>
  <c r="Q955" i="34"/>
  <c r="P961" i="34"/>
  <c r="P975" i="34"/>
  <c r="P980" i="34"/>
  <c r="Q984" i="34"/>
  <c r="P996" i="34"/>
  <c r="P1027" i="34"/>
  <c r="Q1035" i="34"/>
  <c r="P1039" i="34"/>
  <c r="Q1043" i="34"/>
  <c r="P1061" i="34"/>
  <c r="P1066" i="34"/>
  <c r="P1830" i="34"/>
  <c r="P1826" i="34"/>
  <c r="Q1686" i="34"/>
  <c r="P1502" i="34"/>
  <c r="P1577" i="34"/>
  <c r="Q1220" i="34"/>
  <c r="Q1643" i="34"/>
  <c r="P1634" i="34"/>
  <c r="Q1626" i="34"/>
  <c r="Q1448" i="34"/>
  <c r="Q1373" i="34"/>
  <c r="P1261" i="34"/>
  <c r="Q1244" i="34"/>
  <c r="P1163" i="34"/>
  <c r="P82" i="34"/>
  <c r="P119" i="34"/>
  <c r="Q184" i="34"/>
  <c r="Q930" i="34"/>
  <c r="Q956" i="34"/>
  <c r="P976" i="34"/>
  <c r="P990" i="34"/>
  <c r="Q1130" i="34"/>
  <c r="P1770" i="34"/>
  <c r="Q1799" i="34"/>
  <c r="P1610" i="34"/>
  <c r="Q1738" i="34"/>
  <c r="P1351" i="34"/>
  <c r="Q1265" i="34"/>
  <c r="Q1766" i="34"/>
  <c r="Q1639" i="34"/>
  <c r="P1630" i="34"/>
  <c r="Q1452" i="34"/>
  <c r="P1344" i="34"/>
  <c r="Q1257" i="34"/>
  <c r="P1240" i="34"/>
  <c r="Q1159" i="34"/>
  <c r="P78" i="34"/>
  <c r="Q101" i="34"/>
  <c r="Q115" i="34"/>
  <c r="Q128" i="34"/>
  <c r="Q199" i="34"/>
  <c r="P926" i="34"/>
  <c r="Q935" i="34"/>
  <c r="P981" i="34"/>
  <c r="P1047" i="34"/>
  <c r="O1198" i="34"/>
  <c r="O1579" i="34"/>
  <c r="O1498" i="34"/>
  <c r="O1573" i="34"/>
  <c r="Q1375" i="34"/>
  <c r="Q1222" i="34"/>
  <c r="Q1303" i="34"/>
  <c r="Q1188" i="34"/>
  <c r="P1720" i="34"/>
  <c r="O1720" i="34"/>
  <c r="Q1668" i="34"/>
  <c r="P1466" i="34"/>
  <c r="O1466" i="34"/>
  <c r="Q1832" i="34"/>
  <c r="Q1129" i="34"/>
  <c r="Q1200" i="34"/>
  <c r="O1746" i="34"/>
  <c r="Q1776" i="34"/>
  <c r="Q1801" i="34"/>
  <c r="O1581" i="34"/>
  <c r="Q1585" i="34"/>
  <c r="O1653" i="34"/>
  <c r="P1688" i="34"/>
  <c r="O1688" i="34"/>
  <c r="Q1496" i="34"/>
  <c r="O1522" i="34"/>
  <c r="O1349" i="34"/>
  <c r="Q1829" i="34"/>
  <c r="O1833" i="34"/>
  <c r="O1300" i="34"/>
  <c r="O1197" i="34"/>
  <c r="Q1201" i="34"/>
  <c r="Q1769" i="34"/>
  <c r="O1773" i="34"/>
  <c r="O1794" i="34"/>
  <c r="Q1825" i="34"/>
  <c r="O1582" i="34"/>
  <c r="O1609" i="34"/>
  <c r="Q1613" i="34"/>
  <c r="O1681" i="34"/>
  <c r="Q1685" i="34"/>
  <c r="O1456" i="34"/>
  <c r="O1497" i="34"/>
  <c r="Q1501" i="34"/>
  <c r="O1527" i="34"/>
  <c r="Q1572" i="34"/>
  <c r="P1576" i="34"/>
  <c r="O1576" i="34"/>
  <c r="P1350" i="34"/>
  <c r="O1350" i="34"/>
  <c r="Q1354" i="34"/>
  <c r="P1378" i="34"/>
  <c r="O1378" i="34"/>
  <c r="Q1382" i="34"/>
  <c r="O1401" i="34"/>
  <c r="O1415" i="34"/>
  <c r="O1225" i="34"/>
  <c r="O1268" i="34"/>
  <c r="Q1302" i="34"/>
  <c r="P1306" i="34"/>
  <c r="O1306" i="34"/>
  <c r="Q1310" i="34"/>
  <c r="P1768" i="34"/>
  <c r="O1768" i="34"/>
  <c r="O1195" i="34"/>
  <c r="Q1721" i="34"/>
  <c r="O1717" i="34"/>
  <c r="O1706" i="34"/>
  <c r="Q1669" i="34"/>
  <c r="O1665" i="34"/>
  <c r="P1644" i="34"/>
  <c r="O1644" i="34"/>
  <c r="Q1640" i="34"/>
  <c r="P1636" i="34"/>
  <c r="O1636" i="34"/>
  <c r="O1627" i="34"/>
  <c r="O1545" i="34"/>
  <c r="Q1541" i="34"/>
  <c r="O1475" i="34"/>
  <c r="Q1471" i="34"/>
  <c r="O1467" i="34"/>
  <c r="Q1463" i="34"/>
  <c r="O1445" i="34"/>
  <c r="O1439" i="34"/>
  <c r="Q1435" i="34"/>
  <c r="Q1374" i="34"/>
  <c r="O1345" i="34"/>
  <c r="Q1262" i="34"/>
  <c r="P1258" i="34"/>
  <c r="O1258" i="34"/>
  <c r="O1241" i="34"/>
  <c r="O1219" i="34"/>
  <c r="O1215" i="34"/>
  <c r="O1185" i="34"/>
  <c r="Q1181" i="34"/>
  <c r="Q1164" i="34"/>
  <c r="P1160" i="34"/>
  <c r="O1160" i="34"/>
  <c r="O1149" i="34"/>
  <c r="Q1145" i="34"/>
  <c r="O1141" i="34"/>
  <c r="Q1137" i="34"/>
  <c r="Q77" i="34"/>
  <c r="O81" i="34"/>
  <c r="O100" i="34"/>
  <c r="Q114" i="34"/>
  <c r="P118" i="34"/>
  <c r="O118" i="34"/>
  <c r="O158" i="34"/>
  <c r="Q164" i="34"/>
  <c r="O174" i="34"/>
  <c r="Q198" i="34"/>
  <c r="O303" i="34"/>
  <c r="O925" i="34"/>
  <c r="Q929" i="34"/>
  <c r="O938" i="34"/>
  <c r="Q944" i="34"/>
  <c r="P955" i="34"/>
  <c r="Q975" i="34"/>
  <c r="O984" i="34"/>
  <c r="P1012" i="34"/>
  <c r="O1012" i="34"/>
  <c r="O1035" i="34"/>
  <c r="O1043" i="34"/>
  <c r="O1053" i="34"/>
  <c r="Q1061" i="34"/>
  <c r="P1076" i="34"/>
  <c r="O1076" i="34"/>
  <c r="P1740" i="34"/>
  <c r="O1740" i="34"/>
  <c r="O1686" i="34"/>
  <c r="Q1577" i="34"/>
  <c r="O1379" i="34"/>
  <c r="P1226" i="34"/>
  <c r="O1226" i="34"/>
  <c r="O1307" i="34"/>
  <c r="O1220" i="34"/>
  <c r="O1705" i="34"/>
  <c r="O1643" i="34"/>
  <c r="O1626" i="34"/>
  <c r="Q1474" i="34"/>
  <c r="O1448" i="34"/>
  <c r="Q1438" i="34"/>
  <c r="O1373" i="34"/>
  <c r="O1244" i="34"/>
  <c r="O1218" i="34"/>
  <c r="P1184" i="34"/>
  <c r="O1184" i="34"/>
  <c r="P1148" i="34"/>
  <c r="O1148" i="34"/>
  <c r="Q1136" i="34"/>
  <c r="P70" i="34"/>
  <c r="O70" i="34"/>
  <c r="O119" i="34"/>
  <c r="Q160" i="34"/>
  <c r="P184" i="34"/>
  <c r="O336" i="34"/>
  <c r="O930" i="34"/>
  <c r="O941" i="34"/>
  <c r="O956" i="34"/>
  <c r="Q990" i="34"/>
  <c r="O1013" i="34"/>
  <c r="P1040" i="34"/>
  <c r="O1040" i="34"/>
  <c r="O726" i="34"/>
  <c r="O1130" i="34"/>
  <c r="O1799" i="34"/>
  <c r="O1738" i="34"/>
  <c r="Q1524" i="34"/>
  <c r="Q1351" i="34"/>
  <c r="O1265" i="34"/>
  <c r="O1766" i="34"/>
  <c r="Q1701" i="34"/>
  <c r="Q171" i="34"/>
  <c r="O199" i="34"/>
  <c r="O926" i="34"/>
  <c r="O935" i="34"/>
  <c r="Q948" i="34"/>
  <c r="O1063" i="34"/>
  <c r="O1125" i="34"/>
  <c r="O1874" i="34"/>
  <c r="O1835" i="34"/>
  <c r="O1199" i="34"/>
  <c r="O1741" i="34"/>
  <c r="Q1745" i="34"/>
  <c r="O1775" i="34"/>
  <c r="Q1796" i="34"/>
  <c r="P1800" i="34"/>
  <c r="O1800" i="34"/>
  <c r="P1580" i="34"/>
  <c r="O1580" i="34"/>
  <c r="Q1584" i="34"/>
  <c r="O1611" i="34"/>
  <c r="O1683" i="34"/>
  <c r="O1739" i="34"/>
  <c r="O1499" i="34"/>
  <c r="O1521" i="34"/>
  <c r="Q1525" i="34"/>
  <c r="Q1552" i="34"/>
  <c r="O1574" i="34"/>
  <c r="Q1314" i="34"/>
  <c r="O1348" i="34"/>
  <c r="O1376" i="34"/>
  <c r="Q1399" i="34"/>
  <c r="Q1223" i="34"/>
  <c r="O1227" i="34"/>
  <c r="P1266" i="34"/>
  <c r="O1266" i="34"/>
  <c r="Q1270" i="34"/>
  <c r="O1304" i="34"/>
  <c r="O1312" i="34"/>
  <c r="O1189" i="34"/>
  <c r="Q1193" i="34"/>
  <c r="Q1765" i="34"/>
  <c r="P1708" i="34"/>
  <c r="O1708" i="34"/>
  <c r="Q1704" i="34"/>
  <c r="O1671" i="34"/>
  <c r="O1646" i="34"/>
  <c r="O1638" i="34"/>
  <c r="O1633" i="34"/>
  <c r="Q1629" i="34"/>
  <c r="O1543" i="34"/>
  <c r="O1473" i="34"/>
  <c r="O1465" i="34"/>
  <c r="O1451" i="34"/>
  <c r="Q1447" i="34"/>
  <c r="O1437" i="34"/>
  <c r="O1372" i="34"/>
  <c r="O1343" i="34"/>
  <c r="O1260" i="34"/>
  <c r="Q1243" i="34"/>
  <c r="O1239" i="34"/>
  <c r="O1217" i="34"/>
  <c r="O1183" i="34"/>
  <c r="O1162" i="34"/>
  <c r="O1147" i="34"/>
  <c r="O1139" i="34"/>
  <c r="Q75" i="34"/>
  <c r="Q88" i="34"/>
  <c r="P116" i="34"/>
  <c r="O120" i="34"/>
  <c r="P156" i="34"/>
  <c r="O156" i="34"/>
  <c r="O161" i="34"/>
  <c r="Q172" i="34"/>
  <c r="P301" i="34"/>
  <c r="O301" i="34"/>
  <c r="O927" i="34"/>
  <c r="Q932" i="34"/>
  <c r="P936" i="34"/>
  <c r="O936" i="34"/>
  <c r="O949" i="34"/>
  <c r="O964" i="34"/>
  <c r="P982" i="34"/>
  <c r="O982" i="34"/>
  <c r="O1007" i="34"/>
  <c r="Q1029" i="34"/>
  <c r="O1037" i="34"/>
  <c r="Q1041" i="34"/>
  <c r="Q1048" i="34"/>
  <c r="O1059" i="34"/>
  <c r="Q1064" i="34"/>
  <c r="O1074" i="34"/>
  <c r="P1744" i="34"/>
  <c r="O1744" i="34"/>
  <c r="O1583" i="34"/>
  <c r="O1494" i="34"/>
  <c r="Q1528" i="34"/>
  <c r="Q1347" i="34"/>
  <c r="Q1398" i="34"/>
  <c r="O1269" i="34"/>
  <c r="Q1192" i="34"/>
  <c r="P1716" i="34"/>
  <c r="O1716" i="34"/>
  <c r="Q1664" i="34"/>
  <c r="P1470" i="34"/>
  <c r="O1470" i="34"/>
  <c r="P1196" i="34"/>
  <c r="O1196" i="34"/>
  <c r="P1772" i="34"/>
  <c r="O1772" i="34"/>
  <c r="O1797" i="34"/>
  <c r="P1828" i="34"/>
  <c r="O1828" i="34"/>
  <c r="Q1612" i="34"/>
  <c r="P1684" i="34"/>
  <c r="O1684" i="34"/>
  <c r="P1500" i="34"/>
  <c r="O1500" i="34"/>
  <c r="O1575" i="34"/>
  <c r="O1315" i="34"/>
  <c r="O1353" i="34"/>
  <c r="O1400" i="34"/>
  <c r="Q1414" i="34"/>
  <c r="O1224" i="34"/>
  <c r="O1263" i="34"/>
  <c r="Q1267" i="34"/>
  <c r="O1305" i="34"/>
  <c r="O1313" i="34"/>
  <c r="O1194" i="34"/>
  <c r="O1722" i="34"/>
  <c r="O1707" i="34"/>
  <c r="O1670" i="34"/>
  <c r="Q1645" i="34"/>
  <c r="O1641" i="34"/>
  <c r="Q1637" i="34"/>
  <c r="Q1632" i="34"/>
  <c r="P1628" i="34"/>
  <c r="O1628" i="34"/>
  <c r="O1542" i="34"/>
  <c r="O1472" i="34"/>
  <c r="O1464" i="34"/>
  <c r="Q1450" i="34"/>
  <c r="P1446" i="34"/>
  <c r="O1446" i="34"/>
  <c r="O1436" i="34"/>
  <c r="P1346" i="34"/>
  <c r="O1346" i="34"/>
  <c r="Q1342" i="34"/>
  <c r="Q1259" i="34"/>
  <c r="O1255" i="34"/>
  <c r="P1242" i="34"/>
  <c r="O1242" i="34"/>
  <c r="Q1238" i="34"/>
  <c r="O1216" i="34"/>
  <c r="O1182" i="34"/>
  <c r="Q1161" i="34"/>
  <c r="O1157" i="34"/>
  <c r="O1146" i="34"/>
  <c r="O1138" i="34"/>
  <c r="P76" i="34"/>
  <c r="O76" i="34"/>
  <c r="Q80" i="34"/>
  <c r="O89" i="34"/>
  <c r="O113" i="34"/>
  <c r="Q117" i="34"/>
  <c r="O121" i="34"/>
  <c r="Q157" i="34"/>
  <c r="Q1402" i="34"/>
  <c r="O1311" i="34"/>
  <c r="O1639" i="34"/>
  <c r="O1630" i="34"/>
  <c r="P1544" i="34"/>
  <c r="O1544" i="34"/>
  <c r="Q1478" i="34"/>
  <c r="O1452" i="34"/>
  <c r="P1442" i="34"/>
  <c r="O1442" i="34"/>
  <c r="Q1434" i="34"/>
  <c r="O1344" i="34"/>
  <c r="O1257" i="34"/>
  <c r="O1240" i="34"/>
  <c r="P1214" i="34"/>
  <c r="O1214" i="34"/>
  <c r="Q1180" i="34"/>
  <c r="O1159" i="34"/>
  <c r="P1144" i="34"/>
  <c r="O1144" i="34"/>
  <c r="Q1140" i="34"/>
  <c r="O78" i="34"/>
  <c r="O101" i="34"/>
  <c r="O115" i="34"/>
  <c r="P128" i="34"/>
  <c r="P962" i="34"/>
  <c r="O962" i="34"/>
  <c r="Q997" i="34"/>
  <c r="P1028" i="34"/>
  <c r="O1028" i="34"/>
  <c r="Q1036" i="34"/>
  <c r="O1047" i="34"/>
  <c r="Q1058" i="34"/>
  <c r="P1063" i="34"/>
  <c r="P1125" i="34"/>
  <c r="P1874" i="34"/>
  <c r="Q1831" i="34"/>
  <c r="P1835" i="34"/>
  <c r="Q1131" i="34"/>
  <c r="P1199" i="34"/>
  <c r="P1741" i="34"/>
  <c r="Q1771" i="34"/>
  <c r="P1775" i="34"/>
  <c r="Q1827" i="34"/>
  <c r="P1611" i="34"/>
  <c r="Q1615" i="34"/>
  <c r="P1683" i="34"/>
  <c r="Q1687" i="34"/>
  <c r="P1739" i="34"/>
  <c r="Q1495" i="34"/>
  <c r="P1499" i="34"/>
  <c r="P1521" i="34"/>
  <c r="P1574" i="34"/>
  <c r="P1348" i="34"/>
  <c r="Q1352" i="34"/>
  <c r="P1376" i="34"/>
  <c r="Q1380" i="34"/>
  <c r="Q1413" i="34"/>
  <c r="P1227" i="34"/>
  <c r="P1304" i="34"/>
  <c r="Q1308" i="34"/>
  <c r="P1312" i="34"/>
  <c r="P1189" i="34"/>
  <c r="Q1221" i="34"/>
  <c r="Q1719" i="34"/>
  <c r="P1671" i="34"/>
  <c r="Q1667" i="34"/>
  <c r="P1646" i="34"/>
  <c r="Q1642" i="34"/>
  <c r="P1638" i="34"/>
  <c r="P1633" i="34"/>
  <c r="Q1547" i="34"/>
  <c r="P1543" i="34"/>
  <c r="Q1477" i="34"/>
  <c r="P1473" i="34"/>
  <c r="Q1469" i="34"/>
  <c r="P1465" i="34"/>
  <c r="P1451" i="34"/>
  <c r="Q1441" i="34"/>
  <c r="P1437" i="34"/>
  <c r="Q1428" i="34"/>
  <c r="P1372" i="34"/>
  <c r="P1343" i="34"/>
  <c r="P1260" i="34"/>
  <c r="Q1256" i="34"/>
  <c r="P1239" i="34"/>
  <c r="Q1217" i="34"/>
  <c r="Q1187" i="34"/>
  <c r="P1183" i="34"/>
  <c r="Q1179" i="34"/>
  <c r="P1162" i="34"/>
  <c r="Q1158" i="34"/>
  <c r="P1147" i="34"/>
  <c r="Q1143" i="34"/>
  <c r="P1139" i="34"/>
  <c r="Q60" i="34"/>
  <c r="Q79" i="34"/>
  <c r="Q120" i="34"/>
  <c r="P161" i="34"/>
  <c r="Q185" i="34"/>
  <c r="Q337" i="34"/>
  <c r="P927" i="34"/>
  <c r="Q942" i="34"/>
  <c r="P949" i="34"/>
  <c r="Q957" i="34"/>
  <c r="P964" i="34"/>
  <c r="Q977" i="34"/>
  <c r="Q991" i="34"/>
  <c r="P1007" i="34"/>
  <c r="Q1018" i="34"/>
  <c r="P1037" i="34"/>
  <c r="P1059" i="34"/>
  <c r="P1074" i="34"/>
  <c r="Q1834" i="34"/>
  <c r="Q1795" i="34"/>
  <c r="P1583" i="34"/>
  <c r="Q1682" i="34"/>
  <c r="P1494" i="34"/>
  <c r="P1269" i="34"/>
  <c r="Q1859" i="34"/>
  <c r="Q1742" i="34"/>
  <c r="P1797" i="34"/>
  <c r="Q1421" i="34"/>
  <c r="Q1526" i="34"/>
  <c r="P1575" i="34"/>
  <c r="P1315" i="34"/>
  <c r="P1353" i="34"/>
  <c r="Q1381" i="34"/>
  <c r="P1400" i="34"/>
  <c r="P1224" i="34"/>
  <c r="P1263" i="34"/>
  <c r="Q1301" i="34"/>
  <c r="P1305" i="34"/>
  <c r="Q1309" i="34"/>
  <c r="P1313" i="34"/>
  <c r="Q1190" i="34"/>
  <c r="P1194" i="34"/>
  <c r="Q1135" i="34"/>
  <c r="P1722" i="34"/>
  <c r="O1701" i="34"/>
  <c r="P171" i="34"/>
  <c r="O171" i="34"/>
  <c r="O948" i="34"/>
  <c r="O1058" i="34"/>
  <c r="Q1125" i="34"/>
  <c r="O1831" i="34"/>
  <c r="O1131" i="34"/>
  <c r="Q1741" i="34"/>
  <c r="O1745" i="34"/>
  <c r="O1771" i="34"/>
  <c r="P1796" i="34"/>
  <c r="O1796" i="34"/>
  <c r="Q1800" i="34"/>
  <c r="O1827" i="34"/>
  <c r="Q1580" i="34"/>
  <c r="P1584" i="34"/>
  <c r="O1584" i="34"/>
  <c r="O1615" i="34"/>
  <c r="O1687" i="34"/>
  <c r="O1495" i="34"/>
  <c r="Q1521" i="34"/>
  <c r="O1525" i="34"/>
  <c r="P1552" i="34"/>
  <c r="O1552" i="34"/>
  <c r="P1314" i="34"/>
  <c r="O1314" i="34"/>
  <c r="O1352" i="34"/>
  <c r="O1380" i="34"/>
  <c r="O1399" i="34"/>
  <c r="O1413" i="34"/>
  <c r="O1223" i="34"/>
  <c r="Q1227" i="34"/>
  <c r="Q1266" i="34"/>
  <c r="P1270" i="34"/>
  <c r="O1270" i="34"/>
  <c r="O1308" i="34"/>
  <c r="Q1189" i="34"/>
  <c r="O1193" i="34"/>
  <c r="O1221" i="34"/>
  <c r="O1765" i="34"/>
  <c r="O1719" i="34"/>
  <c r="Q1708" i="34"/>
  <c r="P1704" i="34"/>
  <c r="O1704" i="34"/>
  <c r="O1667" i="34"/>
  <c r="O1642" i="34"/>
  <c r="Q1633" i="34"/>
  <c r="O1629" i="34"/>
  <c r="O1547" i="34"/>
  <c r="O1477" i="34"/>
  <c r="O1469" i="34"/>
  <c r="Q1451" i="34"/>
  <c r="O1447" i="34"/>
  <c r="O1441" i="34"/>
  <c r="O1428" i="34"/>
  <c r="Q1343" i="34"/>
  <c r="O1256" i="34"/>
  <c r="O1243" i="34"/>
  <c r="Q1239" i="34"/>
  <c r="O1187" i="34"/>
  <c r="O1179" i="34"/>
  <c r="O1158" i="34"/>
  <c r="O1143" i="34"/>
  <c r="O60" i="34"/>
  <c r="O75" i="34"/>
  <c r="O79" i="34"/>
  <c r="O88" i="34"/>
  <c r="O112" i="34"/>
  <c r="P112" i="34"/>
  <c r="O116" i="34"/>
  <c r="P120" i="34"/>
  <c r="Q156" i="34"/>
  <c r="Q161" i="34"/>
  <c r="O172" i="34"/>
  <c r="O185" i="34"/>
  <c r="Q301" i="34"/>
  <c r="O337" i="34"/>
  <c r="P932" i="34"/>
  <c r="O932" i="34"/>
  <c r="Q936" i="34"/>
  <c r="O942" i="34"/>
  <c r="O957" i="34"/>
  <c r="O977" i="34"/>
  <c r="Q982" i="34"/>
  <c r="O991" i="34"/>
  <c r="O1018" i="34"/>
  <c r="O1029" i="34"/>
  <c r="Q1037" i="34"/>
  <c r="O1041" i="34"/>
  <c r="P1048" i="34"/>
  <c r="O1048" i="34"/>
  <c r="P1064" i="34"/>
  <c r="O1064" i="34"/>
  <c r="O1834" i="34"/>
  <c r="Q1744" i="34"/>
  <c r="O1795" i="34"/>
  <c r="O1682" i="34"/>
  <c r="P1528" i="34"/>
  <c r="O1528" i="34"/>
  <c r="O1347" i="34"/>
  <c r="P1398" i="34"/>
  <c r="O1398" i="34"/>
  <c r="P1192" i="34"/>
  <c r="O1192" i="34"/>
  <c r="Q1716" i="34"/>
  <c r="P1664" i="34"/>
  <c r="O1664" i="34"/>
  <c r="Q1470" i="34"/>
  <c r="O1859" i="34"/>
  <c r="Q1196" i="34"/>
  <c r="O1742" i="34"/>
  <c r="Q1772" i="34"/>
  <c r="Q1797" i="34"/>
  <c r="Q1828" i="34"/>
  <c r="P1612" i="34"/>
  <c r="O1612" i="34"/>
  <c r="Q1684" i="34"/>
  <c r="O1421" i="34"/>
  <c r="Q1500" i="34"/>
  <c r="O1526" i="34"/>
  <c r="Q1315" i="34"/>
  <c r="O1381" i="34"/>
  <c r="P1414" i="34"/>
  <c r="O1414" i="34"/>
  <c r="Q1263" i="34"/>
  <c r="O1267" i="34"/>
  <c r="O1301" i="34"/>
  <c r="O1309" i="34"/>
  <c r="O1190" i="34"/>
  <c r="O1135" i="34"/>
  <c r="O1718" i="34"/>
  <c r="O1703" i="34"/>
  <c r="O1666" i="34"/>
  <c r="O1645" i="34"/>
  <c r="Q1641" i="34"/>
  <c r="O1637" i="34"/>
  <c r="P1632" i="34"/>
  <c r="O1632" i="34"/>
  <c r="Q1628" i="34"/>
  <c r="O1546" i="34"/>
  <c r="O1476" i="34"/>
  <c r="O1468" i="34"/>
  <c r="P1450" i="34"/>
  <c r="O1450" i="34"/>
  <c r="Q1446" i="34"/>
  <c r="O1440" i="34"/>
  <c r="O1397" i="34"/>
  <c r="Q1346" i="34"/>
  <c r="P1342" i="34"/>
  <c r="O1342" i="34"/>
  <c r="O1259" i="34"/>
  <c r="Q1255" i="34"/>
  <c r="Q1242" i="34"/>
  <c r="P1238" i="34"/>
  <c r="O1238" i="34"/>
  <c r="O1186" i="34"/>
  <c r="O1178" i="34"/>
  <c r="O1161" i="34"/>
  <c r="Q1157" i="34"/>
  <c r="O1142" i="34"/>
  <c r="O61" i="34"/>
  <c r="Q76" i="34"/>
  <c r="P80" i="34"/>
  <c r="Q1544" i="34"/>
  <c r="P1478" i="34"/>
  <c r="O1478" i="34"/>
  <c r="Q1442" i="34"/>
  <c r="P1434" i="34"/>
  <c r="O1434" i="34"/>
  <c r="Q1214" i="34"/>
  <c r="P1180" i="34"/>
  <c r="O1180" i="34"/>
  <c r="Q1144" i="34"/>
  <c r="P1140" i="34"/>
  <c r="O1140" i="34"/>
  <c r="O128" i="34"/>
  <c r="Q962" i="34"/>
  <c r="O981" i="34"/>
  <c r="P997" i="34"/>
  <c r="O997" i="34"/>
  <c r="Q1028" i="34"/>
  <c r="P1036" i="34"/>
  <c r="O1036" i="34"/>
  <c r="Q1047" i="34"/>
  <c r="P1058" i="34"/>
  <c r="Q1063" i="34"/>
  <c r="Q1874" i="34"/>
  <c r="P1831" i="34"/>
  <c r="Q1835" i="34"/>
  <c r="P1131" i="34"/>
  <c r="Q1199" i="34"/>
  <c r="P1745" i="34"/>
  <c r="P1771" i="34"/>
  <c r="Q1775" i="34"/>
  <c r="P1827" i="34"/>
  <c r="Q1611" i="34"/>
  <c r="P1615" i="34"/>
  <c r="Q1683" i="34"/>
  <c r="P1687" i="34"/>
  <c r="Q1739" i="34"/>
  <c r="P1495" i="34"/>
  <c r="Q1499" i="34"/>
  <c r="P1525" i="34"/>
  <c r="Q1574" i="34"/>
  <c r="Q1348" i="34"/>
  <c r="P1352" i="34"/>
  <c r="Q1376" i="34"/>
  <c r="P1380" i="34"/>
  <c r="P1399" i="34"/>
  <c r="P1413" i="34"/>
  <c r="P1223" i="34"/>
  <c r="Q1304" i="34"/>
  <c r="P1308" i="34"/>
  <c r="Q1312" i="34"/>
  <c r="P1193" i="34"/>
  <c r="P1221" i="34"/>
  <c r="P1765" i="34"/>
  <c r="P1719" i="34"/>
  <c r="Q1671" i="34"/>
  <c r="P1667" i="34"/>
  <c r="Q1646" i="34"/>
  <c r="P1642" i="34"/>
  <c r="Q1638" i="34"/>
  <c r="P1629" i="34"/>
  <c r="P1547" i="34"/>
  <c r="Q1543" i="34"/>
  <c r="P1477" i="34"/>
  <c r="Q1473" i="34"/>
  <c r="P1469" i="34"/>
  <c r="Q1465" i="34"/>
  <c r="P1447" i="34"/>
  <c r="P1441" i="34"/>
  <c r="Q1437" i="34"/>
  <c r="P1428" i="34"/>
  <c r="Q1372" i="34"/>
  <c r="Q1260" i="34"/>
  <c r="P1256" i="34"/>
  <c r="P1243" i="34"/>
  <c r="P1217" i="34"/>
  <c r="P1187" i="34"/>
  <c r="Q1183" i="34"/>
  <c r="P1179" i="34"/>
  <c r="Q1162" i="34"/>
  <c r="P1158" i="34"/>
  <c r="Q1147" i="34"/>
  <c r="P1143" i="34"/>
  <c r="Q1139" i="34"/>
  <c r="P60" i="34"/>
  <c r="P75" i="34"/>
  <c r="P79" i="34"/>
  <c r="P88" i="34"/>
  <c r="Q112" i="34"/>
  <c r="Q116" i="34"/>
  <c r="P172" i="34"/>
  <c r="P185" i="34"/>
  <c r="P337" i="34"/>
  <c r="Q927" i="34"/>
  <c r="P942" i="34"/>
  <c r="Q949" i="34"/>
  <c r="P957" i="34"/>
  <c r="Q964" i="34"/>
  <c r="P977" i="34"/>
  <c r="P991" i="34"/>
  <c r="Q1007" i="34"/>
  <c r="P1018" i="34"/>
  <c r="P1029" i="34"/>
  <c r="P1041" i="34"/>
  <c r="Q1059" i="34"/>
  <c r="Q1074" i="34"/>
  <c r="P1834" i="34"/>
  <c r="P1795" i="34"/>
  <c r="Q1583" i="34"/>
  <c r="P1682" i="34"/>
  <c r="Q1494" i="34"/>
  <c r="P1347" i="34"/>
  <c r="Q1269" i="34"/>
  <c r="P1859" i="34"/>
  <c r="P1742" i="34"/>
  <c r="P1421" i="34"/>
  <c r="P1526" i="34"/>
  <c r="Q1575" i="34"/>
  <c r="Q1353" i="34"/>
  <c r="P1381" i="34"/>
  <c r="Q1400" i="34"/>
  <c r="Q1224" i="34"/>
  <c r="P1267" i="34"/>
  <c r="P1301" i="34"/>
  <c r="Q1305" i="34"/>
  <c r="P1309" i="34"/>
  <c r="Q1313" i="34"/>
  <c r="P1190" i="34"/>
  <c r="Q1194" i="34"/>
  <c r="P1135" i="34"/>
  <c r="Q1722" i="34"/>
  <c r="P1718" i="34"/>
  <c r="Q1707" i="34"/>
  <c r="P1703" i="34"/>
  <c r="Q1670" i="34"/>
  <c r="P1666" i="34"/>
  <c r="P1645" i="34"/>
  <c r="P1637" i="34"/>
  <c r="P1546" i="34"/>
  <c r="Q1542" i="34"/>
  <c r="P1476" i="34"/>
  <c r="Q1472" i="34"/>
  <c r="P1468" i="34"/>
  <c r="Q1464" i="34"/>
  <c r="P1440" i="34"/>
  <c r="Q1436" i="34"/>
  <c r="P1397" i="34"/>
  <c r="P1259" i="34"/>
  <c r="Q1216" i="34"/>
  <c r="P1186" i="34"/>
  <c r="Q1182" i="34"/>
  <c r="P1178" i="34"/>
  <c r="P1161" i="34"/>
  <c r="Q1146" i="34"/>
  <c r="P1142" i="34"/>
  <c r="Q1138" i="34"/>
  <c r="P61" i="34"/>
  <c r="Q89" i="34"/>
  <c r="P117" i="34"/>
  <c r="P157" i="34"/>
  <c r="P163" i="34"/>
  <c r="Q173" i="34"/>
  <c r="P197" i="34"/>
  <c r="Q302" i="34"/>
  <c r="P924" i="34"/>
  <c r="P937" i="34"/>
  <c r="P943" i="34"/>
  <c r="P954" i="34"/>
  <c r="P960" i="34"/>
  <c r="Q965" i="34"/>
  <c r="P983" i="34"/>
  <c r="P992" i="34"/>
  <c r="Q1008" i="34"/>
  <c r="P1019" i="34"/>
  <c r="P1707" i="34"/>
  <c r="P1542" i="34"/>
  <c r="P1146" i="34"/>
  <c r="P1008" i="34"/>
  <c r="Q1075" i="34"/>
  <c r="Q61" i="34"/>
  <c r="Q113" i="34"/>
  <c r="P302" i="34"/>
  <c r="Q943" i="34"/>
  <c r="Q983" i="34"/>
  <c r="O1042" i="34"/>
  <c r="O1060" i="34"/>
  <c r="O1075" i="34"/>
  <c r="Q1718" i="34"/>
  <c r="Q1703" i="34"/>
  <c r="Q1666" i="34"/>
  <c r="Q1546" i="34"/>
  <c r="Q1476" i="34"/>
  <c r="Q1468" i="34"/>
  <c r="P1216" i="34"/>
  <c r="P1182" i="34"/>
  <c r="O117" i="34"/>
  <c r="O924" i="34"/>
  <c r="P1436" i="34"/>
  <c r="Q1186" i="34"/>
  <c r="Q1178" i="34"/>
  <c r="P121" i="34"/>
  <c r="O157" i="34"/>
  <c r="O173" i="34"/>
  <c r="P928" i="34"/>
  <c r="O928" i="34"/>
  <c r="O933" i="34"/>
  <c r="Q937" i="34"/>
  <c r="O965" i="34"/>
  <c r="O992" i="34"/>
  <c r="Q1019" i="34"/>
  <c r="P1030" i="34"/>
  <c r="Q1038" i="34"/>
  <c r="P1042" i="34"/>
  <c r="P1065" i="34"/>
  <c r="P1075" i="34"/>
  <c r="O960" i="34"/>
  <c r="Q1052" i="34"/>
  <c r="O1065" i="34"/>
  <c r="Q1440" i="34"/>
  <c r="Q1397" i="34"/>
  <c r="P89" i="34"/>
  <c r="P113" i="34"/>
  <c r="Q163" i="34"/>
  <c r="P173" i="34"/>
  <c r="O197" i="34"/>
  <c r="Q924" i="34"/>
  <c r="P933" i="34"/>
  <c r="O943" i="34"/>
  <c r="Q960" i="34"/>
  <c r="P965" i="34"/>
  <c r="P978" i="34"/>
  <c r="O978" i="34"/>
  <c r="O983" i="34"/>
  <c r="O1008" i="34"/>
  <c r="O1038" i="34"/>
  <c r="P1052" i="34"/>
  <c r="O1052" i="34"/>
  <c r="Q1060" i="34"/>
  <c r="Q1065" i="34"/>
  <c r="P1670" i="34"/>
  <c r="P1641" i="34"/>
  <c r="P1472" i="34"/>
  <c r="P1464" i="34"/>
  <c r="P1255" i="34"/>
  <c r="P1138" i="34"/>
  <c r="Q121" i="34"/>
  <c r="O302" i="34"/>
  <c r="Q928" i="34"/>
  <c r="Q933" i="34"/>
  <c r="O937" i="34"/>
  <c r="O954" i="34"/>
  <c r="Q992" i="34"/>
  <c r="O1019" i="34"/>
  <c r="Q1030" i="34"/>
  <c r="P1038" i="34"/>
  <c r="Q1042" i="34"/>
  <c r="P1157" i="34"/>
  <c r="Q1142" i="34"/>
  <c r="O80" i="34"/>
  <c r="O163" i="34"/>
  <c r="Q197" i="34"/>
  <c r="Q954" i="34"/>
  <c r="Q978" i="34"/>
  <c r="O1030" i="34"/>
  <c r="P1060" i="34"/>
  <c r="Q746" i="34"/>
  <c r="P313" i="34"/>
  <c r="Q1122" i="34"/>
  <c r="O746" i="34"/>
  <c r="O1122" i="34"/>
  <c r="Q286" i="34"/>
  <c r="P746" i="34"/>
  <c r="Q313" i="34"/>
  <c r="P1122" i="34"/>
  <c r="O313" i="34"/>
  <c r="P286" i="34"/>
  <c r="O286" i="34"/>
  <c r="Q230" i="34"/>
  <c r="P170" i="34"/>
  <c r="P212" i="34"/>
  <c r="P245" i="34"/>
  <c r="O230" i="34"/>
  <c r="P239" i="34"/>
  <c r="O239" i="34"/>
  <c r="Q245" i="34"/>
  <c r="P230" i="34"/>
  <c r="Q170" i="34"/>
  <c r="Q212" i="34"/>
  <c r="O170" i="34"/>
  <c r="Q239" i="34"/>
  <c r="O212" i="34"/>
  <c r="O245" i="34"/>
  <c r="O720" i="34"/>
  <c r="P693" i="34"/>
  <c r="Q720" i="34"/>
  <c r="P720" i="34"/>
  <c r="Q693" i="34"/>
  <c r="O693" i="34"/>
  <c r="Q444" i="34"/>
  <c r="P608" i="34"/>
  <c r="P433" i="34"/>
  <c r="O390" i="34"/>
  <c r="O444" i="34"/>
  <c r="P390" i="34"/>
  <c r="P444" i="34"/>
  <c r="Q608" i="34"/>
  <c r="Q433" i="34"/>
  <c r="O608" i="34"/>
  <c r="Q390" i="34"/>
  <c r="O433" i="34"/>
  <c r="Q1711" i="34"/>
  <c r="P973" i="34"/>
  <c r="P1710" i="34"/>
  <c r="Q1854" i="34"/>
  <c r="Q709" i="34"/>
  <c r="Q972" i="34"/>
  <c r="P1085" i="34"/>
  <c r="P1093" i="34"/>
  <c r="P1101" i="34"/>
  <c r="P1109" i="34"/>
  <c r="P1150" i="34"/>
  <c r="Q1154" i="34"/>
  <c r="P1166" i="34"/>
  <c r="Q1236" i="34"/>
  <c r="Q1429" i="34"/>
  <c r="P1433" i="34"/>
  <c r="P1459" i="34"/>
  <c r="Q1539" i="34"/>
  <c r="P1647" i="34"/>
  <c r="P1662" i="34"/>
  <c r="P210" i="34"/>
  <c r="P224" i="34"/>
  <c r="P240" i="34"/>
  <c r="P260" i="34"/>
  <c r="Q265" i="34"/>
  <c r="Q1078" i="34"/>
  <c r="P1082" i="34"/>
  <c r="Q189" i="34"/>
  <c r="P721" i="34"/>
  <c r="Q326" i="34"/>
  <c r="P403" i="34"/>
  <c r="Q280" i="34"/>
  <c r="P361" i="34"/>
  <c r="Q367" i="34"/>
  <c r="P425" i="34"/>
  <c r="Q474" i="34"/>
  <c r="P479" i="34"/>
  <c r="Q511" i="34"/>
  <c r="P518" i="34"/>
  <c r="Q556" i="34"/>
  <c r="Q592" i="34"/>
  <c r="Q607" i="34"/>
  <c r="P642" i="34"/>
  <c r="P1086" i="34"/>
  <c r="Q1090" i="34"/>
  <c r="P1094" i="34"/>
  <c r="Q1098" i="34"/>
  <c r="P1102" i="34"/>
  <c r="Q1106" i="34"/>
  <c r="P1110" i="34"/>
  <c r="Q1114" i="34"/>
  <c r="P1625" i="34"/>
  <c r="P1847" i="34"/>
  <c r="Q1151" i="34"/>
  <c r="P1155" i="34"/>
  <c r="Q1167" i="34"/>
  <c r="P1237" i="34"/>
  <c r="Q1408" i="34"/>
  <c r="P1443" i="34"/>
  <c r="P1460" i="34"/>
  <c r="Q1480" i="34"/>
  <c r="Q218" i="34"/>
  <c r="P226" i="34"/>
  <c r="P232" i="34"/>
  <c r="Q241" i="34"/>
  <c r="Q251" i="34"/>
  <c r="P256" i="34"/>
  <c r="Q261" i="34"/>
  <c r="Q341" i="34"/>
  <c r="P1079" i="34"/>
  <c r="P168" i="34"/>
  <c r="Q722" i="34"/>
  <c r="P200" i="34"/>
  <c r="P206" i="34"/>
  <c r="P466" i="34"/>
  <c r="P271" i="34"/>
  <c r="P281" i="34"/>
  <c r="Q362" i="34"/>
  <c r="P369" i="34"/>
  <c r="Q422" i="34"/>
  <c r="P426" i="34"/>
  <c r="Q471" i="34"/>
  <c r="Q519" i="34"/>
  <c r="P547" i="34"/>
  <c r="P559" i="34"/>
  <c r="Q563" i="34"/>
  <c r="P602" i="34"/>
  <c r="P682" i="34"/>
  <c r="P525" i="34"/>
  <c r="P861" i="34"/>
  <c r="Q1698" i="34"/>
  <c r="P1850" i="34"/>
  <c r="Q526" i="34"/>
  <c r="Q862" i="34"/>
  <c r="Q1083" i="34"/>
  <c r="P1087" i="34"/>
  <c r="Q1091" i="34"/>
  <c r="P1095" i="34"/>
  <c r="Q1099" i="34"/>
  <c r="P1103" i="34"/>
  <c r="Q1107" i="34"/>
  <c r="P1111" i="34"/>
  <c r="Q1126" i="34"/>
  <c r="Q1623" i="34"/>
  <c r="P1280" i="34"/>
  <c r="Q1424" i="34"/>
  <c r="Q1444" i="34"/>
  <c r="P1537" i="34"/>
  <c r="P1649" i="34"/>
  <c r="P1658" i="34"/>
  <c r="P214" i="34"/>
  <c r="Q222" i="34"/>
  <c r="Q233" i="34"/>
  <c r="P242" i="34"/>
  <c r="P252" i="34"/>
  <c r="P257" i="34"/>
  <c r="Q342" i="34"/>
  <c r="Q169" i="34"/>
  <c r="P723" i="34"/>
  <c r="Q208" i="34"/>
  <c r="Q467" i="34"/>
  <c r="P268" i="34"/>
  <c r="P363" i="34"/>
  <c r="Q423" i="34"/>
  <c r="P505" i="34"/>
  <c r="P539" i="34"/>
  <c r="P544" i="34"/>
  <c r="Q548" i="34"/>
  <c r="P560" i="34"/>
  <c r="P566" i="34"/>
  <c r="Q603" i="34"/>
  <c r="P1697" i="34"/>
  <c r="Q1070" i="34"/>
  <c r="P1699" i="34"/>
  <c r="P1709" i="34"/>
  <c r="Q1453" i="34"/>
  <c r="P640" i="34"/>
  <c r="P1127" i="34"/>
  <c r="P1423" i="34"/>
  <c r="P1851" i="34"/>
  <c r="P1133" i="34"/>
  <c r="P1165" i="34"/>
  <c r="Q1281" i="34"/>
  <c r="P1425" i="34"/>
  <c r="Q1432" i="34"/>
  <c r="Q1481" i="34"/>
  <c r="P1538" i="34"/>
  <c r="Q1635" i="34"/>
  <c r="P1655" i="34"/>
  <c r="Q215" i="34"/>
  <c r="Q229" i="34"/>
  <c r="P234" i="34"/>
  <c r="O249" i="34"/>
  <c r="P253" i="34"/>
  <c r="P259" i="34"/>
  <c r="P1081" i="34"/>
  <c r="P188" i="34"/>
  <c r="P724" i="34"/>
  <c r="P202" i="34"/>
  <c r="P325" i="34"/>
  <c r="P402" i="34"/>
  <c r="P468" i="34"/>
  <c r="Q269" i="34"/>
  <c r="Q360" i="34"/>
  <c r="P366" i="34"/>
  <c r="P428" i="34"/>
  <c r="Q478" i="34"/>
  <c r="P510" i="34"/>
  <c r="Q514" i="34"/>
  <c r="P541" i="34"/>
  <c r="Q545" i="34"/>
  <c r="P555" i="34"/>
  <c r="P567" i="34"/>
  <c r="Q599" i="34"/>
  <c r="P604" i="34"/>
  <c r="P692" i="34"/>
  <c r="P1068" i="34"/>
  <c r="O1096" i="34"/>
  <c r="O1711" i="34"/>
  <c r="P1700" i="34"/>
  <c r="O1700" i="34"/>
  <c r="O1854" i="34"/>
  <c r="Q1482" i="34"/>
  <c r="P641" i="34"/>
  <c r="O641" i="34"/>
  <c r="O972" i="34"/>
  <c r="O1069" i="34"/>
  <c r="Q1085" i="34"/>
  <c r="O1089" i="34"/>
  <c r="Q1093" i="34"/>
  <c r="O1097" i="34"/>
  <c r="Q1101" i="34"/>
  <c r="O1105" i="34"/>
  <c r="Q1109" i="34"/>
  <c r="O1113" i="34"/>
  <c r="P1128" i="34"/>
  <c r="O1128" i="34"/>
  <c r="Q1624" i="34"/>
  <c r="P1852" i="34"/>
  <c r="O1852" i="34"/>
  <c r="O1154" i="34"/>
  <c r="O1236" i="34"/>
  <c r="O1279" i="34"/>
  <c r="O1429" i="34"/>
  <c r="Q1459" i="34"/>
  <c r="O1479" i="34"/>
  <c r="O1539" i="34"/>
  <c r="P1656" i="34"/>
  <c r="O1656" i="34"/>
  <c r="Q210" i="34"/>
  <c r="O217" i="34"/>
  <c r="Q224" i="34"/>
  <c r="Q231" i="34"/>
  <c r="Q240" i="34"/>
  <c r="Q250" i="34"/>
  <c r="P254" i="34"/>
  <c r="O254" i="34"/>
  <c r="O265" i="34"/>
  <c r="O308" i="34"/>
  <c r="O1078" i="34"/>
  <c r="O189" i="34"/>
  <c r="P725" i="34"/>
  <c r="O725" i="34"/>
  <c r="Q205" i="34"/>
  <c r="O326" i="34"/>
  <c r="P524" i="34"/>
  <c r="O524" i="34"/>
  <c r="Q270" i="34"/>
  <c r="O280" i="34"/>
  <c r="Q361" i="34"/>
  <c r="P367" i="34"/>
  <c r="O421" i="34"/>
  <c r="Q425" i="34"/>
  <c r="O470" i="34"/>
  <c r="O474" i="34"/>
  <c r="O511" i="34"/>
  <c r="P542" i="34"/>
  <c r="O542" i="34"/>
  <c r="Q546" i="34"/>
  <c r="O556" i="34"/>
  <c r="O562" i="34"/>
  <c r="P592" i="34"/>
  <c r="Q601" i="34"/>
  <c r="O607" i="34"/>
  <c r="O1725" i="34"/>
  <c r="Q642" i="34"/>
  <c r="O1090" i="34"/>
  <c r="O1098" i="34"/>
  <c r="O1106" i="34"/>
  <c r="O1114" i="34"/>
  <c r="Q1426" i="34"/>
  <c r="Q1625" i="34"/>
  <c r="O1151" i="34"/>
  <c r="O1167" i="34"/>
  <c r="O1408" i="34"/>
  <c r="Q1430" i="34"/>
  <c r="Q1443" i="34"/>
  <c r="O1480" i="34"/>
  <c r="Q1540" i="34"/>
  <c r="P1648" i="34"/>
  <c r="O1648" i="34"/>
  <c r="O1657" i="34"/>
  <c r="P694" i="34"/>
  <c r="O694" i="34"/>
  <c r="Q213" i="34"/>
  <c r="O218" i="34"/>
  <c r="Q232" i="34"/>
  <c r="P251" i="34"/>
  <c r="O261" i="34"/>
  <c r="Q266" i="34"/>
  <c r="O341" i="34"/>
  <c r="Q168" i="34"/>
  <c r="Q190" i="34"/>
  <c r="P722" i="34"/>
  <c r="Q206" i="34"/>
  <c r="Q327" i="34"/>
  <c r="Q466" i="34"/>
  <c r="O267" i="34"/>
  <c r="Q271" i="34"/>
  <c r="P362" i="34"/>
  <c r="O422" i="34"/>
  <c r="O471" i="34"/>
  <c r="Q476" i="34"/>
  <c r="P504" i="34"/>
  <c r="O504" i="34"/>
  <c r="Q512" i="34"/>
  <c r="O519" i="34"/>
  <c r="O543" i="34"/>
  <c r="Q547" i="34"/>
  <c r="O563" i="34"/>
  <c r="O593" i="34"/>
  <c r="Q602" i="34"/>
  <c r="Q525" i="34"/>
  <c r="O1698" i="34"/>
  <c r="Q1712" i="34"/>
  <c r="P1848" i="34"/>
  <c r="O1848" i="34"/>
  <c r="O526" i="34"/>
  <c r="O707" i="34"/>
  <c r="O862" i="34"/>
  <c r="Q974" i="34"/>
  <c r="O1083" i="34"/>
  <c r="O1091" i="34"/>
  <c r="O1099" i="34"/>
  <c r="O1107" i="34"/>
  <c r="O1126" i="34"/>
  <c r="O1427" i="34"/>
  <c r="O1623" i="34"/>
  <c r="Q1132" i="34"/>
  <c r="P1152" i="34"/>
  <c r="O1152" i="34"/>
  <c r="Q1156" i="34"/>
  <c r="P1168" i="34"/>
  <c r="O1168" i="34"/>
  <c r="O1424" i="34"/>
  <c r="O1431" i="34"/>
  <c r="O1444" i="34"/>
  <c r="Q1462" i="34"/>
  <c r="Q1537" i="34"/>
  <c r="Q1548" i="34"/>
  <c r="Q1649" i="34"/>
  <c r="Q719" i="34"/>
  <c r="O719" i="34"/>
  <c r="O222" i="34"/>
  <c r="Q227" i="34"/>
  <c r="O233" i="34"/>
  <c r="Q252" i="34"/>
  <c r="P262" i="34"/>
  <c r="O262" i="34"/>
  <c r="Q304" i="34"/>
  <c r="O342" i="34"/>
  <c r="Q1080" i="34"/>
  <c r="O169" i="34"/>
  <c r="O243" i="34"/>
  <c r="Q723" i="34"/>
  <c r="Q201" i="34"/>
  <c r="O208" i="34"/>
  <c r="Q401" i="34"/>
  <c r="O467" i="34"/>
  <c r="P278" i="34"/>
  <c r="O278" i="34"/>
  <c r="O359" i="34"/>
  <c r="Q363" i="34"/>
  <c r="Q370" i="34"/>
  <c r="O423" i="34"/>
  <c r="Q427" i="34"/>
  <c r="P472" i="34"/>
  <c r="O472" i="34"/>
  <c r="O477" i="34"/>
  <c r="Q505" i="34"/>
  <c r="O513" i="34"/>
  <c r="Q539" i="34"/>
  <c r="O548" i="34"/>
  <c r="Q566" i="34"/>
  <c r="O598" i="34"/>
  <c r="O603" i="34"/>
  <c r="Q683" i="34"/>
  <c r="Q1697" i="34"/>
  <c r="O1849" i="34"/>
  <c r="O1070" i="34"/>
  <c r="Q1709" i="34"/>
  <c r="O1853" i="34"/>
  <c r="O1453" i="34"/>
  <c r="P708" i="34"/>
  <c r="O708" i="34"/>
  <c r="Q863" i="34"/>
  <c r="O1068" i="34"/>
  <c r="Q1084" i="34"/>
  <c r="P1088" i="34"/>
  <c r="O1088" i="34"/>
  <c r="Q1092" i="34"/>
  <c r="P1096" i="34"/>
  <c r="Q1100" i="34"/>
  <c r="P1711" i="34"/>
  <c r="Q973" i="34"/>
  <c r="Q1710" i="34"/>
  <c r="P1854" i="34"/>
  <c r="P709" i="34"/>
  <c r="P972" i="34"/>
  <c r="P1069" i="34"/>
  <c r="P1089" i="34"/>
  <c r="P1097" i="34"/>
  <c r="P1105" i="34"/>
  <c r="P1113" i="34"/>
  <c r="Q1150" i="34"/>
  <c r="P1154" i="34"/>
  <c r="Q1166" i="34"/>
  <c r="P1236" i="34"/>
  <c r="P1279" i="34"/>
  <c r="P1429" i="34"/>
  <c r="Q1433" i="34"/>
  <c r="P1479" i="34"/>
  <c r="P1539" i="34"/>
  <c r="Q1647" i="34"/>
  <c r="Q1662" i="34"/>
  <c r="P217" i="34"/>
  <c r="Q260" i="34"/>
  <c r="P265" i="34"/>
  <c r="P308" i="34"/>
  <c r="P1078" i="34"/>
  <c r="Q1082" i="34"/>
  <c r="P189" i="34"/>
  <c r="Q721" i="34"/>
  <c r="P326" i="34"/>
  <c r="Q403" i="34"/>
  <c r="P280" i="34"/>
  <c r="P421" i="34"/>
  <c r="P470" i="34"/>
  <c r="P474" i="34"/>
  <c r="Q479" i="34"/>
  <c r="P511" i="34"/>
  <c r="Q518" i="34"/>
  <c r="P556" i="34"/>
  <c r="P562" i="34"/>
  <c r="P607" i="34"/>
  <c r="P1725" i="34"/>
  <c r="Q1086" i="34"/>
  <c r="P1090" i="34"/>
  <c r="Q1094" i="34"/>
  <c r="P1098" i="34"/>
  <c r="Q1102" i="34"/>
  <c r="P1106" i="34"/>
  <c r="Q1110" i="34"/>
  <c r="P1114" i="34"/>
  <c r="Q1847" i="34"/>
  <c r="P1151" i="34"/>
  <c r="Q1155" i="34"/>
  <c r="P1167" i="34"/>
  <c r="Q1237" i="34"/>
  <c r="P1408" i="34"/>
  <c r="Q1460" i="34"/>
  <c r="P1480" i="34"/>
  <c r="P1657" i="34"/>
  <c r="P218" i="34"/>
  <c r="Q226" i="34"/>
  <c r="P241" i="34"/>
  <c r="O251" i="34"/>
  <c r="Q256" i="34"/>
  <c r="P261" i="34"/>
  <c r="P341" i="34"/>
  <c r="Q1079" i="34"/>
  <c r="Q200" i="34"/>
  <c r="P267" i="34"/>
  <c r="Q281" i="34"/>
  <c r="Q369" i="34"/>
  <c r="P422" i="34"/>
  <c r="Q426" i="34"/>
  <c r="P471" i="34"/>
  <c r="P519" i="34"/>
  <c r="P543" i="34"/>
  <c r="Q559" i="34"/>
  <c r="P563" i="34"/>
  <c r="P593" i="34"/>
  <c r="Q682" i="34"/>
  <c r="Q861" i="34"/>
  <c r="P1698" i="34"/>
  <c r="Q1850" i="34"/>
  <c r="P526" i="34"/>
  <c r="P707" i="34"/>
  <c r="P862" i="34"/>
  <c r="P1083" i="34"/>
  <c r="Q1087" i="34"/>
  <c r="P1091" i="34"/>
  <c r="Q1095" i="34"/>
  <c r="P1099" i="34"/>
  <c r="Q1103" i="34"/>
  <c r="P1107" i="34"/>
  <c r="Q1111" i="34"/>
  <c r="P1126" i="34"/>
  <c r="P1427" i="34"/>
  <c r="P1623" i="34"/>
  <c r="Q1280" i="34"/>
  <c r="P1424" i="34"/>
  <c r="P1431" i="34"/>
  <c r="P1444" i="34"/>
  <c r="Q1658" i="34"/>
  <c r="Q214" i="34"/>
  <c r="P222" i="34"/>
  <c r="P233" i="34"/>
  <c r="Q242" i="34"/>
  <c r="Q257" i="34"/>
  <c r="P342" i="34"/>
  <c r="P169" i="34"/>
  <c r="Q243" i="34"/>
  <c r="P208" i="34"/>
  <c r="P467" i="34"/>
  <c r="Q268" i="34"/>
  <c r="P359" i="34"/>
  <c r="P423" i="34"/>
  <c r="P477" i="34"/>
  <c r="P513" i="34"/>
  <c r="Q544" i="34"/>
  <c r="P548" i="34"/>
  <c r="Q560" i="34"/>
  <c r="P598" i="34"/>
  <c r="P603" i="34"/>
  <c r="P1849" i="34"/>
  <c r="P1070" i="34"/>
  <c r="Q1699" i="34"/>
  <c r="P1853" i="34"/>
  <c r="P1453" i="34"/>
  <c r="Q640" i="34"/>
  <c r="Q1127" i="34"/>
  <c r="Q1851" i="34"/>
  <c r="P1153" i="34"/>
  <c r="P1281" i="34"/>
  <c r="Q1425" i="34"/>
  <c r="P1432" i="34"/>
  <c r="P1481" i="34"/>
  <c r="Q1538" i="34"/>
  <c r="P1635" i="34"/>
  <c r="Q1655" i="34"/>
  <c r="P215" i="34"/>
  <c r="P229" i="34"/>
  <c r="Q234" i="34"/>
  <c r="Q253" i="34"/>
  <c r="P263" i="34"/>
  <c r="P1077" i="34"/>
  <c r="Q188" i="34"/>
  <c r="Q724" i="34"/>
  <c r="Q325" i="34"/>
  <c r="Q468" i="34"/>
  <c r="P269" i="34"/>
  <c r="P279" i="34"/>
  <c r="P360" i="34"/>
  <c r="Q366" i="34"/>
  <c r="P478" i="34"/>
  <c r="Q510" i="34"/>
  <c r="P514" i="34"/>
  <c r="Q541" i="34"/>
  <c r="P545" i="34"/>
  <c r="Q555" i="34"/>
  <c r="Q567" i="34"/>
  <c r="P599" i="34"/>
  <c r="Q604" i="34"/>
  <c r="P209" i="34"/>
  <c r="O253" i="34"/>
  <c r="Q263" i="34"/>
  <c r="Q1077" i="34"/>
  <c r="O1081" i="34"/>
  <c r="P244" i="34"/>
  <c r="O202" i="34"/>
  <c r="O402" i="34"/>
  <c r="O973" i="34"/>
  <c r="Q1700" i="34"/>
  <c r="O1710" i="34"/>
  <c r="P1482" i="34"/>
  <c r="O1482" i="34"/>
  <c r="Q641" i="34"/>
  <c r="O709" i="34"/>
  <c r="Q1069" i="34"/>
  <c r="O1085" i="34"/>
  <c r="Q1089" i="34"/>
  <c r="O1093" i="34"/>
  <c r="Q1097" i="34"/>
  <c r="O1101" i="34"/>
  <c r="Q1105" i="34"/>
  <c r="O1109" i="34"/>
  <c r="Q1113" i="34"/>
  <c r="Q1128" i="34"/>
  <c r="P1624" i="34"/>
  <c r="O1624" i="34"/>
  <c r="Q1852" i="34"/>
  <c r="O1150" i="34"/>
  <c r="O1166" i="34"/>
  <c r="Q1279" i="34"/>
  <c r="O1433" i="34"/>
  <c r="O1459" i="34"/>
  <c r="Q1479" i="34"/>
  <c r="O1647" i="34"/>
  <c r="Q1656" i="34"/>
  <c r="O1662" i="34"/>
  <c r="O210" i="34"/>
  <c r="Q217" i="34"/>
  <c r="O224" i="34"/>
  <c r="P231" i="34"/>
  <c r="O231" i="34"/>
  <c r="O240" i="34"/>
  <c r="P250" i="34"/>
  <c r="O250" i="34"/>
  <c r="Q254" i="34"/>
  <c r="O260" i="34"/>
  <c r="Q308" i="34"/>
  <c r="O1082" i="34"/>
  <c r="O721" i="34"/>
  <c r="Q725" i="34"/>
  <c r="P205" i="34"/>
  <c r="O205" i="34"/>
  <c r="O403" i="34"/>
  <c r="Q524" i="34"/>
  <c r="P270" i="34"/>
  <c r="O270" i="34"/>
  <c r="O361" i="34"/>
  <c r="O367" i="34"/>
  <c r="Q421" i="34"/>
  <c r="O425" i="34"/>
  <c r="Q470" i="34"/>
  <c r="O479" i="34"/>
  <c r="O518" i="34"/>
  <c r="Q542" i="34"/>
  <c r="P546" i="34"/>
  <c r="O546" i="34"/>
  <c r="Q562" i="34"/>
  <c r="O592" i="34"/>
  <c r="P601" i="34"/>
  <c r="O601" i="34"/>
  <c r="Q1725" i="34"/>
  <c r="O642" i="34"/>
  <c r="O1086" i="34"/>
  <c r="O1094" i="34"/>
  <c r="O1102" i="34"/>
  <c r="O1110" i="34"/>
  <c r="P1426" i="34"/>
  <c r="O1426" i="34"/>
  <c r="O1625" i="34"/>
  <c r="O1847" i="34"/>
  <c r="O1155" i="34"/>
  <c r="O1237" i="34"/>
  <c r="P1430" i="34"/>
  <c r="O1430" i="34"/>
  <c r="O1443" i="34"/>
  <c r="O1460" i="34"/>
  <c r="P1540" i="34"/>
  <c r="O1540" i="34"/>
  <c r="Q1648" i="34"/>
  <c r="Q1657" i="34"/>
  <c r="Q694" i="34"/>
  <c r="P213" i="34"/>
  <c r="O213" i="34"/>
  <c r="O226" i="34"/>
  <c r="O232" i="34"/>
  <c r="O241" i="34"/>
  <c r="O256" i="34"/>
  <c r="P266" i="34"/>
  <c r="O266" i="34"/>
  <c r="O1079" i="34"/>
  <c r="O168" i="34"/>
  <c r="P190" i="34"/>
  <c r="O190" i="34"/>
  <c r="O722" i="34"/>
  <c r="O200" i="34"/>
  <c r="O206" i="34"/>
  <c r="P327" i="34"/>
  <c r="O327" i="34"/>
  <c r="O466" i="34"/>
  <c r="Q267" i="34"/>
  <c r="O271" i="34"/>
  <c r="O281" i="34"/>
  <c r="O362" i="34"/>
  <c r="O369" i="34"/>
  <c r="O426" i="34"/>
  <c r="P476" i="34"/>
  <c r="O476" i="34"/>
  <c r="Q504" i="34"/>
  <c r="P512" i="34"/>
  <c r="O512" i="34"/>
  <c r="Q543" i="34"/>
  <c r="O547" i="34"/>
  <c r="O559" i="34"/>
  <c r="Q593" i="34"/>
  <c r="O602" i="34"/>
  <c r="O682" i="34"/>
  <c r="O525" i="34"/>
  <c r="O861" i="34"/>
  <c r="P1712" i="34"/>
  <c r="O1712" i="34"/>
  <c r="Q1848" i="34"/>
  <c r="O1850" i="34"/>
  <c r="Q707" i="34"/>
  <c r="P974" i="34"/>
  <c r="O974" i="34"/>
  <c r="O1087" i="34"/>
  <c r="O1095" i="34"/>
  <c r="O1103" i="34"/>
  <c r="O1111" i="34"/>
  <c r="Q1427" i="34"/>
  <c r="P1132" i="34"/>
  <c r="O1132" i="34"/>
  <c r="Q1152" i="34"/>
  <c r="P1156" i="34"/>
  <c r="O1156" i="34"/>
  <c r="Q1168" i="34"/>
  <c r="O1280" i="34"/>
  <c r="Q1431" i="34"/>
  <c r="P1462" i="34"/>
  <c r="O1462" i="34"/>
  <c r="O1537" i="34"/>
  <c r="P1548" i="34"/>
  <c r="O1548" i="34"/>
  <c r="O1649" i="34"/>
  <c r="O1658" i="34"/>
  <c r="P719" i="34"/>
  <c r="O214" i="34"/>
  <c r="P227" i="34"/>
  <c r="O227" i="34"/>
  <c r="O242" i="34"/>
  <c r="O252" i="34"/>
  <c r="O257" i="34"/>
  <c r="Q262" i="34"/>
  <c r="P304" i="34"/>
  <c r="O304" i="34"/>
  <c r="P1080" i="34"/>
  <c r="O1080" i="34"/>
  <c r="P243" i="34"/>
  <c r="O723" i="34"/>
  <c r="P201" i="34"/>
  <c r="O201" i="34"/>
  <c r="P401" i="34"/>
  <c r="O401" i="34"/>
  <c r="O268" i="34"/>
  <c r="Q278" i="34"/>
  <c r="Q359" i="34"/>
  <c r="O363" i="34"/>
  <c r="P370" i="34"/>
  <c r="O370" i="34"/>
  <c r="P427" i="34"/>
  <c r="O427" i="34"/>
  <c r="Q472" i="34"/>
  <c r="Q477" i="34"/>
  <c r="O505" i="34"/>
  <c r="Q513" i="34"/>
  <c r="O539" i="34"/>
  <c r="O544" i="34"/>
  <c r="O560" i="34"/>
  <c r="O566" i="34"/>
  <c r="Q598" i="34"/>
  <c r="P683" i="34"/>
  <c r="O683" i="34"/>
  <c r="O1697" i="34"/>
  <c r="Q1849" i="34"/>
  <c r="O1699" i="34"/>
  <c r="O1709" i="34"/>
  <c r="Q1853" i="34"/>
  <c r="O640" i="34"/>
  <c r="Q708" i="34"/>
  <c r="P863" i="34"/>
  <c r="O863" i="34"/>
  <c r="Q1068" i="34"/>
  <c r="P1084" i="34"/>
  <c r="O1084" i="34"/>
  <c r="Q1088" i="34"/>
  <c r="P1092" i="34"/>
  <c r="O1092" i="34"/>
  <c r="Q1096" i="34"/>
  <c r="P1100" i="34"/>
  <c r="O1100" i="34"/>
  <c r="Q1104" i="34"/>
  <c r="P1108" i="34"/>
  <c r="O1108" i="34"/>
  <c r="Q1112" i="34"/>
  <c r="O1127" i="34"/>
  <c r="O1423" i="34"/>
  <c r="O1851" i="34"/>
  <c r="O1133" i="34"/>
  <c r="Q1153" i="34"/>
  <c r="O1165" i="34"/>
  <c r="P1204" i="34"/>
  <c r="O1204" i="34"/>
  <c r="O1425" i="34"/>
  <c r="P1458" i="34"/>
  <c r="O1458" i="34"/>
  <c r="O1538" i="34"/>
  <c r="O1655" i="34"/>
  <c r="Q1660" i="34"/>
  <c r="O209" i="34"/>
  <c r="P223" i="34"/>
  <c r="O223" i="34"/>
  <c r="O234" i="34"/>
  <c r="O259" i="34"/>
  <c r="Q307" i="34"/>
  <c r="O188" i="34"/>
  <c r="O724" i="34"/>
  <c r="O325" i="34"/>
  <c r="O567" i="34"/>
  <c r="Q1108" i="34"/>
  <c r="O1635" i="34"/>
  <c r="O279" i="34"/>
  <c r="P473" i="34"/>
  <c r="O1104" i="34"/>
  <c r="O1432" i="34"/>
  <c r="O1481" i="34"/>
  <c r="Q209" i="34"/>
  <c r="Q223" i="34"/>
  <c r="O1077" i="34"/>
  <c r="Q420" i="34"/>
  <c r="P424" i="34"/>
  <c r="O424" i="34"/>
  <c r="O428" i="34"/>
  <c r="O604" i="34"/>
  <c r="P1104" i="34"/>
  <c r="O1112" i="34"/>
  <c r="Q1133" i="34"/>
  <c r="Q1165" i="34"/>
  <c r="O1281" i="34"/>
  <c r="Q1458" i="34"/>
  <c r="O1660" i="34"/>
  <c r="P249" i="34"/>
  <c r="O307" i="34"/>
  <c r="O244" i="34"/>
  <c r="Q402" i="34"/>
  <c r="O468" i="34"/>
  <c r="O269" i="34"/>
  <c r="Q279" i="34"/>
  <c r="O473" i="34"/>
  <c r="O478" i="34"/>
  <c r="O510" i="34"/>
  <c r="O514" i="34"/>
  <c r="O541" i="34"/>
  <c r="O545" i="34"/>
  <c r="O555" i="34"/>
  <c r="P561" i="34"/>
  <c r="O561" i="34"/>
  <c r="O692" i="34"/>
  <c r="P1112" i="34"/>
  <c r="Q1423" i="34"/>
  <c r="O1153" i="34"/>
  <c r="Q1204" i="34"/>
  <c r="P1660" i="34"/>
  <c r="Q249" i="34"/>
  <c r="Q259" i="34"/>
  <c r="P307" i="34"/>
  <c r="Q244" i="34"/>
  <c r="Q202" i="34"/>
  <c r="O360" i="34"/>
  <c r="O366" i="34"/>
  <c r="P420" i="34"/>
  <c r="O420" i="34"/>
  <c r="Q424" i="34"/>
  <c r="Q428" i="34"/>
  <c r="O215" i="34"/>
  <c r="O229" i="34"/>
  <c r="O263" i="34"/>
  <c r="Q1081" i="34"/>
  <c r="Q473" i="34"/>
  <c r="Q561" i="34"/>
  <c r="O599" i="34"/>
  <c r="Q692" i="34"/>
  <c r="P1121" i="34"/>
  <c r="P284" i="34"/>
  <c r="Q1121" i="34"/>
  <c r="Q284" i="34"/>
  <c r="O1121" i="34"/>
  <c r="O284" i="34"/>
  <c r="O1726" i="34"/>
  <c r="O1713" i="34"/>
  <c r="O1810" i="34"/>
  <c r="Q1549" i="34"/>
  <c r="P1726" i="34"/>
  <c r="P1713" i="34"/>
  <c r="P1810" i="34"/>
  <c r="Q1134" i="34"/>
  <c r="Q1650" i="34"/>
  <c r="Q1713" i="34"/>
  <c r="O1134" i="34"/>
  <c r="O1549" i="34"/>
  <c r="O1650" i="34"/>
  <c r="Q1726" i="34"/>
  <c r="Q1810" i="34"/>
  <c r="P1134" i="34"/>
  <c r="P1549" i="34"/>
  <c r="P1650" i="34"/>
  <c r="P283" i="34"/>
  <c r="P1115" i="34"/>
  <c r="Q283" i="34"/>
  <c r="Q282" i="34"/>
  <c r="P1120" i="34"/>
  <c r="O1120" i="34"/>
  <c r="Q1115" i="34"/>
  <c r="O283" i="34"/>
  <c r="P282" i="34"/>
  <c r="O282" i="34"/>
  <c r="Q1120" i="34"/>
  <c r="O1115" i="34"/>
  <c r="A745" i="34"/>
  <c r="Q745" i="34"/>
  <c r="V745" i="34"/>
  <c r="O745" i="34"/>
  <c r="P745" i="34"/>
  <c r="Y745" i="34"/>
  <c r="A660" i="34"/>
  <c r="P660" i="34"/>
  <c r="Y660" i="34"/>
  <c r="Q660" i="34"/>
  <c r="V660" i="34"/>
  <c r="O660" i="34"/>
  <c r="A622" i="34"/>
  <c r="Q622" i="34"/>
  <c r="V622" i="34"/>
  <c r="O622" i="34"/>
  <c r="P622" i="34"/>
  <c r="Y622" i="34"/>
  <c r="A737" i="34"/>
  <c r="Q737" i="34"/>
  <c r="V737" i="34"/>
  <c r="O737" i="34"/>
  <c r="P737" i="34"/>
  <c r="Y737" i="34"/>
  <c r="A731" i="34"/>
  <c r="O731" i="34"/>
  <c r="P731" i="34"/>
  <c r="Y731" i="34"/>
  <c r="Q731" i="34"/>
  <c r="V731" i="34"/>
  <c r="A727" i="34"/>
  <c r="O727" i="34"/>
  <c r="P727" i="34"/>
  <c r="Y727" i="34"/>
  <c r="Q727" i="34"/>
  <c r="V727" i="34"/>
  <c r="A714" i="34"/>
  <c r="P714" i="34"/>
  <c r="Y714" i="34"/>
  <c r="O714" i="34"/>
  <c r="Q714" i="34"/>
  <c r="V714" i="34"/>
  <c r="A700" i="34"/>
  <c r="P700" i="34"/>
  <c r="Y700" i="34"/>
  <c r="Q700" i="34"/>
  <c r="V700" i="34"/>
  <c r="O700" i="34"/>
  <c r="A680" i="34"/>
  <c r="Q680" i="34"/>
  <c r="V680" i="34"/>
  <c r="O680" i="34"/>
  <c r="P680" i="34"/>
  <c r="Y680" i="34"/>
  <c r="A673" i="34"/>
  <c r="O673" i="34"/>
  <c r="P673" i="34"/>
  <c r="Y673" i="34"/>
  <c r="Q673" i="34"/>
  <c r="V673" i="34"/>
  <c r="A665" i="34"/>
  <c r="Q665" i="34"/>
  <c r="V665" i="34"/>
  <c r="O665" i="34"/>
  <c r="P665" i="34"/>
  <c r="Y665" i="34"/>
  <c r="A584" i="34"/>
  <c r="O584" i="34"/>
  <c r="P584" i="34"/>
  <c r="Y584" i="34"/>
  <c r="Q584" i="34"/>
  <c r="V584" i="34"/>
  <c r="A570" i="34"/>
  <c r="Q570" i="34"/>
  <c r="V570" i="34"/>
  <c r="O570" i="34"/>
  <c r="P570" i="34"/>
  <c r="Y570" i="34"/>
  <c r="A491" i="34"/>
  <c r="O491" i="34"/>
  <c r="P491" i="34"/>
  <c r="Y491" i="34"/>
  <c r="Q491" i="34"/>
  <c r="V491" i="34"/>
  <c r="A464" i="34"/>
  <c r="O464" i="34"/>
  <c r="P464" i="34"/>
  <c r="Y464" i="34"/>
  <c r="Q464" i="34"/>
  <c r="V464" i="34"/>
  <c r="A620" i="34"/>
  <c r="O620" i="34"/>
  <c r="P620" i="34"/>
  <c r="Y620" i="34"/>
  <c r="Q620" i="34"/>
  <c r="V620" i="34"/>
  <c r="A537" i="34"/>
  <c r="O537" i="34"/>
  <c r="P537" i="34"/>
  <c r="Y537" i="34"/>
  <c r="Q537" i="34"/>
  <c r="V537" i="34"/>
  <c r="A533" i="34"/>
  <c r="O533" i="34"/>
  <c r="P533" i="34"/>
  <c r="Y533" i="34"/>
  <c r="Q533" i="34"/>
  <c r="V533" i="34"/>
  <c r="A487" i="34"/>
  <c r="Q487" i="34"/>
  <c r="V487" i="34"/>
  <c r="O487" i="34"/>
  <c r="P487" i="34"/>
  <c r="Y487" i="34"/>
  <c r="A480" i="34"/>
  <c r="P480" i="34"/>
  <c r="Y480" i="34"/>
  <c r="Q480" i="34"/>
  <c r="V480" i="34"/>
  <c r="O480" i="34"/>
  <c r="A448" i="34"/>
  <c r="O448" i="34"/>
  <c r="P448" i="34"/>
  <c r="Y448" i="34"/>
  <c r="Q448" i="34"/>
  <c r="V448" i="34"/>
  <c r="A440" i="34"/>
  <c r="O440" i="34"/>
  <c r="P440" i="34"/>
  <c r="Y440" i="34"/>
  <c r="Q440" i="34"/>
  <c r="V440" i="34"/>
  <c r="A434" i="34"/>
  <c r="O434" i="34"/>
  <c r="P434" i="34"/>
  <c r="Y434" i="34"/>
  <c r="Q434" i="34"/>
  <c r="V434" i="34"/>
  <c r="A418" i="34"/>
  <c r="O418" i="34"/>
  <c r="P418" i="34"/>
  <c r="Y418" i="34"/>
  <c r="Q418" i="34"/>
  <c r="V418" i="34"/>
  <c r="A413" i="34"/>
  <c r="Q413" i="34"/>
  <c r="V413" i="34"/>
  <c r="O413" i="34"/>
  <c r="P413" i="34"/>
  <c r="Y413" i="34"/>
  <c r="A1118" i="34"/>
  <c r="O1118" i="34"/>
  <c r="P1118" i="34"/>
  <c r="Y1118" i="34"/>
  <c r="Q1118" i="34"/>
  <c r="V1118" i="34"/>
  <c r="A357" i="34"/>
  <c r="O357" i="34"/>
  <c r="P357" i="34"/>
  <c r="Y357" i="34"/>
  <c r="Q357" i="34"/>
  <c r="V357" i="34"/>
  <c r="A460" i="34"/>
  <c r="O460" i="34"/>
  <c r="P460" i="34"/>
  <c r="Y460" i="34"/>
  <c r="Q460" i="34"/>
  <c r="V460" i="34"/>
  <c r="A385" i="34"/>
  <c r="O385" i="34"/>
  <c r="P385" i="34"/>
  <c r="Y385" i="34"/>
  <c r="Q385" i="34"/>
  <c r="V385" i="34"/>
  <c r="A372" i="34"/>
  <c r="O372" i="34"/>
  <c r="P372" i="34"/>
  <c r="Y372" i="34"/>
  <c r="Q372" i="34"/>
  <c r="V372" i="34"/>
  <c r="A744" i="34"/>
  <c r="P744" i="34"/>
  <c r="Y744" i="34"/>
  <c r="Q744" i="34"/>
  <c r="V744" i="34"/>
  <c r="O744" i="34"/>
  <c r="A626" i="34"/>
  <c r="Q626" i="34"/>
  <c r="V626" i="34"/>
  <c r="O626" i="34"/>
  <c r="P626" i="34"/>
  <c r="Y626" i="34"/>
  <c r="A740" i="34"/>
  <c r="P740" i="34"/>
  <c r="Y740" i="34"/>
  <c r="Q740" i="34"/>
  <c r="V740" i="34"/>
  <c r="O740" i="34"/>
  <c r="A734" i="34"/>
  <c r="Q734" i="34"/>
  <c r="V734" i="34"/>
  <c r="O734" i="34"/>
  <c r="P734" i="34"/>
  <c r="Y734" i="34"/>
  <c r="A730" i="34"/>
  <c r="Q730" i="34"/>
  <c r="V730" i="34"/>
  <c r="O730" i="34"/>
  <c r="P730" i="34"/>
  <c r="Y730" i="34"/>
  <c r="A718" i="34"/>
  <c r="P718" i="34"/>
  <c r="Y718" i="34"/>
  <c r="O718" i="34"/>
  <c r="Q718" i="34"/>
  <c r="V718" i="34"/>
  <c r="A713" i="34"/>
  <c r="O713" i="34"/>
  <c r="Q713" i="34"/>
  <c r="Y713" i="34"/>
  <c r="P713" i="34"/>
  <c r="V713" i="34"/>
  <c r="A699" i="34"/>
  <c r="Q699" i="34"/>
  <c r="V699" i="34"/>
  <c r="O699" i="34"/>
  <c r="P699" i="34"/>
  <c r="Y699" i="34"/>
  <c r="A678" i="34"/>
  <c r="O678" i="34"/>
  <c r="P678" i="34"/>
  <c r="Y678" i="34"/>
  <c r="Q678" i="34"/>
  <c r="V678" i="34"/>
  <c r="A669" i="34"/>
  <c r="Q669" i="34"/>
  <c r="V669" i="34"/>
  <c r="O669" i="34"/>
  <c r="P669" i="34"/>
  <c r="Y669" i="34"/>
  <c r="A587" i="34"/>
  <c r="O587" i="34"/>
  <c r="P587" i="34"/>
  <c r="Y587" i="34"/>
  <c r="Q587" i="34"/>
  <c r="V587" i="34"/>
  <c r="A575" i="34"/>
  <c r="O575" i="34"/>
  <c r="P575" i="34"/>
  <c r="Y575" i="34"/>
  <c r="Q575" i="34"/>
  <c r="V575" i="34"/>
  <c r="A569" i="34"/>
  <c r="P569" i="34"/>
  <c r="Y569" i="34"/>
  <c r="Q569" i="34"/>
  <c r="V569" i="34"/>
  <c r="O569" i="34"/>
  <c r="A490" i="34"/>
  <c r="Q490" i="34"/>
  <c r="V490" i="34"/>
  <c r="O490" i="34"/>
  <c r="P490" i="34"/>
  <c r="Y490" i="34"/>
  <c r="A463" i="34"/>
  <c r="O463" i="34"/>
  <c r="P463" i="34"/>
  <c r="Y463" i="34"/>
  <c r="Q463" i="34"/>
  <c r="V463" i="34"/>
  <c r="A619" i="34"/>
  <c r="O619" i="34"/>
  <c r="P619" i="34"/>
  <c r="Y619" i="34"/>
  <c r="Q619" i="34"/>
  <c r="V619" i="34"/>
  <c r="A536" i="34"/>
  <c r="O536" i="34"/>
  <c r="P536" i="34"/>
  <c r="Y536" i="34"/>
  <c r="Q536" i="34"/>
  <c r="V536" i="34"/>
  <c r="A532" i="34"/>
  <c r="Q532" i="34"/>
  <c r="V532" i="34"/>
  <c r="O532" i="34"/>
  <c r="P532" i="34"/>
  <c r="Y532" i="34"/>
  <c r="A495" i="34"/>
  <c r="O495" i="34"/>
  <c r="P495" i="34"/>
  <c r="Y495" i="34"/>
  <c r="Q495" i="34"/>
  <c r="V495" i="34"/>
  <c r="A452" i="34"/>
  <c r="O452" i="34"/>
  <c r="P452" i="34"/>
  <c r="Y452" i="34"/>
  <c r="Q452" i="34"/>
  <c r="V452" i="34"/>
  <c r="A447" i="34"/>
  <c r="Q447" i="34"/>
  <c r="V447" i="34"/>
  <c r="O447" i="34"/>
  <c r="P447" i="34"/>
  <c r="Y447" i="34"/>
  <c r="A439" i="34"/>
  <c r="Q439" i="34"/>
  <c r="V439" i="34"/>
  <c r="O439" i="34"/>
  <c r="P439" i="34"/>
  <c r="Y439" i="34"/>
  <c r="A430" i="34"/>
  <c r="O430" i="34"/>
  <c r="P430" i="34"/>
  <c r="Y430" i="34"/>
  <c r="Q430" i="34"/>
  <c r="V430" i="34"/>
  <c r="A417" i="34"/>
  <c r="Q417" i="34"/>
  <c r="V417" i="34"/>
  <c r="O417" i="34"/>
  <c r="P417" i="34"/>
  <c r="Y417" i="34"/>
  <c r="A412" i="34"/>
  <c r="P412" i="34"/>
  <c r="Y412" i="34"/>
  <c r="Q412" i="34"/>
  <c r="V412" i="34"/>
  <c r="O412" i="34"/>
  <c r="A1117" i="34"/>
  <c r="Q1117" i="34"/>
  <c r="V1117" i="34"/>
  <c r="O1117" i="34"/>
  <c r="P1117" i="34"/>
  <c r="Y1117" i="34"/>
  <c r="A441" i="34"/>
  <c r="O441" i="34"/>
  <c r="P441" i="34"/>
  <c r="Y441" i="34"/>
  <c r="Q441" i="34"/>
  <c r="V441" i="34"/>
  <c r="A1116" i="34"/>
  <c r="P1116" i="34"/>
  <c r="Y1116" i="34"/>
  <c r="Q1116" i="34"/>
  <c r="V1116" i="34"/>
  <c r="O1116" i="34"/>
  <c r="A386" i="34"/>
  <c r="P386" i="34"/>
  <c r="Y386" i="34"/>
  <c r="Q386" i="34"/>
  <c r="V386" i="34"/>
  <c r="O386" i="34"/>
  <c r="A407" i="34"/>
  <c r="O407" i="34"/>
  <c r="P407" i="34"/>
  <c r="Y407" i="34"/>
  <c r="Q407" i="34"/>
  <c r="V407" i="34"/>
  <c r="A741" i="34"/>
  <c r="Q741" i="34"/>
  <c r="V741" i="34"/>
  <c r="O741" i="34"/>
  <c r="P741" i="34"/>
  <c r="Y741" i="34"/>
  <c r="A625" i="34"/>
  <c r="P625" i="34"/>
  <c r="Y625" i="34"/>
  <c r="Q625" i="34"/>
  <c r="V625" i="34"/>
  <c r="O625" i="34"/>
  <c r="A739" i="34"/>
  <c r="O739" i="34"/>
  <c r="P739" i="34"/>
  <c r="Y739" i="34"/>
  <c r="Q739" i="34"/>
  <c r="V739" i="34"/>
  <c r="A733" i="34"/>
  <c r="P733" i="34"/>
  <c r="Y733" i="34"/>
  <c r="Q733" i="34"/>
  <c r="V733" i="34"/>
  <c r="O733" i="34"/>
  <c r="A729" i="34"/>
  <c r="P729" i="34"/>
  <c r="Y729" i="34"/>
  <c r="Q729" i="34"/>
  <c r="V729" i="34"/>
  <c r="O729" i="34"/>
  <c r="A717" i="34"/>
  <c r="O717" i="34"/>
  <c r="P717" i="34"/>
  <c r="Y717" i="34"/>
  <c r="Q717" i="34"/>
  <c r="V717" i="34"/>
  <c r="A704" i="34"/>
  <c r="P704" i="34"/>
  <c r="Y704" i="34"/>
  <c r="Q704" i="34"/>
  <c r="V704" i="34"/>
  <c r="O704" i="34"/>
  <c r="A695" i="34"/>
  <c r="Q695" i="34"/>
  <c r="V695" i="34"/>
  <c r="O695" i="34"/>
  <c r="P695" i="34"/>
  <c r="Y695" i="34"/>
  <c r="A677" i="34"/>
  <c r="O677" i="34"/>
  <c r="P677" i="34"/>
  <c r="Y677" i="34"/>
  <c r="Q677" i="34"/>
  <c r="V677" i="34"/>
  <c r="A668" i="34"/>
  <c r="P668" i="34"/>
  <c r="Y668" i="34"/>
  <c r="Q668" i="34"/>
  <c r="V668" i="34"/>
  <c r="O668" i="34"/>
  <c r="A586" i="34"/>
  <c r="Q586" i="34"/>
  <c r="V586" i="34"/>
  <c r="O586" i="34"/>
  <c r="P586" i="34"/>
  <c r="Y586" i="34"/>
  <c r="A574" i="34"/>
  <c r="Q574" i="34"/>
  <c r="V574" i="34"/>
  <c r="O574" i="34"/>
  <c r="P574" i="34"/>
  <c r="Y574" i="34"/>
  <c r="A493" i="34"/>
  <c r="P493" i="34"/>
  <c r="Y493" i="34"/>
  <c r="Q493" i="34"/>
  <c r="V493" i="34"/>
  <c r="O493" i="34"/>
  <c r="A469" i="34"/>
  <c r="P469" i="34"/>
  <c r="Y469" i="34"/>
  <c r="Q469" i="34"/>
  <c r="V469" i="34"/>
  <c r="O469" i="34"/>
  <c r="A462" i="34"/>
  <c r="Q462" i="34"/>
  <c r="V462" i="34"/>
  <c r="O462" i="34"/>
  <c r="P462" i="34"/>
  <c r="Y462" i="34"/>
  <c r="A618" i="34"/>
  <c r="Q618" i="34"/>
  <c r="V618" i="34"/>
  <c r="O618" i="34"/>
  <c r="P618" i="34"/>
  <c r="Y618" i="34"/>
  <c r="A535" i="34"/>
  <c r="Q535" i="34"/>
  <c r="V535" i="34"/>
  <c r="O535" i="34"/>
  <c r="P535" i="34"/>
  <c r="Y535" i="34"/>
  <c r="A498" i="34"/>
  <c r="Q498" i="34"/>
  <c r="V498" i="34"/>
  <c r="O498" i="34"/>
  <c r="P498" i="34"/>
  <c r="Y498" i="34"/>
  <c r="A494" i="34"/>
  <c r="Q494" i="34"/>
  <c r="V494" i="34"/>
  <c r="O494" i="34"/>
  <c r="P494" i="34"/>
  <c r="Y494" i="34"/>
  <c r="A451" i="34"/>
  <c r="Q451" i="34"/>
  <c r="V451" i="34"/>
  <c r="O451" i="34"/>
  <c r="P451" i="34"/>
  <c r="Y451" i="34"/>
  <c r="A446" i="34"/>
  <c r="P446" i="34"/>
  <c r="Y446" i="34"/>
  <c r="Q446" i="34"/>
  <c r="V446" i="34"/>
  <c r="O446" i="34"/>
  <c r="A436" i="34"/>
  <c r="O436" i="34"/>
  <c r="P436" i="34"/>
  <c r="Y436" i="34"/>
  <c r="Q436" i="34"/>
  <c r="V436" i="34"/>
  <c r="A429" i="34"/>
  <c r="O429" i="34"/>
  <c r="P429" i="34"/>
  <c r="Y429" i="34"/>
  <c r="Q429" i="34"/>
  <c r="V429" i="34"/>
  <c r="A415" i="34"/>
  <c r="O415" i="34"/>
  <c r="P415" i="34"/>
  <c r="Y415" i="34"/>
  <c r="Q415" i="34"/>
  <c r="V415" i="34"/>
  <c r="A411" i="34"/>
  <c r="O411" i="34"/>
  <c r="P411" i="34"/>
  <c r="Y411" i="34"/>
  <c r="Q411" i="34"/>
  <c r="V411" i="34"/>
  <c r="A502" i="34"/>
  <c r="O502" i="34"/>
  <c r="P502" i="34"/>
  <c r="Y502" i="34"/>
  <c r="Q502" i="34"/>
  <c r="V502" i="34"/>
  <c r="A443" i="34"/>
  <c r="Q443" i="34"/>
  <c r="V443" i="34"/>
  <c r="O443" i="34"/>
  <c r="P443" i="34"/>
  <c r="Y443" i="34"/>
  <c r="A383" i="34"/>
  <c r="Q383" i="34"/>
  <c r="V383" i="34"/>
  <c r="O383" i="34"/>
  <c r="P383" i="34"/>
  <c r="Y383" i="34"/>
  <c r="A387" i="34"/>
  <c r="Q387" i="34"/>
  <c r="V387" i="34"/>
  <c r="O387" i="34"/>
  <c r="P387" i="34"/>
  <c r="Y387" i="34"/>
  <c r="A408" i="34"/>
  <c r="O408" i="34"/>
  <c r="P408" i="34"/>
  <c r="Y408" i="34"/>
  <c r="Q408" i="34"/>
  <c r="V408" i="34"/>
  <c r="A661" i="34"/>
  <c r="Q661" i="34"/>
  <c r="V661" i="34"/>
  <c r="O661" i="34"/>
  <c r="P661" i="34"/>
  <c r="Y661" i="34"/>
  <c r="A624" i="34"/>
  <c r="O624" i="34"/>
  <c r="P624" i="34"/>
  <c r="Y624" i="34"/>
  <c r="Q624" i="34"/>
  <c r="V624" i="34"/>
  <c r="A738" i="34"/>
  <c r="O738" i="34"/>
  <c r="P738" i="34"/>
  <c r="Y738" i="34"/>
  <c r="Q738" i="34"/>
  <c r="V738" i="34"/>
  <c r="A732" i="34"/>
  <c r="O732" i="34"/>
  <c r="P732" i="34"/>
  <c r="Y732" i="34"/>
  <c r="Q732" i="34"/>
  <c r="V732" i="34"/>
  <c r="A728" i="34"/>
  <c r="O728" i="34"/>
  <c r="P728" i="34"/>
  <c r="Y728" i="34"/>
  <c r="Q728" i="34"/>
  <c r="V728" i="34"/>
  <c r="A716" i="34"/>
  <c r="Q716" i="34"/>
  <c r="V716" i="34"/>
  <c r="P716" i="34"/>
  <c r="Y716" i="34"/>
  <c r="O716" i="34"/>
  <c r="A703" i="34"/>
  <c r="Q703" i="34"/>
  <c r="V703" i="34"/>
  <c r="O703" i="34"/>
  <c r="P703" i="34"/>
  <c r="Y703" i="34"/>
  <c r="A681" i="34"/>
  <c r="O681" i="34"/>
  <c r="P681" i="34"/>
  <c r="Y681" i="34"/>
  <c r="Q681" i="34"/>
  <c r="V681" i="34"/>
  <c r="A674" i="34"/>
  <c r="O674" i="34"/>
  <c r="P674" i="34"/>
  <c r="Y674" i="34"/>
  <c r="Q674" i="34"/>
  <c r="V674" i="34"/>
  <c r="A666" i="34"/>
  <c r="O666" i="34"/>
  <c r="P666" i="34"/>
  <c r="Y666" i="34"/>
  <c r="Q666" i="34"/>
  <c r="V666" i="34"/>
  <c r="A585" i="34"/>
  <c r="P585" i="34"/>
  <c r="Y585" i="34"/>
  <c r="Q585" i="34"/>
  <c r="V585" i="34"/>
  <c r="O585" i="34"/>
  <c r="A571" i="34"/>
  <c r="O571" i="34"/>
  <c r="P571" i="34"/>
  <c r="Y571" i="34"/>
  <c r="Q571" i="34"/>
  <c r="V571" i="34"/>
  <c r="A492" i="34"/>
  <c r="O492" i="34"/>
  <c r="P492" i="34"/>
  <c r="Y492" i="34"/>
  <c r="Q492" i="34"/>
  <c r="V492" i="34"/>
  <c r="A465" i="34"/>
  <c r="P465" i="34"/>
  <c r="Y465" i="34"/>
  <c r="Q465" i="34"/>
  <c r="V465" i="34"/>
  <c r="O465" i="34"/>
  <c r="A621" i="34"/>
  <c r="P621" i="34"/>
  <c r="Y621" i="34"/>
  <c r="Q621" i="34"/>
  <c r="V621" i="34"/>
  <c r="O621" i="34"/>
  <c r="A538" i="34"/>
  <c r="P538" i="34"/>
  <c r="Y538" i="34"/>
  <c r="Q538" i="34"/>
  <c r="V538" i="34"/>
  <c r="O538" i="34"/>
  <c r="A534" i="34"/>
  <c r="P534" i="34"/>
  <c r="Y534" i="34"/>
  <c r="Q534" i="34"/>
  <c r="V534" i="34"/>
  <c r="O534" i="34"/>
  <c r="A497" i="34"/>
  <c r="P497" i="34"/>
  <c r="Y497" i="34"/>
  <c r="Q497" i="34"/>
  <c r="V497" i="34"/>
  <c r="O497" i="34"/>
  <c r="A485" i="34"/>
  <c r="O485" i="34"/>
  <c r="P485" i="34"/>
  <c r="Y485" i="34"/>
  <c r="Q485" i="34"/>
  <c r="V485" i="34"/>
  <c r="A449" i="34"/>
  <c r="O449" i="34"/>
  <c r="P449" i="34"/>
  <c r="Y449" i="34"/>
  <c r="Q449" i="34"/>
  <c r="V449" i="34"/>
  <c r="A445" i="34"/>
  <c r="O445" i="34"/>
  <c r="P445" i="34"/>
  <c r="Y445" i="34"/>
  <c r="Q445" i="34"/>
  <c r="V445" i="34"/>
  <c r="A435" i="34"/>
  <c r="Q435" i="34"/>
  <c r="V435" i="34"/>
  <c r="O435" i="34"/>
  <c r="P435" i="34"/>
  <c r="Y435" i="34"/>
  <c r="A419" i="34"/>
  <c r="O419" i="34"/>
  <c r="P419" i="34"/>
  <c r="Y419" i="34"/>
  <c r="Q419" i="34"/>
  <c r="V419" i="34"/>
  <c r="A414" i="34"/>
  <c r="O414" i="34"/>
  <c r="P414" i="34"/>
  <c r="Y414" i="34"/>
  <c r="Q414" i="34"/>
  <c r="V414" i="34"/>
  <c r="A378" i="34"/>
  <c r="P378" i="34"/>
  <c r="Y378" i="34"/>
  <c r="Q378" i="34"/>
  <c r="V378" i="34"/>
  <c r="O378" i="34"/>
  <c r="A503" i="34"/>
  <c r="O503" i="34"/>
  <c r="P503" i="34"/>
  <c r="Y503" i="34"/>
  <c r="Q503" i="34"/>
  <c r="V503" i="34"/>
  <c r="A459" i="34"/>
  <c r="O459" i="34"/>
  <c r="P459" i="34"/>
  <c r="Y459" i="34"/>
  <c r="Q459" i="34"/>
  <c r="V459" i="34"/>
  <c r="A384" i="34"/>
  <c r="O384" i="34"/>
  <c r="P384" i="34"/>
  <c r="Y384" i="34"/>
  <c r="Q384" i="34"/>
  <c r="V384" i="34"/>
  <c r="A389" i="34"/>
  <c r="O389" i="34"/>
  <c r="P389" i="34"/>
  <c r="Y389" i="34"/>
  <c r="Q389" i="34"/>
  <c r="V389" i="34"/>
  <c r="A410" i="34"/>
  <c r="Q410" i="34"/>
  <c r="V410" i="34"/>
  <c r="O410" i="34"/>
  <c r="P410" i="34"/>
  <c r="Y41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4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68" i="34" l="1"/>
  <c r="B531" i="34"/>
  <c r="B521" i="34"/>
  <c r="B489" i="34"/>
  <c r="B488" i="34"/>
  <c r="B382" i="34"/>
  <c r="B379" i="34"/>
  <c r="A489" i="34" l="1"/>
  <c r="P489" i="34"/>
  <c r="Y489" i="34"/>
  <c r="Q489" i="34"/>
  <c r="V489" i="34"/>
  <c r="O489" i="34"/>
  <c r="A379" i="34"/>
  <c r="Q379" i="34"/>
  <c r="V379" i="34"/>
  <c r="O379" i="34"/>
  <c r="P379" i="34"/>
  <c r="Y379" i="34"/>
  <c r="A521" i="34"/>
  <c r="Q521" i="34"/>
  <c r="V521" i="34"/>
  <c r="O521" i="34"/>
  <c r="P521" i="34"/>
  <c r="Y521" i="34"/>
  <c r="A382" i="34"/>
  <c r="P382" i="34"/>
  <c r="Y382" i="34"/>
  <c r="Q382" i="34"/>
  <c r="V382" i="34"/>
  <c r="O382" i="34"/>
  <c r="A531" i="34"/>
  <c r="O531" i="34"/>
  <c r="P531" i="34"/>
  <c r="Y531" i="34"/>
  <c r="Q531" i="34"/>
  <c r="V531" i="34"/>
  <c r="A488" i="34"/>
  <c r="O488" i="34"/>
  <c r="P488" i="34"/>
  <c r="Y488" i="34"/>
  <c r="Q488" i="34"/>
  <c r="V488" i="34"/>
  <c r="A568" i="34"/>
  <c r="O568" i="34"/>
  <c r="P568" i="34"/>
  <c r="Y568" i="34"/>
  <c r="Q568" i="34"/>
  <c r="V568" i="34"/>
  <c r="A14" i="71"/>
  <c r="E37" i="71" s="1"/>
  <c r="A19" i="71"/>
  <c r="A20" i="71"/>
  <c r="A17" i="71"/>
  <c r="A18" i="71"/>
  <c r="B554" i="34"/>
  <c r="A16" i="71"/>
  <c r="A15" i="71"/>
  <c r="A554" i="34" l="1"/>
  <c r="P554" i="34"/>
  <c r="Y554" i="34"/>
  <c r="Q554" i="34"/>
  <c r="V554" i="34"/>
  <c r="O554" i="34"/>
  <c r="A36" i="71"/>
  <c r="H2" i="71"/>
  <c r="E6" i="43" l="1"/>
  <c r="O8" i="43"/>
  <c r="N8" i="43"/>
  <c r="B358" i="34" l="1"/>
  <c r="B371" i="34"/>
  <c r="B416" i="34"/>
  <c r="B486" i="34"/>
  <c r="B496" i="34"/>
  <c r="B520" i="34"/>
  <c r="B553" i="34"/>
  <c r="B664" i="34"/>
  <c r="A486" i="34" l="1"/>
  <c r="P486" i="34"/>
  <c r="Y486" i="34"/>
  <c r="Q486" i="34"/>
  <c r="V486" i="34"/>
  <c r="O486" i="34"/>
  <c r="A416" i="34"/>
  <c r="P416" i="34"/>
  <c r="Y416" i="34"/>
  <c r="Q416" i="34"/>
  <c r="V416" i="34"/>
  <c r="O416" i="34"/>
  <c r="A664" i="34"/>
  <c r="P664" i="34"/>
  <c r="Y664" i="34"/>
  <c r="Q664" i="34"/>
  <c r="V664" i="34"/>
  <c r="O664" i="34"/>
  <c r="A520" i="34"/>
  <c r="P520" i="34"/>
  <c r="Y520" i="34"/>
  <c r="Q520" i="34"/>
  <c r="V520" i="34"/>
  <c r="O520" i="34"/>
  <c r="A371" i="34"/>
  <c r="Q371" i="34"/>
  <c r="V371" i="34"/>
  <c r="O371" i="34"/>
  <c r="P371" i="34"/>
  <c r="Y371" i="34"/>
  <c r="A553" i="34"/>
  <c r="O553" i="34"/>
  <c r="P553" i="34"/>
  <c r="Y553" i="34"/>
  <c r="Q553" i="34"/>
  <c r="V553" i="34"/>
  <c r="A496" i="34"/>
  <c r="O496" i="34"/>
  <c r="P496" i="34"/>
  <c r="Y496" i="34"/>
  <c r="Q496" i="34"/>
  <c r="V496" i="34"/>
  <c r="A358" i="34"/>
  <c r="P358" i="34"/>
  <c r="Y358" i="34"/>
  <c r="Q358" i="34"/>
  <c r="V358" i="34"/>
  <c r="O358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88" i="34" l="1"/>
  <c r="B2089" i="34"/>
  <c r="B2090" i="34"/>
  <c r="B2091" i="34"/>
  <c r="B2092" i="34"/>
  <c r="B2093" i="34"/>
  <c r="A2090" i="34" l="1"/>
  <c r="O2090" i="34"/>
  <c r="P2090" i="34"/>
  <c r="Y2090" i="34"/>
  <c r="Q2090" i="34"/>
  <c r="V2090" i="34"/>
  <c r="A2089" i="34"/>
  <c r="Q2089" i="34"/>
  <c r="V2089" i="34"/>
  <c r="O2089" i="34"/>
  <c r="P2089" i="34"/>
  <c r="Y2089" i="34"/>
  <c r="A2088" i="34"/>
  <c r="P2088" i="34"/>
  <c r="Y2088" i="34"/>
  <c r="Q2088" i="34"/>
  <c r="V2088" i="34"/>
  <c r="O2088" i="34"/>
  <c r="O2091" i="34"/>
  <c r="Q2091" i="34"/>
  <c r="P2091" i="34"/>
  <c r="Y2091" i="34"/>
  <c r="Q2092" i="34"/>
  <c r="P2092" i="34"/>
  <c r="O2092" i="34"/>
  <c r="Y2092" i="34"/>
  <c r="A2091" i="34"/>
  <c r="P2093" i="34"/>
  <c r="Q2093" i="34"/>
  <c r="Y2093" i="34"/>
  <c r="O2093" i="34"/>
  <c r="A2092" i="34"/>
  <c r="A2093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15" i="34"/>
  <c r="K13" i="34"/>
  <c r="K10" i="34"/>
  <c r="B10" i="34" l="1"/>
  <c r="B11" i="34"/>
  <c r="A11" i="34" s="1"/>
  <c r="B12" i="34"/>
  <c r="A12" i="34" s="1"/>
  <c r="B16" i="34"/>
  <c r="B13" i="34"/>
  <c r="B14" i="34"/>
  <c r="B15" i="34"/>
  <c r="A13" i="34" l="1"/>
  <c r="O13" i="34"/>
  <c r="P13" i="34"/>
  <c r="Y13" i="34"/>
  <c r="Q13" i="34"/>
  <c r="V13" i="34"/>
  <c r="A15" i="34"/>
  <c r="Q15" i="34"/>
  <c r="V15" i="34"/>
  <c r="O15" i="34"/>
  <c r="P15" i="34"/>
  <c r="Y15" i="34"/>
  <c r="A16" i="34"/>
  <c r="O16" i="34"/>
  <c r="P16" i="34"/>
  <c r="Y16" i="34"/>
  <c r="Q16" i="34"/>
  <c r="V16" i="34"/>
  <c r="A14" i="34"/>
  <c r="O14" i="34"/>
  <c r="P14" i="34"/>
  <c r="Y14" i="34"/>
  <c r="Q14" i="34"/>
  <c r="V14" i="34"/>
  <c r="P11" i="34"/>
  <c r="Q11" i="34"/>
  <c r="O11" i="34"/>
  <c r="Y11" i="34"/>
  <c r="O12" i="34"/>
  <c r="Y12" i="34"/>
  <c r="P12" i="34"/>
  <c r="Q12" i="34"/>
  <c r="O10" i="34"/>
  <c r="Y10" i="34"/>
  <c r="P10" i="34"/>
  <c r="Q10" i="34"/>
  <c r="G7" i="57"/>
  <c r="D17" i="12"/>
  <c r="C17" i="12"/>
  <c r="A95" i="42" l="1"/>
  <c r="E95" i="42"/>
  <c r="A96" i="42"/>
  <c r="E96" i="42"/>
  <c r="A97" i="42"/>
  <c r="E97" i="42"/>
  <c r="A98" i="42"/>
  <c r="E98" i="42"/>
  <c r="A99" i="42"/>
  <c r="E99" i="42"/>
  <c r="B95" i="42"/>
  <c r="F95" i="42"/>
  <c r="B96" i="42"/>
  <c r="F96" i="42"/>
  <c r="B97" i="42"/>
  <c r="F97" i="42"/>
  <c r="B98" i="42"/>
  <c r="F98" i="42"/>
  <c r="B99" i="42"/>
  <c r="F99" i="42"/>
  <c r="C95" i="42"/>
  <c r="G95" i="42"/>
  <c r="C96" i="42"/>
  <c r="G96" i="42"/>
  <c r="C97" i="42"/>
  <c r="G97" i="42"/>
  <c r="C98" i="42"/>
  <c r="G98" i="42"/>
  <c r="C99" i="42"/>
  <c r="G99" i="42"/>
  <c r="D95" i="42"/>
  <c r="H95" i="42"/>
  <c r="D96" i="42"/>
  <c r="H96" i="42"/>
  <c r="D97" i="42"/>
  <c r="H97" i="42"/>
  <c r="D98" i="42"/>
  <c r="H98" i="42"/>
  <c r="D99" i="42"/>
  <c r="H99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1" i="15" l="1"/>
  <c r="D21" i="15"/>
  <c r="C37" i="15"/>
  <c r="C54" i="15" s="1"/>
  <c r="D37" i="15"/>
  <c r="D54" i="15" l="1"/>
  <c r="D56" i="15" s="1"/>
  <c r="D39" i="15"/>
  <c r="B11" i="61" l="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U7" i="34"/>
  <c r="U13" i="34" l="1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671" i="34"/>
  <c r="U1663" i="34"/>
  <c r="U1674" i="34"/>
  <c r="U1675" i="34"/>
  <c r="U1680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4" i="34"/>
  <c r="U1665" i="34"/>
  <c r="U1666" i="34"/>
  <c r="U1667" i="34"/>
  <c r="U1668" i="34"/>
  <c r="U1669" i="34"/>
  <c r="U1672" i="34"/>
  <c r="U1673" i="34"/>
  <c r="U1676" i="34"/>
  <c r="U1678" i="34"/>
  <c r="U1670" i="34"/>
  <c r="U1677" i="34"/>
  <c r="U1679" i="34"/>
  <c r="U1807" i="34"/>
  <c r="U1862" i="34"/>
  <c r="U1865" i="34"/>
  <c r="U1870" i="34"/>
  <c r="U1871" i="34"/>
  <c r="U1876" i="34"/>
  <c r="U1878" i="34"/>
  <c r="U1883" i="34"/>
  <c r="U1888" i="34"/>
  <c r="U1893" i="34"/>
  <c r="U1897" i="34"/>
  <c r="U1899" i="34"/>
  <c r="U1901" i="34"/>
  <c r="U1903" i="34"/>
  <c r="U1907" i="34"/>
  <c r="U1909" i="34"/>
  <c r="U1911" i="34"/>
  <c r="U1914" i="34"/>
  <c r="U1917" i="34"/>
  <c r="U1920" i="34"/>
  <c r="U1922" i="34"/>
  <c r="U1924" i="34"/>
  <c r="U1927" i="34"/>
  <c r="U1930" i="34"/>
  <c r="U1936" i="34"/>
  <c r="U1938" i="34"/>
  <c r="U1942" i="34"/>
  <c r="U1945" i="34"/>
  <c r="U1947" i="34"/>
  <c r="U1951" i="34"/>
  <c r="U1955" i="34"/>
  <c r="U1959" i="34"/>
  <c r="U1964" i="34"/>
  <c r="U1968" i="34"/>
  <c r="U1972" i="34"/>
  <c r="U1974" i="34"/>
  <c r="U1976" i="34"/>
  <c r="U1978" i="34"/>
  <c r="U1984" i="34"/>
  <c r="U1986" i="34"/>
  <c r="U1989" i="34"/>
  <c r="U1993" i="34"/>
  <c r="U1997" i="34"/>
  <c r="U2003" i="34"/>
  <c r="U2007" i="34"/>
  <c r="U2009" i="34"/>
  <c r="U2011" i="34"/>
  <c r="U2015" i="34"/>
  <c r="U2020" i="34"/>
  <c r="U2027" i="34"/>
  <c r="U2029" i="34"/>
  <c r="U2032" i="34"/>
  <c r="U2035" i="34"/>
  <c r="U2038" i="34"/>
  <c r="U2042" i="34"/>
  <c r="U2044" i="34"/>
  <c r="U2051" i="34"/>
  <c r="U2055" i="34"/>
  <c r="U2058" i="34"/>
  <c r="U2060" i="34"/>
  <c r="U2062" i="34"/>
  <c r="U2064" i="34"/>
  <c r="U2066" i="34"/>
  <c r="U2069" i="34"/>
  <c r="U2074" i="34"/>
  <c r="U2080" i="34"/>
  <c r="U2083" i="34"/>
  <c r="U2087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9" i="34"/>
  <c r="U1850" i="34"/>
  <c r="U1851" i="34"/>
  <c r="U1852" i="34"/>
  <c r="U1854" i="34"/>
  <c r="U1858" i="34"/>
  <c r="U1868" i="34"/>
  <c r="U1873" i="34"/>
  <c r="U1881" i="34"/>
  <c r="U1887" i="34"/>
  <c r="U1892" i="34"/>
  <c r="U1896" i="34"/>
  <c r="U1904" i="34"/>
  <c r="U1913" i="34"/>
  <c r="U1919" i="34"/>
  <c r="U1926" i="34"/>
  <c r="U1931" i="34"/>
  <c r="U1935" i="34"/>
  <c r="U1939" i="34"/>
  <c r="U1950" i="34"/>
  <c r="U1956" i="34"/>
  <c r="U1960" i="34"/>
  <c r="U1963" i="34"/>
  <c r="U1980" i="34"/>
  <c r="U1990" i="34"/>
  <c r="U1995" i="34"/>
  <c r="U1999" i="34"/>
  <c r="U2004" i="34"/>
  <c r="U2008" i="34"/>
  <c r="U2017" i="34"/>
  <c r="U2026" i="34"/>
  <c r="U2030" i="34"/>
  <c r="U2039" i="34"/>
  <c r="U2048" i="34"/>
  <c r="U2052" i="34"/>
  <c r="U2071" i="34"/>
  <c r="U2076" i="34"/>
  <c r="U2085" i="34"/>
  <c r="U2090" i="34"/>
  <c r="U1806" i="34"/>
  <c r="U1856" i="34"/>
  <c r="U1860" i="34"/>
  <c r="U1864" i="34"/>
  <c r="U1867" i="34"/>
  <c r="U1875" i="34"/>
  <c r="U1880" i="34"/>
  <c r="U1885" i="34"/>
  <c r="U1890" i="34"/>
  <c r="U1895" i="34"/>
  <c r="U1906" i="34"/>
  <c r="U1915" i="34"/>
  <c r="U1921" i="34"/>
  <c r="U1923" i="34"/>
  <c r="U1925" i="34"/>
  <c r="U1933" i="34"/>
  <c r="U1937" i="34"/>
  <c r="U1941" i="34"/>
  <c r="U1944" i="34"/>
  <c r="U1948" i="34"/>
  <c r="U1953" i="34"/>
  <c r="U1957" i="34"/>
  <c r="U1962" i="34"/>
  <c r="U1965" i="34"/>
  <c r="U1967" i="34"/>
  <c r="U1970" i="34"/>
  <c r="U1973" i="34"/>
  <c r="U1977" i="34"/>
  <c r="U1979" i="34"/>
  <c r="U1982" i="34"/>
  <c r="U1988" i="34"/>
  <c r="U1992" i="34"/>
  <c r="U2001" i="34"/>
  <c r="U2006" i="34"/>
  <c r="U2010" i="34"/>
  <c r="U2013" i="34"/>
  <c r="U2019" i="34"/>
  <c r="U2021" i="34"/>
  <c r="U2023" i="34"/>
  <c r="U2025" i="34"/>
  <c r="U2031" i="34"/>
  <c r="U2034" i="34"/>
  <c r="U2037" i="34"/>
  <c r="U2040" i="34"/>
  <c r="U2046" i="34"/>
  <c r="U2049" i="34"/>
  <c r="U2053" i="34"/>
  <c r="U2057" i="34"/>
  <c r="U2059" i="34"/>
  <c r="U2068" i="34"/>
  <c r="U2070" i="34"/>
  <c r="U2072" i="34"/>
  <c r="U2075" i="34"/>
  <c r="U2078" i="34"/>
  <c r="U2082" i="34"/>
  <c r="U2089" i="34"/>
  <c r="U1848" i="34"/>
  <c r="U1853" i="34"/>
  <c r="U1855" i="34"/>
  <c r="U1857" i="34"/>
  <c r="U1859" i="34"/>
  <c r="U1861" i="34"/>
  <c r="U1863" i="34"/>
  <c r="U1866" i="34"/>
  <c r="U1869" i="34"/>
  <c r="U1872" i="34"/>
  <c r="U1874" i="34"/>
  <c r="U1877" i="34"/>
  <c r="U1879" i="34"/>
  <c r="U1882" i="34"/>
  <c r="U1884" i="34"/>
  <c r="U1886" i="34"/>
  <c r="U1889" i="34"/>
  <c r="U1891" i="34"/>
  <c r="U1894" i="34"/>
  <c r="U1898" i="34"/>
  <c r="U1900" i="34"/>
  <c r="U1902" i="34"/>
  <c r="U1905" i="34"/>
  <c r="U1908" i="34"/>
  <c r="U1910" i="34"/>
  <c r="U1912" i="34"/>
  <c r="U1916" i="34"/>
  <c r="U1918" i="34"/>
  <c r="U1928" i="34"/>
  <c r="U1929" i="34"/>
  <c r="U1932" i="34"/>
  <c r="U1934" i="34"/>
  <c r="U1940" i="34"/>
  <c r="U1943" i="34"/>
  <c r="U1946" i="34"/>
  <c r="U1949" i="34"/>
  <c r="U1952" i="34"/>
  <c r="U1954" i="34"/>
  <c r="U1958" i="34"/>
  <c r="U1961" i="34"/>
  <c r="U1966" i="34"/>
  <c r="U1969" i="34"/>
  <c r="U1971" i="34"/>
  <c r="U1975" i="34"/>
  <c r="U1981" i="34"/>
  <c r="U1983" i="34"/>
  <c r="U1985" i="34"/>
  <c r="U1987" i="34"/>
  <c r="U1991" i="34"/>
  <c r="U1994" i="34"/>
  <c r="U1996" i="34"/>
  <c r="U1998" i="34"/>
  <c r="U2000" i="34"/>
  <c r="U2002" i="34"/>
  <c r="U2005" i="34"/>
  <c r="U2012" i="34"/>
  <c r="U2014" i="34"/>
  <c r="U2016" i="34"/>
  <c r="U2018" i="34"/>
  <c r="U2022" i="34"/>
  <c r="U2024" i="34"/>
  <c r="U2028" i="34"/>
  <c r="U2033" i="34"/>
  <c r="U2036" i="34"/>
  <c r="U2041" i="34"/>
  <c r="U2043" i="34"/>
  <c r="U2045" i="34"/>
  <c r="U2047" i="34"/>
  <c r="U2050" i="34"/>
  <c r="U2054" i="34"/>
  <c r="U2056" i="34"/>
  <c r="U2061" i="34"/>
  <c r="U2063" i="34"/>
  <c r="U2065" i="34"/>
  <c r="U2067" i="34"/>
  <c r="U2073" i="34"/>
  <c r="U2077" i="34"/>
  <c r="U2079" i="34"/>
  <c r="U2081" i="34"/>
  <c r="U2084" i="34"/>
  <c r="U2086" i="34"/>
  <c r="U2088" i="34"/>
  <c r="A11" i="56"/>
  <c r="V2091" i="34"/>
  <c r="V2092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U10" i="34"/>
  <c r="U11" i="34"/>
  <c r="U12" i="34"/>
  <c r="U2091" i="34"/>
  <c r="U2092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U2093" i="34"/>
  <c r="V11" i="34"/>
  <c r="V10" i="34"/>
  <c r="V12" i="34"/>
  <c r="V209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1" i="34"/>
  <c r="K12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A30" i="47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0" i="42" l="1"/>
  <c r="A6" i="42"/>
  <c r="A104" i="42"/>
  <c r="I105" i="42"/>
  <c r="J250" i="60"/>
  <c r="H27" i="56"/>
  <c r="I16" i="71"/>
  <c r="J16" i="71"/>
  <c r="J16" i="14"/>
  <c r="G70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H100" i="42"/>
  <c r="A29" i="56"/>
  <c r="J17" i="71" l="1"/>
  <c r="I17" i="71"/>
  <c r="I17" i="14"/>
  <c r="J17" i="14"/>
  <c r="I101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l="1"/>
  <c r="I66" i="14"/>
  <c r="I67" i="14" s="1"/>
  <c r="H57" i="47"/>
  <c r="H58" i="47" l="1"/>
  <c r="J67" i="14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03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75" i="55" l="1"/>
  <c r="L77" i="55"/>
  <c r="L99" i="55"/>
  <c r="L116" i="55"/>
  <c r="L36" i="55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<sst xmlns="http://schemas.openxmlformats.org/spreadsheetml/2006/main" count="15038" uniqueCount="1337">
  <si>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</si>
  <si>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</si>
  <si>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</si>
  <si>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</si>
  <si>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</si>
  <si>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</si>
  <si>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</si>
  <si>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</si>
  <si>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</si>
  <si>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</si>
  <si>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</si>
  <si>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</si>
  <si>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</si>
  <si>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</si>
  <si>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</si>
  <si>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</si>
  <si>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</si>
  <si>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</si>
  <si>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</si>
  <si>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</si>
  <si>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</si>
  <si>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</si>
  <si>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</si>
  <si>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</si>
  <si>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</si>
  <si>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</si>
  <si>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</si>
  <si>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</si>
  <si>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</si>
  <si>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</si>
  <si>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</si>
  <si>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</si>
  <si>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</si>
  <si>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</si>
  <si>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</si>
  <si>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</si>
  <si>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</si>
  <si>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</si>
  <si>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</si>
  <si>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</si>
  <si>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</si>
  <si>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</si>
  <si>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</si>
  <si>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</si>
  <si>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</si>
  <si>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</si>
  <si>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</si>
  <si>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</si>
  <si>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</si>
  <si>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</si>
  <si>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</si>
  <si>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</si>
  <si>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</si>
  <si>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</si>
  <si>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</si>
  <si>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</si>
  <si>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</si>
  <si>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</si>
  <si>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</si>
  <si>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</si>
  <si>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</si>
  <si>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</si>
  <si>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</si>
  <si>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</si>
  <si>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</si>
  <si>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</si>
  <si>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</si>
  <si>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</si>
  <si>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</si>
  <si>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</si>
  <si>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</si>
  <si>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</si>
  <si>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</si>
  <si>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</si>
  <si>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</si>
  <si>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</si>
  <si>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</si>
  <si>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</si>
  <si>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</si>
  <si>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</si>
  <si>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</si>
  <si>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</si>
  <si>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</si>
  <si>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</si>
  <si>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</si>
  <si>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</si>
  <si>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</si>
  <si>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</si>
  <si>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</si>
  <si>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</si>
  <si>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</si>
  <si>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</si>
  <si>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</si>
  <si>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</si>
  <si>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</si>
  <si>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</si>
  <si>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</si>
  <si>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</si>
  <si>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</si>
  <si>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</si>
  <si>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</si>
  <si>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</si>
  <si>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</si>
  <si>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</si>
  <si>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</si>
  <si>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</si>
  <si>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</si>
  <si>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</si>
  <si>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</si>
  <si>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</si>
  <si>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</si>
  <si>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</si>
  <si>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</si>
  <si>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</si>
  <si>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</si>
  <si>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</si>
  <si>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</si>
  <si>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</si>
  <si>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</si>
  <si>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</si>
  <si>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</si>
  <si>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</si>
  <si>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</si>
  <si>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</si>
  <si>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</si>
  <si>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</si>
  <si>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</si>
  <si>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</si>
  <si>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</si>
  <si>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</si>
  <si>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</si>
  <si>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</si>
  <si>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</si>
  <si>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</si>
  <si>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</si>
  <si>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</si>
  <si>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</si>
  <si>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</si>
  <si>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</si>
  <si>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</si>
  <si>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</si>
  <si>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</si>
  <si>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</si>
  <si>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</si>
  <si>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</si>
  <si>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</si>
  <si>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</si>
  <si>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</si>
  <si>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</si>
  <si>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</si>
  <si>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</si>
  <si>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</si>
  <si>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</si>
  <si>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</si>
  <si>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</si>
  <si>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</si>
  <si>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</si>
  <si>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</si>
  <si>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</si>
  <si>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</si>
  <si>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</si>
  <si>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</si>
  <si>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</si>
  <si>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</si>
  <si>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</si>
  <si>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</si>
  <si>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</si>
  <si>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</si>
  <si>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</si>
  <si>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</si>
  <si>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</si>
  <si>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</si>
  <si>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</si>
  <si>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</si>
  <si>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</si>
  <si>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</si>
  <si>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</si>
  <si>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</si>
  <si>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</si>
  <si>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</si>
  <si>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</si>
  <si>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</si>
  <si>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</si>
  <si>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</si>
  <si>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</si>
  <si>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</si>
  <si>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</si>
  <si>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</si>
  <si>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</si>
  <si>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</si>
  <si>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</si>
  <si>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</si>
  <si>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</si>
  <si>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</si>
  <si>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</si>
  <si>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</si>
  <si>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</si>
  <si>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</si>
  <si>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</si>
  <si>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</si>
  <si>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</si>
  <si>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</si>
  <si>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</si>
  <si>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</si>
  <si>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</si>
  <si>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</si>
  <si>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</si>
  <si>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</si>
  <si>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</si>
  <si>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</si>
  <si>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</si>
  <si>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</si>
  <si>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</si>
  <si>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</si>
  <si>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</si>
  <si>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</si>
  <si>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</si>
  <si>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</si>
  <si>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</si>
  <si>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</si>
  <si>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</si>
  <si>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</si>
  <si>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</si>
  <si>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</si>
  <si>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</si>
  <si>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</si>
  <si>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</si>
  <si>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</si>
  <si>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</si>
  <si>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</si>
  <si>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</si>
  <si>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</si>
  <si>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</si>
  <si>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</si>
  <si>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</si>
  <si>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</si>
  <si>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</si>
  <si>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</si>
  <si>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</si>
  <si>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</si>
  <si>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</si>
  <si>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</si>
  <si>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</si>
  <si>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</si>
  <si>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</si>
  <si>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</si>
  <si>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</si>
  <si>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</si>
  <si>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</si>
  <si>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</si>
  <si>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</si>
  <si>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</si>
  <si>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</si>
  <si>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</si>
  <si>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</si>
  <si>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</si>
  <si>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</si>
  <si>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</si>
  <si>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</si>
  <si>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</si>
  <si>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</si>
  <si>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</si>
  <si>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</si>
  <si>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</si>
  <si>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</si>
  <si>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</si>
  <si>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</si>
  <si>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</si>
  <si>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</si>
  <si>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</si>
  <si>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</si>
  <si>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</si>
  <si>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</si>
  <si>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</si>
  <si>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</si>
  <si>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</si>
  <si>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</si>
  <si>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</si>
  <si>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</si>
  <si>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</si>
  <si>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</si>
  <si>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</si>
  <si>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</si>
  <si>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</si>
  <si>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</si>
  <si>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</si>
  <si>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</si>
  <si>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</si>
  <si>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</si>
  <si>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</si>
  <si>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</si>
  <si>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</si>
  <si>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</si>
  <si>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</si>
  <si>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</si>
  <si>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</si>
  <si>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</si>
  <si>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</si>
  <si>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</si>
  <si>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</si>
  <si>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</si>
  <si>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</si>
  <si>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</si>
  <si>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</si>
  <si>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</si>
  <si>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</si>
  <si>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</si>
  <si>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</si>
  <si>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</si>
  <si>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</si>
  <si>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</si>
  <si>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</si>
  <si>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</si>
  <si>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</si>
  <si>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</si>
  <si>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</si>
  <si>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</si>
  <si>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</si>
  <si>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</si>
  <si>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</si>
  <si>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</si>
  <si>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</si>
  <si>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</si>
  <si>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</si>
  <si>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</si>
  <si>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</si>
  <si>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</si>
  <si>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</si>
  <si>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</si>
  <si>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</si>
  <si>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</si>
  <si>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</si>
  <si>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</si>
  <si>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</si>
  <si>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</si>
  <si>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</si>
  <si>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</si>
  <si>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</si>
  <si>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</si>
  <si>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</si>
  <si>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</si>
  <si>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</si>
  <si>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</si>
  <si>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</si>
  <si>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</si>
  <si>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</si>
  <si>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</si>
  <si>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</si>
  <si>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</si>
  <si>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</si>
  <si>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</si>
  <si>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</si>
  <si>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</si>
  <si>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</si>
  <si>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</si>
  <si>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</si>
  <si>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</si>
  <si>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</si>
  <si>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</si>
  <si>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</si>
  <si>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</si>
  <si>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</si>
  <si>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</si>
  <si>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</si>
  <si>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</si>
  <si>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</si>
  <si>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</si>
  <si>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</si>
  <si>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</si>
  <si>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</si>
  <si>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</si>
  <si>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</si>
  <si>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</si>
  <si>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</si>
  <si>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</si>
  <si>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</si>
  <si>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</si>
  <si>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</si>
  <si>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</si>
  <si>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</si>
  <si>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</si>
  <si>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</si>
  <si>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</si>
  <si>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</si>
  <si>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</si>
  <si>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</si>
  <si>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</si>
  <si>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</si>
  <si>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</si>
  <si>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</si>
  <si>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</si>
  <si>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</si>
  <si>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</si>
  <si>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</si>
  <si>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</si>
  <si>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</si>
  <si>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</si>
  <si>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</si>
  <si>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</si>
  <si>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</si>
  <si>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</si>
  <si>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</si>
  <si>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</si>
  <si>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</si>
  <si>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</si>
  <si>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</si>
  <si>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</si>
  <si>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</si>
  <si>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</si>
  <si>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</si>
  <si>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</si>
  <si>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</si>
  <si>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</si>
  <si>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</si>
  <si>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</si>
  <si>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</si>
  <si>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</si>
  <si>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</si>
  <si>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</si>
  <si>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</si>
  <si>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</si>
  <si>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</si>
  <si>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</si>
  <si>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</si>
  <si>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</si>
  <si>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</si>
  <si>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</si>
  <si>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</si>
  <si>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</si>
  <si>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</si>
  <si>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</si>
  <si>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</si>
  <si>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</si>
  <si>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</si>
  <si>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</si>
  <si>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</si>
  <si>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</si>
  <si>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</si>
  <si>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</si>
  <si>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</si>
  <si>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</si>
  <si>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</si>
  <si>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</si>
  <si>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</si>
  <si>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</si>
  <si>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</si>
  <si>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</si>
  <si>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</si>
  <si>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</si>
  <si>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</si>
  <si>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</si>
  <si>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</si>
  <si>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</si>
  <si>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</si>
  <si>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</si>
  <si>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</si>
  <si>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</si>
  <si>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</si>
  <si>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</si>
  <si>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</si>
  <si>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</si>
  <si>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</si>
  <si>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</si>
  <si>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</si>
  <si>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</si>
  <si>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</si>
  <si>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</si>
  <si>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</si>
  <si>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</si>
  <si>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</si>
  <si>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</si>
  <si>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</si>
  <si>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</si>
  <si>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</si>
  <si>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</si>
  <si>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</si>
  <si>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</si>
  <si>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</si>
  <si>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</si>
  <si>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</si>
  <si>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</si>
  <si>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</si>
  <si>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</si>
  <si>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</si>
  <si>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</si>
  <si>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</si>
  <si>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</si>
  <si>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</si>
  <si>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</si>
  <si>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</si>
  <si>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</si>
  <si>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</si>
  <si>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</si>
  <si>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</si>
  <si>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</si>
  <si>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</si>
  <si>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</si>
  <si>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</si>
  <si>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</si>
  <si>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</si>
  <si>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</si>
  <si>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</si>
  <si>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</si>
  <si>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</si>
  <si>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</si>
  <si>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</si>
  <si>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</si>
  <si>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</si>
  <si>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</si>
  <si>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</si>
  <si>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</si>
  <si>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</si>
  <si>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</si>
  <si>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</si>
  <si>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</si>
  <si>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</si>
  <si>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</si>
  <si>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</si>
  <si>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</si>
  <si>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</si>
  <si>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</si>
  <si>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</si>
  <si>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</si>
  <si>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</si>
  <si>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</si>
  <si>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</si>
  <si>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</si>
  <si>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</si>
  <si>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</si>
  <si>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</si>
  <si>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</si>
  <si>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</si>
  <si>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</si>
  <si>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</si>
  <si>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</si>
  <si>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</si>
  <si>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</si>
  <si>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</si>
  <si>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</si>
  <si>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</si>
  <si>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</si>
  <si>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</si>
  <si>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</si>
  <si>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</si>
  <si>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</si>
  <si>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</si>
  <si>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</si>
  <si>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</si>
  <si>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</si>
  <si>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</si>
  <si>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</si>
  <si>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</si>
  <si>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</si>
  <si>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</si>
  <si>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</si>
  <si>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</si>
  <si>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</si>
  <si>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</si>
  <si>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</si>
  <si>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</si>
  <si>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</si>
  <si>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</si>
  <si>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</si>
  <si>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</si>
  <si>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</si>
  <si>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</si>
  <si>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</si>
  <si>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</si>
  <si>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</si>
  <si>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</si>
  <si>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</si>
  <si>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</si>
  <si>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</si>
  <si>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</si>
  <si>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</si>
  <si>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</si>
  <si>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</si>
  <si>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</si>
  <si>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</si>
  <si>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</si>
  <si>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</si>
  <si>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</si>
  <si>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</si>
  <si>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</si>
  <si>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</si>
  <si>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</si>
  <si>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</si>
  <si>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</si>
  <si>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</si>
  <si>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</si>
  <si>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</si>
  <si>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</si>
  <si>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</si>
  <si>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</si>
  <si>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</si>
  <si>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</si>
  <si>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</si>
  <si>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</si>
  <si>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</si>
  <si>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</si>
  <si>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</si>
  <si>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</si>
  <si>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</si>
  <si>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</si>
  <si>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</si>
  <si>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</si>
  <si>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</si>
  <si>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</si>
  <si>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</si>
  <si>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</si>
  <si>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</si>
  <si>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</si>
  <si>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</si>
  <si>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</si>
  <si>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</si>
  <si>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</si>
  <si>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</si>
  <si>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</si>
  <si>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</si>
  <si>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</si>
  <si>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</si>
  <si>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</si>
  <si>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</si>
  <si>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</si>
  <si>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</si>
  <si>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</si>
  <si>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</si>
  <si>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</si>
  <si>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</si>
  <si>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</si>
  <si>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</si>
  <si>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</si>
  <si>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</si>
  <si>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</si>
  <si>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</si>
  <si>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</si>
  <si>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</si>
  <si>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</si>
  <si>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</si>
  <si>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</si>
  <si>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</si>
  <si>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</si>
  <si>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</si>
  <si>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</si>
  <si>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</si>
  <si>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</si>
  <si>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</si>
  <si>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</si>
  <si>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</si>
  <si>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</si>
  <si>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</si>
  <si>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</si>
  <si>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</si>
  <si>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</si>
  <si>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</si>
  <si>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</si>
  <si>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</si>
  <si>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</si>
  <si>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</si>
  <si>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</si>
  <si>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</si>
  <si>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</si>
  <si>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</si>
  <si>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</si>
  <si>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</si>
  <si>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</si>
  <si>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</si>
  <si>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</si>
  <si>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</si>
  <si>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</si>
  <si>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</si>
  <si>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</si>
  <si>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</si>
  <si>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</si>
  <si>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</si>
  <si>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</si>
  <si>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</si>
  <si>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</si>
  <si>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</si>
  <si>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</si>
  <si>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</si>
  <si>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</si>
  <si>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</si>
  <si>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</si>
  <si>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</si>
  <si>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</si>
  <si>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</si>
  <si>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</si>
  <si>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</si>
  <si>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</si>
  <si>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</si>
  <si>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</si>
  <si>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</si>
  <si>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</si>
  <si>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</si>
  <si>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</si>
  <si>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</si>
  <si>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</si>
  <si>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</si>
  <si>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</si>
  <si>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</si>
  <si>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</si>
  <si>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</si>
  <si>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</si>
  <si>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</si>
  <si>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</si>
  <si>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</si>
  <si>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</si>
  <si>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</si>
  <si>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</si>
  <si>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</si>
  <si>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</si>
  <si>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</si>
  <si>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</si>
  <si>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</si>
  <si>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</si>
  <si>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</si>
  <si>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</si>
  <si>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</si>
  <si>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</si>
  <si>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</si>
  <si>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</si>
  <si>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</si>
  <si>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</si>
  <si>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</si>
  <si>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</si>
  <si>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</si>
  <si>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</si>
  <si>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</si>
  <si>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</si>
  <si>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</si>
  <si>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</si>
  <si>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</si>
  <si>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</si>
  <si>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</si>
  <si>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</si>
  <si>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</si>
  <si>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</si>
  <si>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</si>
  <si>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</si>
  <si>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</si>
  <si>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</si>
  <si>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</si>
  <si>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</si>
  <si>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</si>
  <si>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</si>
  <si>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</si>
  <si>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</si>
  <si>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</si>
  <si>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</si>
  <si>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</si>
  <si>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</si>
  <si>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</si>
  <si>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</si>
  <si>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</si>
  <si>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</si>
  <si>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</si>
  <si>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</si>
  <si>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</si>
  <si>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</si>
  <si>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</si>
  <si>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</si>
  <si>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</si>
  <si>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</si>
  <si>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</si>
  <si>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</si>
  <si>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</si>
  <si>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</si>
  <si>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</si>
  <si>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</si>
  <si>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</si>
  <si>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</si>
  <si>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</si>
  <si>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</si>
  <si>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</si>
  <si>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</si>
  <si>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</si>
  <si>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</si>
  <si>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</si>
  <si>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</si>
  <si>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</si>
  <si>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</si>
  <si>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</si>
  <si>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</si>
  <si>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</si>
  <si>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</si>
  <si>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</si>
  <si>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</si>
  <si>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</si>
  <si>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</si>
  <si>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</si>
  <si>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</si>
  <si>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</si>
  <si>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</si>
  <si>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</si>
  <si>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</si>
  <si>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</si>
  <si>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</si>
  <si>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</si>
  <si>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</si>
  <si>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</si>
  <si>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</si>
  <si>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</si>
  <si>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</si>
  <si>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</si>
  <si>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</si>
  <si>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</si>
  <si>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</si>
  <si>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</si>
  <si>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</si>
  <si>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</si>
  <si>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</si>
  <si>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</si>
  <si>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</si>
  <si>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</si>
  <si>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</si>
  <si>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</si>
  <si>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</si>
  <si>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</si>
  <si>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</si>
  <si>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</si>
  <si>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</si>
  <si>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</si>
  <si>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</si>
  <si>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</si>
  <si>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</si>
  <si>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</si>
  <si>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</si>
  <si>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</si>
  <si>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</si>
  <si>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</si>
  <si>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</si>
  <si>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</si>
  <si>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</si>
  <si>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</si>
  <si>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</si>
  <si>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</si>
  <si>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</si>
  <si>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</si>
  <si>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</si>
  <si>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</si>
  <si>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</si>
  <si>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</si>
  <si>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</si>
  <si>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</si>
  <si>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</si>
  <si>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</si>
  <si>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</si>
  <si>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</si>
  <si>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</si>
  <si>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</si>
  <si>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</si>
  <si>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</si>
  <si>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</si>
  <si>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</si>
  <si>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</si>
  <si>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</si>
  <si>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</si>
  <si>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</si>
  <si>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</si>
  <si>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</si>
  <si>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</si>
  <si>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</si>
  <si>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</si>
  <si>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</si>
  <si>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</si>
  <si>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</si>
  <si>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</si>
  <si>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</si>
  <si>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</si>
  <si>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</si>
  <si>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</si>
  <si>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</si>
  <si>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</si>
  <si>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</si>
  <si>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</si>
  <si>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</si>
  <si>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</si>
  <si>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</si>
  <si>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</si>
  <si>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</si>
  <si>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</si>
  <si>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</si>
  <si>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</si>
  <si>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</si>
  <si>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</si>
  <si>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</si>
  <si>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</si>
  <si>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</si>
  <si>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</si>
  <si>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</si>
  <si>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</si>
  <si>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</si>
  <si>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</si>
  <si>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</si>
  <si>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</si>
  <si>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</si>
  <si>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</si>
  <si>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</si>
  <si>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</si>
  <si>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</si>
  <si>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</si>
  <si>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</si>
  <si>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</si>
  <si>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</si>
  <si>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</si>
  <si>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</si>
  <si>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</si>
  <si>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</si>
  <si>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</si>
  <si>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</si>
  <si>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</si>
  <si>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</si>
  <si>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</si>
  <si>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</si>
  <si>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</si>
  <si>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</si>
  <si>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</si>
  <si>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</si>
  <si>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</si>
  <si>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</si>
  <si>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</si>
  <si>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</si>
  <si>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</si>
  <si>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</si>
  <si>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</si>
  <si>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</si>
  <si>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</si>
  <si>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</si>
  <si>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</si>
  <si>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</si>
  <si>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</si>
  <si>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</si>
  <si>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</si>
  <si>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</si>
  <si>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</si>
  <si>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</si>
  <si>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</si>
  <si>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</si>
  <si>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</si>
  <si>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</si>
  <si>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</si>
  <si>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</si>
  <si>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</si>
  <si>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</si>
  <si>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</si>
  <si>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</si>
  <si>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</si>
  <si>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</si>
  <si>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</si>
  <si>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</si>
  <si>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</si>
  <si>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</si>
  <si>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</si>
  <si>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</si>
  <si>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</si>
  <si>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</si>
  <si>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</si>
  <si>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</si>
  <si>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</si>
  <si>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</si>
  <si>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</si>
  <si>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</si>
  <si>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</si>
  <si>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</si>
  <si>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</si>
  <si>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</si>
  <si>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</si>
  <si>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</si>
  <si>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</si>
  <si>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</si>
  <si>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</si>
  <si>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</si>
  <si>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</si>
  <si>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</si>
  <si>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</si>
  <si>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</si>
  <si>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</si>
  <si>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</si>
  <si>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</si>
  <si>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</si>
  <si>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</si>
  <si>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</si>
  <si>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</si>
  <si>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</si>
  <si>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</si>
  <si>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</si>
  <si>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</si>
  <si>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</si>
  <si>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</si>
  <si>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</si>
  <si>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</si>
  <si>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</si>
  <si>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</si>
  <si>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</si>
  <si>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</si>
  <si>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</si>
  <si>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</si>
  <si>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</si>
  <si>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</si>
  <si>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</si>
  <si>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</si>
  <si>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</si>
  <si>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</si>
  <si>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</si>
  <si>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</si>
  <si>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</si>
  <si>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</si>
  <si>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</si>
  <si>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</si>
  <si>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</si>
  <si>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</si>
  <si>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</si>
  <si>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</si>
  <si>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</si>
  <si>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</si>
  <si>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</si>
  <si>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</si>
  <si>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</si>
  <si>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</si>
  <si>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</si>
  <si>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</si>
  <si>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</si>
  <si>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</si>
  <si>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</si>
  <si>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</si>
  <si>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</si>
  <si>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</si>
  <si>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</si>
  <si>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</si>
  <si>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</si>
  <si>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</si>
  <si>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</si>
  <si>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</si>
  <si>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</si>
  <si>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</si>
  <si>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</si>
  <si>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</si>
  <si>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</si>
  <si>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</si>
  <si>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</si>
  <si>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</si>
  <si>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</si>
  <si>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</si>
  <si>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</si>
  <si>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</si>
  <si>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</si>
  <si>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</si>
  <si>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</si>
  <si>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</si>
  <si>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</si>
  <si>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</si>
  <si>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</si>
  <si>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</si>
  <si>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</si>
  <si>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</si>
  <si>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</si>
  <si>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</si>
  <si>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</si>
  <si>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</si>
  <si>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</si>
  <si>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</si>
  <si>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</si>
  <si>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</si>
  <si>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</si>
  <si>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</si>
  <si>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</si>
  <si>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</si>
  <si>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</si>
  <si>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</si>
  <si>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</si>
  <si>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</si>
  <si>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</si>
  <si>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</si>
  <si>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</si>
  <si>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</si>
  <si>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</si>
  <si>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</si>
  <si>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</si>
  <si>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</si>
  <si>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</si>
  <si>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</si>
  <si>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</si>
  <si>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</si>
  <si>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</si>
  <si>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</si>
  <si>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</si>
  <si>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</si>
  <si>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</si>
  <si>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</si>
  <si>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</si>
  <si>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</si>
  <si>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</si>
  <si>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</si>
  <si>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</si>
  <si>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</si>
  <si>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</si>
  <si>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</si>
  <si>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</si>
  <si>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</si>
  <si>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</si>
  <si>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</si>
  <si>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</si>
  <si>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</si>
  <si>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</si>
  <si>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</si>
  <si>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</si>
  <si>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</si>
  <si>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</si>
  <si>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</si>
  <si>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</si>
  <si>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</si>
  <si>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</si>
  <si>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</si>
  <si>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</si>
  <si>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</si>
  <si>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</si>
  <si>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</si>
  <si>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</si>
  <si>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</si>
  <si>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</si>
  <si>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</si>
  <si>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</si>
  <si>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</si>
  <si>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</si>
  <si>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</si>
  <si>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</si>
  <si>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</si>
  <si>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</si>
  <si>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</si>
  <si>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</si>
  <si>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</si>
  <si>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</si>
  <si>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</si>
  <si>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</si>
  <si>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</si>
  <si>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</si>
  <si>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</si>
  <si>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</si>
  <si>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</si>
  <si>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</si>
  <si>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</si>
  <si>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</si>
  <si>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</si>
  <si>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</si>
  <si>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</si>
  <si>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</si>
  <si>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</si>
  <si>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</si>
  <si>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</si>
  <si>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</si>
  <si>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</si>
  <si>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</si>
  <si>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</si>
  <si>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</si>
  <si>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</si>
  <si>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</si>
  <si>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</si>
  <si>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</si>
  <si>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</si>
  <si>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</si>
  <si>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</si>
  <si>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</si>
  <si>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</si>
  <si>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</si>
  <si>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</si>
  <si>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</si>
  <si>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</si>
  <si>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</si>
  <si>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</si>
  <si>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</si>
  <si>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</si>
  <si>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</si>
  <si>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</si>
  <si>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</si>
  <si>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</si>
  <si>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</si>
  <si>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</si>
  <si>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</si>
  <si>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</si>
  <si>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</si>
  <si>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</si>
  <si>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</si>
  <si>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</si>
  <si>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</si>
  <si>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</si>
  <si>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</si>
  <si>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</si>
  <si>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</si>
  <si>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</si>
  <si>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</si>
  <si>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</si>
  <si>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</si>
  <si>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</si>
  <si>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</si>
  <si>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</si>
  <si>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</si>
  <si>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</si>
  <si>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</si>
  <si>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</si>
  <si>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</si>
  <si>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</si>
  <si>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</si>
  <si>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</si>
  <si>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</si>
  <si>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</si>
  <si>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</si>
  <si>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</si>
  <si>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</si>
  <si>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</si>
  <si>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</si>
  <si>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</si>
  <si>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</si>
  <si>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</si>
  <si>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</si>
  <si>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</si>
  <si>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</si>
  <si>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</si>
  <si>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</si>
  <si>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</si>
  <si>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</si>
  <si>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</si>
  <si>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</si>
  <si>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</si>
  <si>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</si>
  <si>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</si>
  <si>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</si>
  <si>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</si>
  <si>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</si>
  <si>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</si>
  <si>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</si>
  <si>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</si>
  <si>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</si>
  <si>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</si>
  <si>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</si>
  <si>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</si>
  <si>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</si>
  <si>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</si>
  <si>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</si>
  <si>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</si>
  <si>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</si>
  <si>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</si>
  <si>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</si>
  <si>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</si>
  <si>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</si>
  <si>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</si>
  <si>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</si>
  <si>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</si>
  <si>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</si>
  <si>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</si>
  <si>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</si>
  <si>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</si>
  <si>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</si>
  <si>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</si>
  <si>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</si>
  <si>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</si>
  <si>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</si>
  <si>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</si>
  <si>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</si>
  <si>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</si>
  <si>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</si>
  <si>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</si>
  <si>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</si>
  <si>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</si>
  <si>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</si>
  <si>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</si>
  <si>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</si>
  <si>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</si>
  <si>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</si>
  <si>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</si>
  <si>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</si>
  <si>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</si>
  <si>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</si>
  <si>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</si>
  <si>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</si>
  <si>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</si>
  <si>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</si>
  <si>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</si>
  <si>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</si>
  <si>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</si>
  <si>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</si>
  <si>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</si>
  <si>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</si>
  <si>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</si>
  <si>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</si>
  <si>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</si>
  <si>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</si>
  <si>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</si>
  <si>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</si>
  <si>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</si>
  <si>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</si>
  <si>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</si>
  <si>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C30</t>
  </si>
  <si>
    <t>C31</t>
  </si>
  <si>
    <t>C32</t>
  </si>
  <si>
    <t>C33</t>
  </si>
  <si>
    <t>C34</t>
  </si>
  <si>
    <t>C35</t>
  </si>
  <si>
    <t>C36</t>
  </si>
  <si>
    <t>cái</t>
  </si>
  <si>
    <t>Kết thúc công nợ</t>
  </si>
  <si>
    <t>Q3</t>
  </si>
  <si>
    <t>C37</t>
  </si>
  <si>
    <t>0000292;0000298</t>
  </si>
  <si>
    <t>0000306;0000321;0000323</t>
  </si>
  <si>
    <t>0000343;0000362;0000393</t>
  </si>
  <si>
    <t>0000436;0000464</t>
  </si>
  <si>
    <t>0000485;0000498</t>
  </si>
  <si>
    <t>0000462;0000478</t>
  </si>
  <si>
    <t>0000356;0000445</t>
  </si>
  <si>
    <t>0000471;0000495</t>
  </si>
  <si>
    <t>0000438;0000439;0000440;0000441</t>
  </si>
  <si>
    <t>0000267;0000335</t>
  </si>
  <si>
    <t>0000381;0000408</t>
  </si>
  <si>
    <t>0000305;0000455</t>
  </si>
  <si>
    <t>0000330;0000423;0000475</t>
  </si>
  <si>
    <t>0000265;0000271</t>
  </si>
  <si>
    <t>0000274;0000277</t>
  </si>
  <si>
    <t>0000266;0000272</t>
  </si>
  <si>
    <t>0000278;0000281</t>
  </si>
  <si>
    <t>0000293;0000304</t>
  </si>
  <si>
    <t>0000324;0000344</t>
  </si>
  <si>
    <t>0000354;0000360</t>
  </si>
  <si>
    <t>0000371;0000389</t>
  </si>
  <si>
    <t>0000403;0000417</t>
  </si>
  <si>
    <t>0000432;0000453</t>
  </si>
  <si>
    <t>0000463;0000465;0000468</t>
  </si>
  <si>
    <t>0000481;0000490</t>
  </si>
  <si>
    <t>0000411;0000458</t>
  </si>
  <si>
    <t>0000307;0000312;0000320</t>
  </si>
  <si>
    <t>0000419;0000427</t>
  </si>
  <si>
    <t>0000268;0000276</t>
  </si>
  <si>
    <t>0000282;0000284;0000287</t>
  </si>
  <si>
    <t>0000333;0000349</t>
  </si>
  <si>
    <t>0000363;0000383</t>
  </si>
  <si>
    <t>0000399;0000404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</si>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</sst>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5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5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5" fillId="0" borderId="16" xfId="54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vertical="center"/>
    </xf>
    <xf numFmtId="1" fontId="75" fillId="0" borderId="16" xfId="54" quotePrefix="1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1" fillId="0" borderId="0" xfId="0" applyFont="1" applyFill="1"/>
    <xf numFmtId="0" fontId="92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5" fillId="0" borderId="16" xfId="90" applyNumberFormat="1" applyFont="1" applyFill="1" applyBorder="1" applyAlignment="1">
      <alignment horizontal="center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4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5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75" fillId="0" borderId="16" xfId="90" quotePrefix="1" applyNumberFormat="1" applyFont="1" applyFill="1" applyBorder="1" applyAlignment="1">
      <alignment horizontal="left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NKSC - 14"/>
    </sheetNames>
    <definedNames>
      <definedName name="DS_131" refersTo="='131'!$B$6:$B$48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  <row r="48">
          <cell r="B48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25" activePane="bottomLeft" state="frozen"/>
      <selection activeCell="A6" sqref="A6"/>
      <selection pane="bottomLeft" activeCell="D52" sqref="D52"/>
    </sheetView>
  </sheetViews>
  <sheetFormatPr defaultColWidth="8" defaultRowHeight="12.75"/>
  <cols>
    <col min="1" max="1" width="5.7109375" style="632" customWidth="1"/>
    <col min="2" max="2" width="36.85546875" style="632" customWidth="1"/>
    <col min="3" max="4" width="14.28515625" style="159" customWidth="1"/>
    <col min="5" max="6" width="14.7109375" style="632" customWidth="1"/>
    <col min="7" max="8" width="13.85546875" style="632" customWidth="1"/>
    <col min="9" max="9" width="2.42578125" style="632" customWidth="1"/>
    <col min="10" max="10" width="11" style="632" customWidth="1"/>
    <col min="11" max="11" width="2.85546875" style="632" customWidth="1"/>
    <col min="12" max="12" width="11.85546875" style="632" customWidth="1"/>
    <col min="13" max="16384" width="8" style="632"/>
  </cols>
  <sheetData>
    <row r="1" spans="1:16">
      <c r="A1" s="631"/>
      <c r="B1" s="631"/>
    </row>
    <row r="2" spans="1:16">
      <c r="A2" s="631" t="str">
        <f>TH!A1</f>
        <v>Đơn vị: CÔNG TY TNHH SX TM KIM DUNG PHÁT</v>
      </c>
      <c r="B2" s="631"/>
    </row>
    <row r="3" spans="1:16">
      <c r="A3" s="632" t="str">
        <f>TH!A2</f>
        <v>Địa chỉ: 1A227/1 Ấp 1, Phạm Văn Hai, Bình Chánh, TPHCM</v>
      </c>
      <c r="B3" s="631"/>
    </row>
    <row r="5" spans="1:16" ht="36" customHeight="1">
      <c r="A5" s="633"/>
      <c r="B5" s="633"/>
      <c r="C5" s="634"/>
      <c r="D5" s="635" t="s">
        <v>362</v>
      </c>
      <c r="E5" s="633"/>
      <c r="F5" s="633"/>
      <c r="G5" s="633"/>
      <c r="H5" s="633"/>
    </row>
    <row r="6" spans="1:16" ht="15.75">
      <c r="A6" s="633"/>
      <c r="B6" s="633"/>
      <c r="C6" s="634"/>
      <c r="D6" s="656" t="s">
        <v>1081</v>
      </c>
      <c r="E6" s="633"/>
      <c r="F6" s="633"/>
      <c r="G6" s="633"/>
      <c r="H6" s="633"/>
    </row>
    <row r="7" spans="1:16" ht="6.75" customHeight="1"/>
    <row r="8" spans="1:16" ht="21.75" customHeight="1">
      <c r="A8" s="881" t="s">
        <v>459</v>
      </c>
      <c r="B8" s="881" t="s">
        <v>360</v>
      </c>
      <c r="C8" s="877" t="s">
        <v>37</v>
      </c>
      <c r="D8" s="878"/>
      <c r="E8" s="877" t="s">
        <v>38</v>
      </c>
      <c r="F8" s="878"/>
      <c r="G8" s="877" t="s">
        <v>361</v>
      </c>
      <c r="H8" s="878"/>
    </row>
    <row r="9" spans="1:16" ht="21.75" customHeight="1">
      <c r="A9" s="882"/>
      <c r="B9" s="882"/>
      <c r="C9" s="630" t="s">
        <v>42</v>
      </c>
      <c r="D9" s="630" t="s">
        <v>43</v>
      </c>
      <c r="E9" s="630" t="s">
        <v>42</v>
      </c>
      <c r="F9" s="630" t="s">
        <v>43</v>
      </c>
      <c r="G9" s="630" t="s">
        <v>42</v>
      </c>
      <c r="H9" s="630" t="s">
        <v>43</v>
      </c>
    </row>
    <row r="10" spans="1:16" s="159" customFormat="1" ht="17.25" customHeight="1">
      <c r="A10" s="636" t="s">
        <v>47</v>
      </c>
      <c r="B10" s="637" t="s">
        <v>48</v>
      </c>
      <c r="C10" s="638">
        <v>999024357</v>
      </c>
      <c r="D10" s="638"/>
      <c r="E10" s="638">
        <f t="array" ref="E10">SUM(IF(A10=KHN,TH))</f>
        <v>1769512569</v>
      </c>
      <c r="F10" s="638">
        <f t="array" ref="F10">SUM(IF(A10=KHC,TH))</f>
        <v>1127695368</v>
      </c>
      <c r="G10" s="639">
        <f>MAX(C10+E10-D10-F10,0)</f>
        <v>1640841558</v>
      </c>
      <c r="H10" s="639">
        <f>MAX(D10+F10-E10-C10,0)</f>
        <v>0</v>
      </c>
      <c r="J10" s="632"/>
      <c r="K10" s="632"/>
      <c r="L10" s="632"/>
      <c r="M10" s="632"/>
      <c r="N10" s="632"/>
      <c r="O10" s="632"/>
      <c r="P10" s="632"/>
    </row>
    <row r="11" spans="1:16" s="159" customFormat="1" ht="17.25" customHeight="1">
      <c r="A11" s="641" t="s">
        <v>16</v>
      </c>
      <c r="B11" s="641" t="s">
        <v>49</v>
      </c>
      <c r="C11" s="642">
        <f t="shared" ref="C11:D11" si="0">C10</f>
        <v>999024357</v>
      </c>
      <c r="D11" s="642">
        <f t="shared" si="0"/>
        <v>0</v>
      </c>
      <c r="E11" s="642">
        <f t="shared" ref="E11:H11" si="1">E10</f>
        <v>1769512569</v>
      </c>
      <c r="F11" s="642">
        <f t="shared" si="1"/>
        <v>1127695368</v>
      </c>
      <c r="G11" s="642">
        <f t="shared" si="1"/>
        <v>1640841558</v>
      </c>
      <c r="H11" s="642">
        <f t="shared" si="1"/>
        <v>0</v>
      </c>
      <c r="J11" s="632"/>
      <c r="K11" s="632"/>
      <c r="L11" s="632"/>
      <c r="M11" s="632"/>
      <c r="N11" s="632"/>
      <c r="O11" s="632"/>
      <c r="P11" s="632"/>
    </row>
    <row r="12" spans="1:16" s="159" customFormat="1" ht="17.25" customHeight="1">
      <c r="A12" s="637" t="s">
        <v>24</v>
      </c>
      <c r="B12" s="637" t="s">
        <v>50</v>
      </c>
      <c r="C12" s="638">
        <v>334933</v>
      </c>
      <c r="D12" s="638">
        <v>0</v>
      </c>
      <c r="E12" s="638">
        <f t="array" ref="E12">SUM(IF(A12=KHN,TH))</f>
        <v>1253069806</v>
      </c>
      <c r="F12" s="638">
        <f t="array" ref="F12">SUM(IF(A12=KHC,TH))</f>
        <v>1253291904</v>
      </c>
      <c r="G12" s="639">
        <f>MAX(C12+E12-D12-F12,0)</f>
        <v>112835</v>
      </c>
      <c r="H12" s="639">
        <f>MAX(D12+F12-E12-C12,0)</f>
        <v>0</v>
      </c>
      <c r="K12" s="640"/>
      <c r="L12" s="640"/>
      <c r="M12" s="640"/>
    </row>
    <row r="13" spans="1:16" s="159" customFormat="1" ht="17.25" customHeight="1">
      <c r="A13" s="641" t="s">
        <v>51</v>
      </c>
      <c r="B13" s="641" t="s">
        <v>52</v>
      </c>
      <c r="C13" s="642">
        <f t="shared" ref="C13:D13" si="2">C12</f>
        <v>334933</v>
      </c>
      <c r="D13" s="642">
        <f t="shared" si="2"/>
        <v>0</v>
      </c>
      <c r="E13" s="642">
        <f t="shared" ref="E13:H13" si="3">E12</f>
        <v>1253069806</v>
      </c>
      <c r="F13" s="642">
        <f t="shared" si="3"/>
        <v>1253291904</v>
      </c>
      <c r="G13" s="642">
        <f t="shared" si="3"/>
        <v>112835</v>
      </c>
      <c r="H13" s="642">
        <f t="shared" si="3"/>
        <v>0</v>
      </c>
    </row>
    <row r="14" spans="1:16" s="159" customFormat="1" ht="17.25" customHeight="1">
      <c r="A14" s="641" t="s">
        <v>262</v>
      </c>
      <c r="B14" s="641" t="s">
        <v>272</v>
      </c>
      <c r="C14" s="642">
        <v>28325457</v>
      </c>
      <c r="D14" s="642"/>
      <c r="E14" s="643">
        <f t="array" ref="E14">SUM(IF(A14=KHN,TH))</f>
        <v>1969613694</v>
      </c>
      <c r="F14" s="643">
        <f t="array" ref="F14">SUM(IF(A14=KHC,TH))</f>
        <v>1881472691</v>
      </c>
      <c r="G14" s="765">
        <f t="shared" ref="G14" si="4">ROUND(MAX(C14+E14-D14-F14,0),2)</f>
        <v>116466460</v>
      </c>
      <c r="H14" s="642">
        <f>MAX(D14+F14-E14-C14,0)</f>
        <v>0</v>
      </c>
    </row>
    <row r="15" spans="1:16" s="159" customFormat="1" ht="17.25" customHeight="1">
      <c r="A15" s="637" t="s">
        <v>9</v>
      </c>
      <c r="B15" s="637" t="s">
        <v>53</v>
      </c>
      <c r="C15" s="638">
        <v>68101621</v>
      </c>
      <c r="D15" s="638"/>
      <c r="E15" s="638">
        <f t="array" ref="E15">SUM(IF(A15=KHN,TH))</f>
        <v>110954170</v>
      </c>
      <c r="F15" s="638">
        <f t="array" ref="F15">SUM(IF(A15=KHC,TH))</f>
        <v>179055791</v>
      </c>
      <c r="G15" s="639">
        <f>MAX(C15+E15-D15-F15,0)</f>
        <v>0</v>
      </c>
      <c r="H15" s="639">
        <f>MAX(D15+F15-E15-C15,0)</f>
        <v>0</v>
      </c>
    </row>
    <row r="16" spans="1:16" s="159" customFormat="1" ht="17.25" customHeight="1">
      <c r="A16" s="641" t="s">
        <v>54</v>
      </c>
      <c r="B16" s="641" t="s">
        <v>55</v>
      </c>
      <c r="C16" s="642">
        <f t="shared" ref="C16:D16" si="5">C15</f>
        <v>68101621</v>
      </c>
      <c r="D16" s="642">
        <f t="shared" si="5"/>
        <v>0</v>
      </c>
      <c r="E16" s="642">
        <f t="shared" ref="E16:H16" si="6">E15</f>
        <v>110954170</v>
      </c>
      <c r="F16" s="642">
        <f t="shared" si="6"/>
        <v>179055791</v>
      </c>
      <c r="G16" s="642">
        <f t="shared" si="6"/>
        <v>0</v>
      </c>
      <c r="H16" s="642">
        <f t="shared" si="6"/>
        <v>0</v>
      </c>
    </row>
    <row r="17" spans="1:8" s="159" customFormat="1" ht="17.25" customHeight="1">
      <c r="A17" s="637" t="s">
        <v>56</v>
      </c>
      <c r="B17" s="637" t="s">
        <v>57</v>
      </c>
      <c r="C17" s="638"/>
      <c r="D17" s="638"/>
      <c r="E17" s="638">
        <f t="array" ref="E17">SUM(IF(A17=KHN,TH))</f>
        <v>0</v>
      </c>
      <c r="F17" s="638">
        <f t="array" ref="F17">SUM(IF(A17=KHC,TH))</f>
        <v>0</v>
      </c>
      <c r="G17" s="639">
        <f t="shared" ref="G17:G31" si="7">MAX(C17+E17-D17-F17,0)</f>
        <v>0</v>
      </c>
      <c r="H17" s="639">
        <f t="shared" ref="H17:H31" si="8">MAX(D17+F17-E17-C17,0)</f>
        <v>0</v>
      </c>
    </row>
    <row r="18" spans="1:8" s="159" customFormat="1" ht="17.25" customHeight="1">
      <c r="A18" s="641" t="s">
        <v>58</v>
      </c>
      <c r="B18" s="641" t="s">
        <v>59</v>
      </c>
      <c r="C18" s="642">
        <f>C17</f>
        <v>0</v>
      </c>
      <c r="D18" s="642">
        <f>D17</f>
        <v>0</v>
      </c>
      <c r="E18" s="642">
        <f>E17</f>
        <v>0</v>
      </c>
      <c r="F18" s="642">
        <f>F17</f>
        <v>0</v>
      </c>
      <c r="G18" s="642">
        <f t="shared" si="7"/>
        <v>0</v>
      </c>
      <c r="H18" s="642">
        <f t="shared" si="8"/>
        <v>0</v>
      </c>
    </row>
    <row r="19" spans="1:8" s="159" customFormat="1" ht="17.25" customHeight="1">
      <c r="A19" s="637" t="s">
        <v>156</v>
      </c>
      <c r="B19" s="637" t="s">
        <v>157</v>
      </c>
      <c r="C19" s="638">
        <v>928036588</v>
      </c>
      <c r="D19" s="638"/>
      <c r="E19" s="638">
        <f t="array" ref="E19">SUM(IF(A19=KHN,TH))</f>
        <v>651927124</v>
      </c>
      <c r="F19" s="638">
        <f t="array" ref="F19">SUM(IF(A19=KHC,TH))</f>
        <v>1465113201</v>
      </c>
      <c r="G19" s="639">
        <f t="shared" si="7"/>
        <v>114850511</v>
      </c>
      <c r="H19" s="639">
        <f t="shared" si="8"/>
        <v>0</v>
      </c>
    </row>
    <row r="20" spans="1:8" s="159" customFormat="1" ht="17.25" customHeight="1">
      <c r="A20" s="637" t="s">
        <v>158</v>
      </c>
      <c r="B20" s="637" t="s">
        <v>159</v>
      </c>
      <c r="C20" s="638">
        <v>2258000</v>
      </c>
      <c r="D20" s="638"/>
      <c r="E20" s="638">
        <f t="array" ref="E20">SUM(IF(A20=KHN,TH))</f>
        <v>8136000</v>
      </c>
      <c r="F20" s="638">
        <f t="array" ref="F20">SUM(IF(A20=KHC,TH))</f>
        <v>6676000</v>
      </c>
      <c r="G20" s="638">
        <f t="shared" si="7"/>
        <v>3718000</v>
      </c>
      <c r="H20" s="638">
        <f t="shared" si="8"/>
        <v>0</v>
      </c>
    </row>
    <row r="21" spans="1:8" s="159" customFormat="1" ht="17.25" customHeight="1">
      <c r="A21" s="641" t="s">
        <v>160</v>
      </c>
      <c r="B21" s="641" t="s">
        <v>161</v>
      </c>
      <c r="C21" s="642">
        <f>C19+C20</f>
        <v>930294588</v>
      </c>
      <c r="D21" s="642">
        <f>D19+D20</f>
        <v>0</v>
      </c>
      <c r="E21" s="642">
        <f>E19+E20</f>
        <v>660063124</v>
      </c>
      <c r="F21" s="642">
        <f>F19+F20</f>
        <v>1471789201</v>
      </c>
      <c r="G21" s="642">
        <f t="shared" si="7"/>
        <v>118568511</v>
      </c>
      <c r="H21" s="642">
        <f t="shared" si="8"/>
        <v>0</v>
      </c>
    </row>
    <row r="22" spans="1:8" s="159" customFormat="1" ht="17.25" customHeight="1">
      <c r="A22" s="641" t="s">
        <v>162</v>
      </c>
      <c r="B22" s="641" t="s">
        <v>163</v>
      </c>
      <c r="C22" s="642"/>
      <c r="D22" s="642">
        <v>0</v>
      </c>
      <c r="E22" s="643">
        <f t="array" ref="E22">SUM(IF(A22=KHN,TH))</f>
        <v>1693769201</v>
      </c>
      <c r="F22" s="643">
        <f t="array" ref="F22">SUM(IF(A22=KHC,TH))</f>
        <v>1693769201</v>
      </c>
      <c r="G22" s="642">
        <f t="shared" si="7"/>
        <v>0</v>
      </c>
      <c r="H22" s="642">
        <f t="shared" si="8"/>
        <v>0</v>
      </c>
    </row>
    <row r="23" spans="1:8" s="159" customFormat="1" ht="17.25" customHeight="1">
      <c r="A23" s="641" t="s">
        <v>164</v>
      </c>
      <c r="B23" s="641" t="s">
        <v>165</v>
      </c>
      <c r="C23" s="642"/>
      <c r="D23" s="642"/>
      <c r="E23" s="643">
        <f t="array" ref="E23">SUM(IF(A23=KHN,TH))</f>
        <v>1693769201</v>
      </c>
      <c r="F23" s="643">
        <f t="array" ref="F23">SUM(IF(A23=KHC,TH))</f>
        <v>1693769201</v>
      </c>
      <c r="G23" s="642">
        <f t="shared" si="7"/>
        <v>0</v>
      </c>
      <c r="H23" s="642">
        <f t="shared" si="8"/>
        <v>0</v>
      </c>
    </row>
    <row r="24" spans="1:8" s="159" customFormat="1" ht="17.25" customHeight="1">
      <c r="A24" s="644" t="s">
        <v>166</v>
      </c>
      <c r="B24" s="645" t="s">
        <v>167</v>
      </c>
      <c r="C24" s="646">
        <v>365000000</v>
      </c>
      <c r="D24" s="646"/>
      <c r="E24" s="638">
        <f t="array" ref="E24">SUM(IF(A24=KHN,TH))</f>
        <v>0</v>
      </c>
      <c r="F24" s="638">
        <f t="array" ref="F24">SUM(IF(A24=KHC,TH))</f>
        <v>0</v>
      </c>
      <c r="G24" s="646">
        <f t="shared" si="7"/>
        <v>365000000</v>
      </c>
      <c r="H24" s="646">
        <f t="shared" si="8"/>
        <v>0</v>
      </c>
    </row>
    <row r="25" spans="1:8" s="159" customFormat="1" ht="17.25" customHeight="1">
      <c r="A25" s="641" t="s">
        <v>168</v>
      </c>
      <c r="B25" s="641" t="s">
        <v>169</v>
      </c>
      <c r="C25" s="642">
        <f t="shared" ref="C25:H25" si="9">SUM(C24:C24)</f>
        <v>365000000</v>
      </c>
      <c r="D25" s="642">
        <f t="shared" si="9"/>
        <v>0</v>
      </c>
      <c r="E25" s="642">
        <f t="shared" si="9"/>
        <v>0</v>
      </c>
      <c r="F25" s="642">
        <f t="shared" si="9"/>
        <v>0</v>
      </c>
      <c r="G25" s="642">
        <f t="shared" si="9"/>
        <v>365000000</v>
      </c>
      <c r="H25" s="642">
        <f t="shared" si="9"/>
        <v>0</v>
      </c>
    </row>
    <row r="26" spans="1:8" s="159" customFormat="1" ht="17.25" customHeight="1">
      <c r="A26" s="637" t="s">
        <v>263</v>
      </c>
      <c r="B26" s="637" t="s">
        <v>269</v>
      </c>
      <c r="C26" s="638"/>
      <c r="D26" s="638">
        <v>110250000</v>
      </c>
      <c r="E26" s="638">
        <f t="array" ref="E26">SUM(IF(A26=KHN,TH))</f>
        <v>0</v>
      </c>
      <c r="F26" s="638">
        <f t="array" ref="F26">SUM(IF(A26=KHC,TH))</f>
        <v>73000000</v>
      </c>
      <c r="G26" s="638">
        <f>MAX(C26+E26-D26-F26,0)</f>
        <v>0</v>
      </c>
      <c r="H26" s="638">
        <f>MAX(D26+F26-E26-C26,0)</f>
        <v>183250000</v>
      </c>
    </row>
    <row r="27" spans="1:8" s="159" customFormat="1" ht="17.25" customHeight="1">
      <c r="A27" s="641" t="s">
        <v>270</v>
      </c>
      <c r="B27" s="641" t="s">
        <v>271</v>
      </c>
      <c r="C27" s="642">
        <f>C26</f>
        <v>0</v>
      </c>
      <c r="D27" s="642">
        <f t="shared" ref="D27:H27" si="10">D26</f>
        <v>110250000</v>
      </c>
      <c r="E27" s="642">
        <f t="shared" si="10"/>
        <v>0</v>
      </c>
      <c r="F27" s="642">
        <f t="shared" si="10"/>
        <v>73000000</v>
      </c>
      <c r="G27" s="642">
        <f t="shared" si="10"/>
        <v>0</v>
      </c>
      <c r="H27" s="642">
        <f t="shared" si="10"/>
        <v>183250000</v>
      </c>
    </row>
    <row r="28" spans="1:8" s="159" customFormat="1" ht="17.25" customHeight="1">
      <c r="A28" s="641" t="s">
        <v>8</v>
      </c>
      <c r="B28" s="641" t="s">
        <v>60</v>
      </c>
      <c r="C28" s="642"/>
      <c r="D28" s="642">
        <v>267637890</v>
      </c>
      <c r="E28" s="643">
        <f t="array" ref="E28">SUM(IF(A28=KHN,TH))</f>
        <v>958707326</v>
      </c>
      <c r="F28" s="643">
        <f t="array" ref="F28">SUM(IF(A28=KHC,TH))</f>
        <v>726069436</v>
      </c>
      <c r="G28" s="642">
        <f t="shared" si="7"/>
        <v>0</v>
      </c>
      <c r="H28" s="642">
        <f t="shared" si="8"/>
        <v>35000000</v>
      </c>
    </row>
    <row r="29" spans="1:8" s="159" customFormat="1" ht="17.25" customHeight="1">
      <c r="A29" s="648" t="s">
        <v>425</v>
      </c>
      <c r="B29" s="637" t="s">
        <v>424</v>
      </c>
      <c r="C29" s="638"/>
      <c r="D29" s="638"/>
      <c r="E29" s="638">
        <f t="array" ref="E29">SUM(IF(A29=KHN,TH))</f>
        <v>179055791</v>
      </c>
      <c r="F29" s="638">
        <f t="array" ref="F29">SUM(IF(A29=KHC,TH))</f>
        <v>179055791</v>
      </c>
      <c r="G29" s="638">
        <f t="shared" ref="G29" si="11">MAX(C29+E29-D29-F29,0)</f>
        <v>0</v>
      </c>
      <c r="H29" s="638">
        <f t="shared" ref="H29" si="12">MAX(D29+F29-E29-C29,0)</f>
        <v>0</v>
      </c>
    </row>
    <row r="30" spans="1:8" s="159" customFormat="1" ht="17.25" customHeight="1">
      <c r="A30" s="637" t="s">
        <v>61</v>
      </c>
      <c r="B30" s="637" t="s">
        <v>62</v>
      </c>
      <c r="C30" s="638"/>
      <c r="D30" s="638">
        <v>22244468</v>
      </c>
      <c r="E30" s="638">
        <f t="array" ref="E30">SUM(IF(A30=KHN,TH))</f>
        <v>22244468</v>
      </c>
      <c r="F30" s="638">
        <f t="array" ref="F30">SUM(IF(A30=KHC,TH))</f>
        <v>0</v>
      </c>
      <c r="G30" s="638">
        <f t="shared" si="7"/>
        <v>0</v>
      </c>
      <c r="H30" s="638">
        <f t="shared" si="8"/>
        <v>0</v>
      </c>
    </row>
    <row r="31" spans="1:8" s="159" customFormat="1" ht="17.25" customHeight="1">
      <c r="A31" s="648" t="s">
        <v>63</v>
      </c>
      <c r="B31" s="649" t="s">
        <v>64</v>
      </c>
      <c r="C31" s="650"/>
      <c r="D31" s="650"/>
      <c r="E31" s="650">
        <f t="array" ref="E31">SUM(IF(A31=KHN,TH))</f>
        <v>0</v>
      </c>
      <c r="F31" s="650">
        <f t="array" ref="F31">SUM(IF(A31=KHC,TH))</f>
        <v>0</v>
      </c>
      <c r="G31" s="650">
        <f t="shared" si="7"/>
        <v>0</v>
      </c>
      <c r="H31" s="650">
        <f t="shared" si="8"/>
        <v>0</v>
      </c>
    </row>
    <row r="32" spans="1:8" s="159" customFormat="1" ht="17.25" customHeight="1">
      <c r="A32" s="637" t="s">
        <v>18</v>
      </c>
      <c r="B32" s="637" t="s">
        <v>65</v>
      </c>
      <c r="C32" s="638">
        <f>C31</f>
        <v>0</v>
      </c>
      <c r="D32" s="638">
        <f t="shared" ref="D32:H32" si="13">D31</f>
        <v>0</v>
      </c>
      <c r="E32" s="638">
        <f t="shared" si="13"/>
        <v>0</v>
      </c>
      <c r="F32" s="638">
        <f t="shared" si="13"/>
        <v>0</v>
      </c>
      <c r="G32" s="638">
        <f t="shared" si="13"/>
        <v>0</v>
      </c>
      <c r="H32" s="638">
        <f t="shared" si="13"/>
        <v>0</v>
      </c>
    </row>
    <row r="33" spans="1:10" s="159" customFormat="1" ht="17.25" customHeight="1">
      <c r="A33" s="641" t="s">
        <v>66</v>
      </c>
      <c r="B33" s="641" t="s">
        <v>67</v>
      </c>
      <c r="C33" s="642">
        <f>C30+C32+C29</f>
        <v>0</v>
      </c>
      <c r="D33" s="642">
        <f t="shared" ref="D33:H33" si="14">D30+D32+D29</f>
        <v>22244468</v>
      </c>
      <c r="E33" s="642">
        <f t="shared" si="14"/>
        <v>201300259</v>
      </c>
      <c r="F33" s="642">
        <f t="shared" si="14"/>
        <v>179055791</v>
      </c>
      <c r="G33" s="642">
        <f t="shared" si="14"/>
        <v>0</v>
      </c>
      <c r="H33" s="642">
        <f t="shared" si="14"/>
        <v>0</v>
      </c>
    </row>
    <row r="34" spans="1:10" s="159" customFormat="1" ht="17.25" customHeight="1">
      <c r="A34" s="637" t="s">
        <v>265</v>
      </c>
      <c r="B34" s="637" t="s">
        <v>266</v>
      </c>
      <c r="C34" s="638">
        <v>0</v>
      </c>
      <c r="D34" s="638">
        <v>0</v>
      </c>
      <c r="E34" s="638">
        <f t="array" ref="E34">SUM(IF(A34=KHN,TH))</f>
        <v>160875000</v>
      </c>
      <c r="F34" s="638">
        <f t="array" ref="F34">SUM(IF(A34=KHC,TH))</f>
        <v>160875000</v>
      </c>
      <c r="G34" s="638">
        <f t="shared" ref="G34:G36" si="15">MAX(C34+E34-D34-F34,0)</f>
        <v>0</v>
      </c>
      <c r="H34" s="638">
        <f t="shared" ref="H34:H36" si="16">MAX(D34+F34-E34-C34,0)</f>
        <v>0</v>
      </c>
    </row>
    <row r="35" spans="1:10" s="159" customFormat="1" ht="17.25" customHeight="1">
      <c r="A35" s="641" t="s">
        <v>267</v>
      </c>
      <c r="B35" s="641" t="s">
        <v>268</v>
      </c>
      <c r="C35" s="642">
        <f>C34</f>
        <v>0</v>
      </c>
      <c r="D35" s="642">
        <f>D34</f>
        <v>0</v>
      </c>
      <c r="E35" s="642">
        <f>E34</f>
        <v>160875000</v>
      </c>
      <c r="F35" s="642">
        <f>F34</f>
        <v>160875000</v>
      </c>
      <c r="G35" s="642">
        <f t="shared" si="15"/>
        <v>0</v>
      </c>
      <c r="H35" s="642">
        <f t="shared" si="16"/>
        <v>0</v>
      </c>
    </row>
    <row r="36" spans="1:10" s="159" customFormat="1" ht="17.25" customHeight="1">
      <c r="A36" s="637" t="s">
        <v>17</v>
      </c>
      <c r="B36" s="637" t="s">
        <v>68</v>
      </c>
      <c r="C36" s="638"/>
      <c r="D36" s="638">
        <v>2709616</v>
      </c>
      <c r="E36" s="638">
        <f t="array" ref="E36">SUM(IF(A36=KHN,TH))</f>
        <v>0</v>
      </c>
      <c r="F36" s="638">
        <f t="array" ref="F36">SUM(IF(A36=KHC,TH))</f>
        <v>36241782</v>
      </c>
      <c r="G36" s="638">
        <f t="shared" si="15"/>
        <v>0</v>
      </c>
      <c r="H36" s="638">
        <f t="shared" si="16"/>
        <v>38951398</v>
      </c>
    </row>
    <row r="37" spans="1:10" s="159" customFormat="1" ht="17.25" customHeight="1">
      <c r="A37" s="641" t="s">
        <v>69</v>
      </c>
      <c r="B37" s="641" t="s">
        <v>70</v>
      </c>
      <c r="C37" s="642">
        <f t="shared" ref="C37:H37" si="17">SUM(C36:C36)</f>
        <v>0</v>
      </c>
      <c r="D37" s="642">
        <f t="shared" si="17"/>
        <v>2709616</v>
      </c>
      <c r="E37" s="642">
        <f t="shared" si="17"/>
        <v>0</v>
      </c>
      <c r="F37" s="642">
        <f t="shared" si="17"/>
        <v>36241782</v>
      </c>
      <c r="G37" s="642">
        <f t="shared" si="17"/>
        <v>0</v>
      </c>
      <c r="H37" s="642">
        <f t="shared" si="17"/>
        <v>38951398</v>
      </c>
    </row>
    <row r="38" spans="1:10" s="159" customFormat="1" ht="17.25" customHeight="1">
      <c r="A38" s="637" t="s">
        <v>25</v>
      </c>
      <c r="B38" s="637" t="s">
        <v>71</v>
      </c>
      <c r="C38" s="638"/>
      <c r="D38" s="638">
        <v>1900000000</v>
      </c>
      <c r="E38" s="638">
        <f t="array" ref="E38">SUM(IF(A38=KHN,TH))</f>
        <v>0</v>
      </c>
      <c r="F38" s="638">
        <f t="array" ref="F38">SUM(IF(A38=KHC,TH))</f>
        <v>0</v>
      </c>
      <c r="G38" s="639">
        <f>MAX(C38+E38-D38-F38,0)</f>
        <v>0</v>
      </c>
      <c r="H38" s="639">
        <f>MAX(D38+F38-E38-C38,0)</f>
        <v>1900000000</v>
      </c>
    </row>
    <row r="39" spans="1:10" s="159" customFormat="1" ht="17.25" customHeight="1">
      <c r="A39" s="641" t="s">
        <v>72</v>
      </c>
      <c r="B39" s="641" t="s">
        <v>73</v>
      </c>
      <c r="C39" s="642">
        <v>0</v>
      </c>
      <c r="D39" s="642">
        <f>D38</f>
        <v>1900000000</v>
      </c>
      <c r="E39" s="642">
        <f>E38</f>
        <v>0</v>
      </c>
      <c r="F39" s="642">
        <f>F38</f>
        <v>0</v>
      </c>
      <c r="G39" s="642">
        <f>MAX(C39+E39-D39-F39,0)</f>
        <v>0</v>
      </c>
      <c r="H39" s="642">
        <f>MAX(D39+F39-E39-C39,0)</f>
        <v>1900000000</v>
      </c>
    </row>
    <row r="40" spans="1:10" s="159" customFormat="1" ht="17.25" customHeight="1">
      <c r="A40" s="636" t="s">
        <v>74</v>
      </c>
      <c r="B40" s="637" t="s">
        <v>75</v>
      </c>
      <c r="C40" s="638"/>
      <c r="D40" s="638">
        <v>88238982</v>
      </c>
      <c r="E40" s="638">
        <f t="array" ref="E40">SUM(IF(A40=KHN,TH))</f>
        <v>0</v>
      </c>
      <c r="F40" s="638">
        <f t="array" ref="F40">SUM(IF(A40=KHC,TH))</f>
        <v>0</v>
      </c>
      <c r="G40" s="639">
        <f>MAX(C40+E40-D40-F40,0)</f>
        <v>0</v>
      </c>
      <c r="H40" s="639">
        <f>MAX(D40+F40-E40-C40,0)</f>
        <v>88238982</v>
      </c>
      <c r="J40" s="159">
        <f>H40-G41</f>
        <v>83787966</v>
      </c>
    </row>
    <row r="41" spans="1:10" s="159" customFormat="1" ht="17.25" customHeight="1">
      <c r="A41" s="637" t="s">
        <v>76</v>
      </c>
      <c r="B41" s="637" t="s">
        <v>77</v>
      </c>
      <c r="C41" s="638"/>
      <c r="D41" s="638"/>
      <c r="E41" s="638">
        <f t="array" ref="E41">SUM(IF(A41=TH!$L$10:$L$2093,TH!$K$10:$K$2093))</f>
        <v>4451016</v>
      </c>
      <c r="F41" s="638">
        <f t="array" ref="F41">SUM(IF(A41=TH!$M$10:$M$2093,TH!$K$10:$K$2093))</f>
        <v>0</v>
      </c>
      <c r="G41" s="638">
        <f>MAX(C41+E41-D41-F41,0)</f>
        <v>4451016</v>
      </c>
      <c r="H41" s="638">
        <f>MAX(D41+F41-E41-C41,0)</f>
        <v>0</v>
      </c>
      <c r="J41" s="286"/>
    </row>
    <row r="42" spans="1:10" s="159" customFormat="1" ht="17.25" customHeight="1">
      <c r="A42" s="641" t="s">
        <v>78</v>
      </c>
      <c r="B42" s="641" t="s">
        <v>79</v>
      </c>
      <c r="C42" s="642">
        <f t="shared" ref="C42:H42" si="18">C41+C40</f>
        <v>0</v>
      </c>
      <c r="D42" s="642">
        <f t="shared" si="18"/>
        <v>88238982</v>
      </c>
      <c r="E42" s="642">
        <f t="shared" si="18"/>
        <v>4451016</v>
      </c>
      <c r="F42" s="642">
        <f t="shared" si="18"/>
        <v>0</v>
      </c>
      <c r="G42" s="642">
        <f t="shared" si="18"/>
        <v>4451016</v>
      </c>
      <c r="H42" s="642">
        <f t="shared" si="18"/>
        <v>88238982</v>
      </c>
    </row>
    <row r="43" spans="1:10" s="159" customFormat="1" ht="17.25" customHeight="1">
      <c r="A43" s="636" t="s">
        <v>172</v>
      </c>
      <c r="B43" s="637" t="s">
        <v>173</v>
      </c>
      <c r="C43" s="638"/>
      <c r="D43" s="638"/>
      <c r="E43" s="638">
        <f t="array" ref="E43">SUM(IF(A43=KHN,TH))</f>
        <v>1790557903</v>
      </c>
      <c r="F43" s="638">
        <f t="array" ref="F43">SUM(IF(A43=KHC,TH))</f>
        <v>1790557903</v>
      </c>
      <c r="G43" s="639"/>
      <c r="H43" s="639"/>
      <c r="I43" s="159">
        <f>E43-F43</f>
        <v>0</v>
      </c>
    </row>
    <row r="44" spans="1:10" s="159" customFormat="1" ht="17.25" customHeight="1">
      <c r="A44" s="641" t="s">
        <v>174</v>
      </c>
      <c r="B44" s="641" t="s">
        <v>175</v>
      </c>
      <c r="C44" s="642"/>
      <c r="D44" s="642"/>
      <c r="E44" s="642">
        <f>E43</f>
        <v>1790557903</v>
      </c>
      <c r="F44" s="642">
        <f>F43</f>
        <v>1790557903</v>
      </c>
      <c r="G44" s="642"/>
      <c r="H44" s="642"/>
      <c r="I44" s="159">
        <f>E44-F44</f>
        <v>0</v>
      </c>
    </row>
    <row r="45" spans="1:10" s="159" customFormat="1" ht="17.25" customHeight="1">
      <c r="A45" s="641" t="s">
        <v>40</v>
      </c>
      <c r="B45" s="641" t="s">
        <v>80</v>
      </c>
      <c r="C45" s="642"/>
      <c r="D45" s="642"/>
      <c r="E45" s="643">
        <f t="array" ref="E45">SUM(IF(A45=KHN,TH))</f>
        <v>109701</v>
      </c>
      <c r="F45" s="643">
        <f t="array" ref="F45">SUM(IF(A45=KHC,TH))</f>
        <v>109701</v>
      </c>
      <c r="G45" s="642"/>
      <c r="H45" s="642"/>
      <c r="I45" s="159">
        <f t="shared" ref="I45:I53" si="19">E45-F45</f>
        <v>0</v>
      </c>
    </row>
    <row r="46" spans="1:10" s="159" customFormat="1" ht="17.25" customHeight="1">
      <c r="A46" s="641" t="s">
        <v>170</v>
      </c>
      <c r="B46" s="641" t="s">
        <v>171</v>
      </c>
      <c r="C46" s="642"/>
      <c r="D46" s="642"/>
      <c r="E46" s="643">
        <f t="array" ref="E46">SUM(IF(A46=KHN,TH))</f>
        <v>1693769201</v>
      </c>
      <c r="F46" s="643">
        <f t="array" ref="F46">SUM(IF(A46=KHC,TH))</f>
        <v>1693769201</v>
      </c>
      <c r="G46" s="642"/>
      <c r="H46" s="642"/>
      <c r="I46" s="159">
        <f t="shared" si="19"/>
        <v>0</v>
      </c>
    </row>
    <row r="47" spans="1:10" s="159" customFormat="1" ht="17.25" customHeight="1">
      <c r="A47" s="641" t="s">
        <v>81</v>
      </c>
      <c r="B47" s="641" t="s">
        <v>82</v>
      </c>
      <c r="C47" s="642"/>
      <c r="D47" s="642"/>
      <c r="E47" s="643">
        <f t="array" ref="E47">SUM(IF(A47=KHN,TH))</f>
        <v>0</v>
      </c>
      <c r="F47" s="643">
        <f t="array" ref="F47">SUM(IF(A47=KHC,TH))</f>
        <v>0</v>
      </c>
      <c r="G47" s="642"/>
      <c r="H47" s="642"/>
      <c r="I47" s="159">
        <f t="shared" si="19"/>
        <v>0</v>
      </c>
    </row>
    <row r="48" spans="1:10" s="159" customFormat="1" ht="17.25" customHeight="1">
      <c r="A48" s="647" t="s">
        <v>264</v>
      </c>
      <c r="B48" s="641" t="s">
        <v>329</v>
      </c>
      <c r="C48" s="642"/>
      <c r="D48" s="642"/>
      <c r="E48" s="643">
        <f t="array" ref="E48">SUM(IF(A48=KHN,TH))</f>
        <v>0</v>
      </c>
      <c r="F48" s="643">
        <f t="array" ref="F48">SUM(IF(A48=KHC,TH))</f>
        <v>0</v>
      </c>
      <c r="G48" s="642"/>
      <c r="H48" s="642"/>
      <c r="I48" s="159">
        <f>E48-F48</f>
        <v>0</v>
      </c>
    </row>
    <row r="49" spans="1:9" s="159" customFormat="1" ht="17.25" customHeight="1">
      <c r="A49" s="641" t="s">
        <v>83</v>
      </c>
      <c r="B49" s="641" t="s">
        <v>84</v>
      </c>
      <c r="C49" s="642"/>
      <c r="D49" s="642"/>
      <c r="E49" s="643">
        <f t="array" ref="E49">SUM(IF(A49=KHN,TH))</f>
        <v>100679419</v>
      </c>
      <c r="F49" s="643">
        <f t="array" ref="F49">SUM(IF(A49=KHC,TH))</f>
        <v>100679419</v>
      </c>
      <c r="G49" s="642"/>
      <c r="H49" s="642"/>
      <c r="I49" s="159">
        <f t="shared" si="19"/>
        <v>0</v>
      </c>
    </row>
    <row r="50" spans="1:9" s="159" customFormat="1" ht="17.25" customHeight="1">
      <c r="A50" s="647" t="s">
        <v>85</v>
      </c>
      <c r="B50" s="641" t="s">
        <v>86</v>
      </c>
      <c r="C50" s="642"/>
      <c r="D50" s="642"/>
      <c r="E50" s="643">
        <f t="array" ref="E50">SUM(IF(A50=KHN,TH))</f>
        <v>0</v>
      </c>
      <c r="F50" s="643">
        <f t="array" ref="F50">SUM(IF(A50=KHC,TH))</f>
        <v>0</v>
      </c>
      <c r="G50" s="642"/>
      <c r="H50" s="642"/>
      <c r="I50" s="159">
        <f t="shared" si="19"/>
        <v>0</v>
      </c>
    </row>
    <row r="51" spans="1:9" s="159" customFormat="1" ht="17.25" customHeight="1">
      <c r="A51" s="641" t="s">
        <v>87</v>
      </c>
      <c r="B51" s="641" t="s">
        <v>88</v>
      </c>
      <c r="C51" s="642"/>
      <c r="D51" s="642"/>
      <c r="E51" s="643">
        <f t="array" ref="E51">SUM(IF(A51=KHN,TH))</f>
        <v>670000</v>
      </c>
      <c r="F51" s="643">
        <f t="array" ref="F51">SUM(IF(A51=KHC,TH))</f>
        <v>670000</v>
      </c>
      <c r="G51" s="642"/>
      <c r="H51" s="642"/>
      <c r="I51" s="159">
        <f t="shared" si="19"/>
        <v>0</v>
      </c>
    </row>
    <row r="52" spans="1:9" s="159" customFormat="1" ht="17.25" customHeight="1">
      <c r="A52" s="647" t="s">
        <v>89</v>
      </c>
      <c r="B52" s="641" t="s">
        <v>90</v>
      </c>
      <c r="C52" s="642"/>
      <c r="D52" s="642"/>
      <c r="E52" s="643">
        <f t="array" ref="E52">SUM(IF(A52=KHN,TH))</f>
        <v>0</v>
      </c>
      <c r="F52" s="643">
        <f t="array" ref="F52">SUM(IF(A52=KHC,TH))</f>
        <v>0</v>
      </c>
      <c r="G52" s="642"/>
      <c r="H52" s="642"/>
      <c r="I52" s="159">
        <f t="shared" si="19"/>
        <v>0</v>
      </c>
    </row>
    <row r="53" spans="1:9" s="159" customFormat="1" ht="17.25" customHeight="1">
      <c r="A53" s="641" t="s">
        <v>91</v>
      </c>
      <c r="B53" s="641" t="s">
        <v>92</v>
      </c>
      <c r="C53" s="642"/>
      <c r="D53" s="642"/>
      <c r="E53" s="651">
        <f t="array" ref="E53">SUM(IF(A53=KHN,TH))</f>
        <v>1795118620</v>
      </c>
      <c r="F53" s="651">
        <f t="array" ref="F53">SUM(IF(A53=TH!$M$10:$M$2093,TH!$K$10:$K$2093))</f>
        <v>1795118620</v>
      </c>
      <c r="G53" s="642"/>
      <c r="H53" s="642"/>
      <c r="I53" s="159">
        <f t="shared" si="19"/>
        <v>0</v>
      </c>
    </row>
    <row r="54" spans="1:9" s="159" customFormat="1" ht="17.25" customHeight="1">
      <c r="A54" s="879" t="s">
        <v>39</v>
      </c>
      <c r="B54" s="880"/>
      <c r="C54" s="652">
        <f>C11+C13+C14+C16+C18+C21+C22+C23+C25+C27+C28+C33+C35+C37+C39+C42+C44+C45+C46+C47+C48+C49+C50+C51+C52+C53</f>
        <v>2391080956</v>
      </c>
      <c r="D54" s="652">
        <f t="shared" ref="D54:H54" si="20">D11+D13+D14+D16+D18+D21+D22+D23+D25+D27+D28+D33+D35+D37+D39+D42+D44+D45+D46+D47+D48+D49+D50+D51+D52+D53</f>
        <v>2391080956</v>
      </c>
      <c r="E54" s="652">
        <f t="shared" si="20"/>
        <v>15856990210</v>
      </c>
      <c r="F54" s="652">
        <f t="shared" si="20"/>
        <v>15856990210</v>
      </c>
      <c r="G54" s="652">
        <f t="shared" si="20"/>
        <v>2245440380</v>
      </c>
      <c r="H54" s="652">
        <f t="shared" si="20"/>
        <v>2245440380</v>
      </c>
    </row>
    <row r="55" spans="1:9">
      <c r="E55" s="653"/>
      <c r="F55" s="654"/>
    </row>
    <row r="56" spans="1:9">
      <c r="D56" s="159">
        <f>D54-C54</f>
        <v>0</v>
      </c>
      <c r="E56" s="654"/>
      <c r="H56" s="654">
        <f>G54-H54</f>
        <v>0</v>
      </c>
    </row>
    <row r="57" spans="1:9">
      <c r="E57" s="655"/>
      <c r="F57" s="655"/>
    </row>
    <row r="58" spans="1:9">
      <c r="E58" s="655"/>
      <c r="F58" s="655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2103"/>
  <sheetViews>
    <sheetView topLeftCell="A7" workbookViewId="0">
      <pane ySplit="3" topLeftCell="A10" activePane="bottomLeft" state="frozen"/>
      <selection activeCell="A7" sqref="A7"/>
      <selection pane="bottomLeft" activeCell="F29" sqref="F29"/>
    </sheetView>
  </sheetViews>
  <sheetFormatPr defaultRowHeight="12.75"/>
  <cols>
    <col min="1" max="1" width="4.5703125" style="202" customWidth="1"/>
    <col min="2" max="2" width="4.85546875" style="195" customWidth="1"/>
    <col min="3" max="3" width="9.140625" style="195" customWidth="1"/>
    <col min="4" max="4" width="6.85546875" style="195" customWidth="1"/>
    <col min="5" max="5" width="9.140625" style="195" customWidth="1"/>
    <col min="6" max="6" width="45" style="195" customWidth="1"/>
    <col min="7" max="7" width="11.140625" style="481" customWidth="1"/>
    <col min="8" max="8" width="34.85546875" style="209" customWidth="1"/>
    <col min="9" max="9" width="7.85546875" style="209" customWidth="1"/>
    <col min="10" max="10" width="8.85546875" style="209" customWidth="1"/>
    <col min="11" max="11" width="13.140625" style="195" customWidth="1"/>
    <col min="12" max="13" width="7" style="195" customWidth="1"/>
    <col min="14" max="14" width="4.42578125" style="195" hidden="1" customWidth="1"/>
    <col min="15" max="17" width="2.7109375" style="195" hidden="1" customWidth="1"/>
    <col min="18" max="20" width="2.5703125" style="195" hidden="1" customWidth="1"/>
    <col min="21" max="21" width="4.42578125" style="195" hidden="1" customWidth="1"/>
    <col min="22" max="24" width="2.7109375" style="195" hidden="1" customWidth="1"/>
    <col min="25" max="25" width="2.85546875" style="195" hidden="1" customWidth="1"/>
    <col min="26" max="26" width="3.5703125" style="195" customWidth="1"/>
    <col min="27" max="16384" width="9.140625" style="195"/>
  </cols>
  <sheetData>
    <row r="1" spans="1:25" ht="15">
      <c r="A1" s="1" t="s">
        <v>455</v>
      </c>
      <c r="B1" s="31"/>
      <c r="C1" s="31"/>
      <c r="D1" s="32"/>
      <c r="E1" s="32"/>
      <c r="F1" s="33"/>
      <c r="G1" s="479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</row>
    <row r="2" spans="1:25" ht="15">
      <c r="A2" s="1" t="s">
        <v>456</v>
      </c>
      <c r="B2" s="31"/>
      <c r="C2" s="31"/>
      <c r="D2" s="32"/>
      <c r="E2" s="32"/>
      <c r="F2" s="32"/>
      <c r="G2" s="479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5">
      <c r="B3" s="32"/>
      <c r="C3" s="32"/>
      <c r="D3" s="32"/>
      <c r="E3" s="32"/>
      <c r="F3" s="32"/>
      <c r="G3" s="479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spans="1:25" ht="22.5">
      <c r="B4" s="42"/>
      <c r="C4" s="884" t="s">
        <v>93</v>
      </c>
      <c r="D4" s="884"/>
      <c r="E4" s="884"/>
      <c r="F4" s="884"/>
      <c r="G4" s="884"/>
      <c r="H4" s="884"/>
      <c r="I4" s="884"/>
      <c r="J4" s="884"/>
      <c r="K4" s="884"/>
      <c r="L4" s="884"/>
      <c r="M4" s="884"/>
    </row>
    <row r="5" spans="1:25" ht="14.25">
      <c r="B5" s="42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</row>
    <row r="6" spans="1:25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</row>
    <row r="7" spans="1:25" ht="24.75" customHeight="1">
      <c r="A7" s="898" t="s">
        <v>115</v>
      </c>
      <c r="B7" s="900" t="s">
        <v>99</v>
      </c>
      <c r="C7" s="886" t="s">
        <v>20</v>
      </c>
      <c r="D7" s="887" t="s">
        <v>1</v>
      </c>
      <c r="E7" s="888"/>
      <c r="F7" s="886" t="s">
        <v>0</v>
      </c>
      <c r="G7" s="890" t="s">
        <v>114</v>
      </c>
      <c r="H7" s="902" t="s">
        <v>44</v>
      </c>
      <c r="I7" s="907" t="s">
        <v>261</v>
      </c>
      <c r="J7" s="908"/>
      <c r="K7" s="886" t="s">
        <v>154</v>
      </c>
      <c r="L7" s="889" t="s">
        <v>94</v>
      </c>
      <c r="M7" s="889"/>
      <c r="N7" s="905" t="s">
        <v>438</v>
      </c>
      <c r="O7" s="892" t="s">
        <v>47</v>
      </c>
      <c r="P7" s="893"/>
      <c r="Q7" s="894"/>
      <c r="R7" s="892" t="s">
        <v>51</v>
      </c>
      <c r="S7" s="893"/>
      <c r="T7" s="894"/>
      <c r="U7" s="903" t="str">
        <f>CTTK!$E$7</f>
        <v>642</v>
      </c>
      <c r="V7" s="883" t="s">
        <v>160</v>
      </c>
      <c r="W7" s="883"/>
      <c r="X7" s="883"/>
      <c r="Y7" s="883" t="s">
        <v>359</v>
      </c>
    </row>
    <row r="8" spans="1:25" ht="24.75" customHeight="1">
      <c r="A8" s="899"/>
      <c r="B8" s="901"/>
      <c r="C8" s="886"/>
      <c r="D8" s="199" t="s">
        <v>15</v>
      </c>
      <c r="E8" s="198" t="s">
        <v>32</v>
      </c>
      <c r="F8" s="886"/>
      <c r="G8" s="891"/>
      <c r="H8" s="902"/>
      <c r="I8" s="255" t="s">
        <v>201</v>
      </c>
      <c r="J8" s="255" t="s">
        <v>202</v>
      </c>
      <c r="K8" s="886"/>
      <c r="L8" s="200" t="s">
        <v>22</v>
      </c>
      <c r="M8" s="200" t="s">
        <v>23</v>
      </c>
      <c r="N8" s="906"/>
      <c r="O8" s="895"/>
      <c r="P8" s="896"/>
      <c r="Q8" s="897"/>
      <c r="R8" s="895"/>
      <c r="S8" s="896"/>
      <c r="T8" s="897"/>
      <c r="U8" s="904"/>
      <c r="V8" s="883"/>
      <c r="W8" s="883"/>
      <c r="X8" s="883"/>
      <c r="Y8" s="883"/>
    </row>
    <row r="9" spans="1:25">
      <c r="A9" s="203">
        <v>1</v>
      </c>
      <c r="B9" s="204">
        <v>2</v>
      </c>
      <c r="C9" s="203">
        <v>3</v>
      </c>
      <c r="D9" s="204">
        <v>4</v>
      </c>
      <c r="E9" s="203">
        <v>5</v>
      </c>
      <c r="F9" s="204">
        <v>6</v>
      </c>
      <c r="G9" s="203">
        <v>7</v>
      </c>
      <c r="H9" s="204">
        <v>8</v>
      </c>
      <c r="I9" s="203">
        <v>9</v>
      </c>
      <c r="J9" s="204">
        <v>10</v>
      </c>
      <c r="K9" s="203">
        <v>11</v>
      </c>
      <c r="L9" s="204">
        <v>12</v>
      </c>
      <c r="M9" s="203">
        <v>13</v>
      </c>
      <c r="N9" s="204">
        <v>16</v>
      </c>
      <c r="O9" s="205">
        <v>17</v>
      </c>
      <c r="P9" s="204">
        <v>18</v>
      </c>
      <c r="Q9" s="205">
        <v>19</v>
      </c>
      <c r="R9" s="204">
        <v>20</v>
      </c>
      <c r="S9" s="204"/>
      <c r="T9" s="204"/>
      <c r="U9" s="205">
        <v>27</v>
      </c>
      <c r="V9" s="204">
        <v>19</v>
      </c>
      <c r="W9" s="204">
        <v>20</v>
      </c>
      <c r="X9" s="204"/>
      <c r="Y9" s="204">
        <v>21</v>
      </c>
    </row>
    <row r="10" spans="1:25" s="206" customFormat="1" ht="15.75" customHeight="1">
      <c r="A10" s="201" t="str">
        <f>IF(B10&lt;&gt;"",IF(AND(B10&gt;=_TM1,B10&lt;=_TM2,OR(TH!L10="1111",TH!M10="1111")),TH!D10,""),"")</f>
        <v/>
      </c>
      <c r="B10" s="36">
        <f t="shared" ref="B10:B20" si="0">IF(C10&lt;&gt;"",MONTH(C10),"")</f>
        <v>12</v>
      </c>
      <c r="C10" s="48">
        <f t="shared" ref="C10:C16" si="1">E10</f>
        <v>41639</v>
      </c>
      <c r="D10" s="48" t="s">
        <v>95</v>
      </c>
      <c r="E10" s="48">
        <v>41639</v>
      </c>
      <c r="F10" s="49" t="s">
        <v>276</v>
      </c>
      <c r="G10" s="49"/>
      <c r="H10" s="50"/>
      <c r="I10" s="248"/>
      <c r="J10" s="248"/>
      <c r="K10" s="51">
        <f>SUMIF(KHC,L10,TH)</f>
        <v>179055791</v>
      </c>
      <c r="L10" s="53" t="s">
        <v>425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IF(OR(TH!L10=TH!$U$7,M10=TH!$U$7),"x","")</f>
        <v/>
      </c>
      <c r="V10" s="52" t="str">
        <f>IF(AND(B10&gt;='IN-NX'!$P$3,B10&lt;='IN-NX'!$Q$3,'IN-NX'!$D$7=D10,OR(LEFT(L10,2)="15",AND(LEFT(M10,2)&lt;&gt;"15",LEFT(M10,2)&lt;&gt;"33"))),"x","")</f>
        <v/>
      </c>
      <c r="W10" s="52" t="str">
        <f>IF(AND(OR(LEFT(TH!L10,2)="15",LEFT(TH!M10,2)="15"),'152-CT'!$J$8=TH!F10),"x","")</f>
        <v/>
      </c>
      <c r="X10" s="52" t="str">
        <f>IF(AND(OR(LEFT(TH!L10,2)="15",LEFT(TH!M10,2)="15"),TK!$E$7=TH!F10),"x","")</f>
        <v/>
      </c>
      <c r="Y10" s="52" t="str">
        <f>IF(AND(B10&lt;=NKC!$N$8,B10&gt;=NKC!$M$8),"x","")</f>
        <v/>
      </c>
    </row>
    <row r="11" spans="1:25" s="206" customFormat="1" ht="15.75" customHeight="1">
      <c r="A11" s="201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277</v>
      </c>
      <c r="G11" s="49"/>
      <c r="H11" s="50"/>
      <c r="I11" s="248"/>
      <c r="J11" s="248"/>
      <c r="K11" s="51">
        <f>SUMIF(KHN,M11,TH)</f>
        <v>1693769201</v>
      </c>
      <c r="L11" s="53" t="s">
        <v>91</v>
      </c>
      <c r="M11" s="52" t="s">
        <v>170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IF(OR(TH!L11=TH!$U$7,M11=TH!$U$7),"x","")</f>
        <v/>
      </c>
      <c r="V11" s="52" t="str">
        <f>IF(AND(B11&gt;='IN-NX'!$P$3,B11&lt;='IN-NX'!$Q$3,'IN-NX'!$D$7=D11,OR(LEFT(L11,2)="15",AND(LEFT(M11,2)&lt;&gt;"15",LEFT(M11,2)&lt;&gt;"33"))),"x","")</f>
        <v/>
      </c>
      <c r="W11" s="52" t="str">
        <f>IF(AND(OR(LEFT(TH!L11,2)="15",LEFT(TH!M11,2)="15"),'152-CT'!$J$8=TH!F11),"x","")</f>
        <v/>
      </c>
      <c r="X11" s="52" t="str">
        <f>IF(AND(OR(LEFT(TH!L11,2)="15",LEFT(TH!M11,2)="15"),TK!$E$7=TH!F11),"x","")</f>
        <v/>
      </c>
      <c r="Y11" s="52" t="str">
        <f>IF(AND(B11&lt;=NKC!$N$8,B11&gt;=NKC!$M$8),"x","")</f>
        <v/>
      </c>
    </row>
    <row r="12" spans="1:25" s="206" customFormat="1" ht="15.75" customHeight="1">
      <c r="A12" s="201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96</v>
      </c>
      <c r="G12" s="49"/>
      <c r="H12" s="50"/>
      <c r="I12" s="248"/>
      <c r="J12" s="248"/>
      <c r="K12" s="51">
        <f>SUMIF(KHN,M12,TH)</f>
        <v>100679419</v>
      </c>
      <c r="L12" s="52" t="s">
        <v>91</v>
      </c>
      <c r="M12" s="52" t="s">
        <v>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IF(OR(TH!L12=TH!$U$7,M12=TH!$U$7),"x","")</f>
        <v>x</v>
      </c>
      <c r="V12" s="52" t="str">
        <f>IF(AND(B12&gt;='IN-NX'!$P$3,B12&lt;='IN-NX'!$Q$3,'IN-NX'!$D$7=D12,OR(LEFT(L12,2)="15",AND(LEFT(M12,2)&lt;&gt;"15",LEFT(M12,2)&lt;&gt;"33"))),"x","")</f>
        <v/>
      </c>
      <c r="W12" s="52" t="str">
        <f>IF(AND(OR(LEFT(TH!L12,2)="15",LEFT(TH!M12,2)="15"),'152-CT'!$J$8=TH!F12),"x","")</f>
        <v/>
      </c>
      <c r="X12" s="52" t="str">
        <f>IF(AND(OR(LEFT(TH!L12,2)="15",LEFT(TH!M12,2)="15"),TK!$E$7=TH!F12),"x","")</f>
        <v/>
      </c>
      <c r="Y12" s="52" t="str">
        <f>IF(AND(B12&lt;=NKC!$N$8,B12&gt;=NKC!$M$8),"x","")</f>
        <v/>
      </c>
    </row>
    <row r="13" spans="1:25" s="206" customFormat="1" ht="15.75" customHeight="1">
      <c r="A13" s="201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97</v>
      </c>
      <c r="G13" s="49"/>
      <c r="H13" s="50"/>
      <c r="I13" s="248"/>
      <c r="J13" s="248"/>
      <c r="K13" s="51">
        <f>SUMIF(KHC,L13,TH)</f>
        <v>109701</v>
      </c>
      <c r="L13" s="53" t="s">
        <v>40</v>
      </c>
      <c r="M13" s="52" t="s">
        <v>91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IF(OR(TH!L13=TH!$U$7,M13=TH!$U$7),"x","")</f>
        <v/>
      </c>
      <c r="V13" s="52" t="str">
        <f>IF(AND(B13&gt;='IN-NX'!$P$3,B13&lt;='IN-NX'!$Q$3,'IN-NX'!$D$7=D13,OR(LEFT(L13,2)="15",AND(LEFT(M13,2)&lt;&gt;"15",LEFT(M13,2)&lt;&gt;"33"))),"x","")</f>
        <v/>
      </c>
      <c r="W13" s="52" t="str">
        <f>IF(AND(OR(LEFT(TH!L13,2)="15",LEFT(TH!M13,2)="15"),'152-CT'!$J$8=TH!F13),"x","")</f>
        <v/>
      </c>
      <c r="X13" s="52" t="str">
        <f>IF(AND(OR(LEFT(TH!L13,2)="15",LEFT(TH!M13,2)="15"),TK!$E$7=TH!F13),"x","")</f>
        <v/>
      </c>
      <c r="Y13" s="52" t="str">
        <f>IF(AND(B13&lt;=NKC!$N$8,B13&gt;=NKC!$M$8),"x","")</f>
        <v/>
      </c>
    </row>
    <row r="14" spans="1:25" s="206" customFormat="1" ht="15.75" customHeight="1">
      <c r="A14" s="201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41639</v>
      </c>
      <c r="D14" s="48" t="s">
        <v>95</v>
      </c>
      <c r="E14" s="48">
        <v>41639</v>
      </c>
      <c r="F14" s="49" t="s">
        <v>330</v>
      </c>
      <c r="G14" s="49"/>
      <c r="H14" s="50"/>
      <c r="I14" s="248"/>
      <c r="J14" s="248"/>
      <c r="K14" s="51">
        <f>SUMIF(KHC,L14,TH)</f>
        <v>1790557903</v>
      </c>
      <c r="L14" s="52" t="s">
        <v>172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IF(OR(TH!L14=TH!$U$7,M14=TH!$U$7),"x","")</f>
        <v/>
      </c>
      <c r="V14" s="52" t="str">
        <f>IF(AND(B14&gt;='IN-NX'!$P$3,B14&lt;='IN-NX'!$Q$3,'IN-NX'!$D$7=D14,OR(LEFT(L14,2)="15",AND(LEFT(M14,2)&lt;&gt;"15",LEFT(M14,2)&lt;&gt;"33"))),"x","")</f>
        <v/>
      </c>
      <c r="W14" s="52" t="str">
        <f>IF(AND(OR(LEFT(TH!L14,2)="15",LEFT(TH!M14,2)="15"),'152-CT'!$J$8=TH!F14),"x","")</f>
        <v/>
      </c>
      <c r="X14" s="52" t="str">
        <f>IF(AND(OR(LEFT(TH!L14,2)="15",LEFT(TH!M14,2)="15"),TK!$E$7=TH!F14),"x","")</f>
        <v/>
      </c>
      <c r="Y14" s="52" t="str">
        <f>IF(AND(B14&lt;=NKC!$N$8,B14&gt;=NKC!$M$8),"x","")</f>
        <v/>
      </c>
    </row>
    <row r="15" spans="1:25" s="206" customFormat="1" ht="15.75" customHeight="1">
      <c r="A15" s="201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98</v>
      </c>
      <c r="G15" s="49"/>
      <c r="H15" s="50"/>
      <c r="I15" s="248"/>
      <c r="J15" s="248"/>
      <c r="K15" s="51">
        <f>SUMIF(KHN,M15,TH)</f>
        <v>670000</v>
      </c>
      <c r="L15" s="53" t="s">
        <v>91</v>
      </c>
      <c r="M15" s="52" t="s">
        <v>87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IF(OR(TH!L15=TH!$U$7,M15=TH!$U$7),"x","")</f>
        <v/>
      </c>
      <c r="V15" s="52" t="str">
        <f>IF(AND(B15&gt;='IN-NX'!$P$3,B15&lt;='IN-NX'!$Q$3,'IN-NX'!$D$7=D15,OR(LEFT(L15,2)="15",AND(LEFT(M15,2)&lt;&gt;"15",LEFT(M15,2)&lt;&gt;"33"))),"x","")</f>
        <v/>
      </c>
      <c r="W15" s="52" t="str">
        <f>IF(AND(OR(LEFT(TH!L15,2)="15",LEFT(TH!M15,2)="15"),'152-CT'!$J$8=TH!F15),"x","")</f>
        <v/>
      </c>
      <c r="X15" s="52" t="str">
        <f>IF(AND(OR(LEFT(TH!L15,2)="15",LEFT(TH!M15,2)="15"),TK!$E$7=TH!F15),"x","")</f>
        <v/>
      </c>
      <c r="Y15" s="52" t="str">
        <f>IF(AND(B15&lt;=NKC!$N$8,B15&gt;=NKC!$M$8),"x","")</f>
        <v/>
      </c>
    </row>
    <row r="16" spans="1:25" s="206" customFormat="1" ht="15.75" customHeight="1">
      <c r="A16" s="201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458</v>
      </c>
      <c r="G16" s="49"/>
      <c r="H16" s="50"/>
      <c r="I16" s="248"/>
      <c r="J16" s="248"/>
      <c r="K16" s="51">
        <v>4451016</v>
      </c>
      <c r="L16" s="53" t="s">
        <v>76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IF(OR(TH!L16=TH!$U$7,M16=TH!$U$7),"x","")</f>
        <v/>
      </c>
      <c r="V16" s="52" t="str">
        <f>IF(AND(B16&gt;='IN-NX'!$P$3,B16&lt;='IN-NX'!$Q$3,'IN-NX'!$D$7=D16,OR(LEFT(L16,2)="15",AND(LEFT(M16,2)&lt;&gt;"15",LEFT(M16,2)&lt;&gt;"33"))),"x","")</f>
        <v/>
      </c>
      <c r="W16" s="52" t="str">
        <f>IF(AND(OR(LEFT(TH!L16,2)="15",LEFT(TH!M16,2)="15"),'152-CT'!$J$8=TH!F16),"x","")</f>
        <v/>
      </c>
      <c r="X16" s="52" t="str">
        <f>IF(AND(OR(LEFT(TH!L16,2)="15",LEFT(TH!M16,2)="15"),TK!$E$7=TH!F16),"x","")</f>
        <v/>
      </c>
      <c r="Y16" s="52" t="str">
        <f>IF(AND(B16&lt;=NKC!$N$8,B16&gt;=NKC!$M$8),"x","")</f>
        <v/>
      </c>
    </row>
    <row r="17" spans="1:28" s="851" customFormat="1" ht="15.75" customHeight="1">
      <c r="A17" s="201" t="str">
        <f>IF(B17&lt;&gt;"",IF(AND(B17&gt;=_TM1,B17&lt;=_TM2,OR(TH!L17="1111",TH!M17="1111")),TH!D17,""),"")</f>
        <v/>
      </c>
      <c r="B17" s="36">
        <f t="shared" si="0"/>
        <v>1</v>
      </c>
      <c r="C17" s="771">
        <f t="shared" ref="C17:C20" si="2">E17</f>
        <v>41276</v>
      </c>
      <c r="D17" s="771" t="s">
        <v>339</v>
      </c>
      <c r="E17" s="771">
        <v>41276</v>
      </c>
      <c r="F17" s="696" t="s">
        <v>1254</v>
      </c>
      <c r="G17" s="697"/>
      <c r="H17" s="609"/>
      <c r="I17" s="477"/>
      <c r="J17" s="477"/>
      <c r="K17" s="698">
        <v>18250000</v>
      </c>
      <c r="L17" s="699" t="s">
        <v>162</v>
      </c>
      <c r="M17" s="699" t="s">
        <v>263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IF(OR(TH!L17=TH!$U$7,M17=TH!$U$7),"x","")</f>
        <v/>
      </c>
      <c r="V17" s="52" t="str">
        <f>IF(AND(B17&gt;='IN-NX'!$P$3,B17&lt;='IN-NX'!$Q$3,'IN-NX'!$D$7=D17,OR(LEFT(L17,2)="15",AND(LEFT(M17,2)&lt;&gt;"15",LEFT(M17,2)&lt;&gt;"33"))),"x","")</f>
        <v/>
      </c>
      <c r="W17" s="52" t="str">
        <f>IF(AND(OR(LEFT(TH!L17,2)="15",LEFT(TH!M17,2)="15"),'152-CT'!$J$8=TH!F17),"x","")</f>
        <v/>
      </c>
      <c r="X17" s="52" t="str">
        <f>IF(AND(OR(LEFT(TH!L17,2)="15",LEFT(TH!M17,2)="15"),TK!$E$7=TH!F17),"x","")</f>
        <v/>
      </c>
      <c r="Y17" s="52" t="str">
        <f>IF(AND(B17&lt;=NKC!$N$8,B17&gt;=NKC!$M$8),"x","")</f>
        <v/>
      </c>
    </row>
    <row r="18" spans="1:28" s="851" customFormat="1" ht="15.75" customHeight="1">
      <c r="A18" s="201" t="str">
        <f>IF(B18&lt;&gt;"",IF(AND(B18&gt;=_TM1,B18&lt;=_TM2,OR(TH!L18="1111",TH!M18="1111")),TH!D18,""),"")</f>
        <v/>
      </c>
      <c r="B18" s="36">
        <f t="shared" si="0"/>
        <v>4</v>
      </c>
      <c r="C18" s="771">
        <f t="shared" si="2"/>
        <v>41365</v>
      </c>
      <c r="D18" s="771" t="s">
        <v>339</v>
      </c>
      <c r="E18" s="771">
        <v>41365</v>
      </c>
      <c r="F18" s="696" t="s">
        <v>1254</v>
      </c>
      <c r="G18" s="852"/>
      <c r="H18" s="609"/>
      <c r="I18" s="477"/>
      <c r="J18" s="477"/>
      <c r="K18" s="698">
        <v>18250000</v>
      </c>
      <c r="L18" s="699" t="s">
        <v>162</v>
      </c>
      <c r="M18" s="699" t="s">
        <v>263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IF(OR(TH!L18=TH!$U$7,M18=TH!$U$7),"x","")</f>
        <v/>
      </c>
      <c r="V18" s="52" t="str">
        <f>IF(AND(B18&gt;='IN-NX'!$P$3,B18&lt;='IN-NX'!$Q$3,'IN-NX'!$D$7=D18,OR(LEFT(L18,2)="15",AND(LEFT(M18,2)&lt;&gt;"15",LEFT(M18,2)&lt;&gt;"33"))),"x","")</f>
        <v/>
      </c>
      <c r="W18" s="52" t="str">
        <f>IF(AND(OR(LEFT(TH!L18,2)="15",LEFT(TH!M18,2)="15"),'152-CT'!$J$8=TH!F18),"x","")</f>
        <v/>
      </c>
      <c r="X18" s="52" t="str">
        <f>IF(AND(OR(LEFT(TH!L18,2)="15",LEFT(TH!M18,2)="15"),TK!$E$7=TH!F18),"x","")</f>
        <v/>
      </c>
      <c r="Y18" s="52" t="str">
        <f>IF(AND(B18&lt;=NKC!$N$8,B18&gt;=NKC!$M$8),"x","")</f>
        <v/>
      </c>
    </row>
    <row r="19" spans="1:28" s="851" customFormat="1" ht="15.75" customHeight="1">
      <c r="A19" s="201" t="str">
        <f>IF(B19&lt;&gt;"",IF(AND(B19&gt;=_TM1,B19&lt;=_TM2,OR(TH!L19="1111",TH!M19="1111")),TH!D19,""),"")</f>
        <v/>
      </c>
      <c r="B19" s="36">
        <f t="shared" si="0"/>
        <v>7</v>
      </c>
      <c r="C19" s="771">
        <f t="shared" si="2"/>
        <v>41456</v>
      </c>
      <c r="D19" s="771" t="s">
        <v>339</v>
      </c>
      <c r="E19" s="771">
        <v>41456</v>
      </c>
      <c r="F19" s="696" t="s">
        <v>1254</v>
      </c>
      <c r="G19" s="852"/>
      <c r="H19" s="609"/>
      <c r="I19" s="477"/>
      <c r="J19" s="477"/>
      <c r="K19" s="698">
        <v>18250000</v>
      </c>
      <c r="L19" s="699" t="s">
        <v>162</v>
      </c>
      <c r="M19" s="699" t="s">
        <v>263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IF(OR(TH!L19=TH!$U$7,M19=TH!$U$7),"x","")</f>
        <v/>
      </c>
      <c r="V19" s="52" t="str">
        <f>IF(AND(B19&gt;='IN-NX'!$P$3,B19&lt;='IN-NX'!$Q$3,'IN-NX'!$D$7=D19,OR(LEFT(L19,2)="15",AND(LEFT(M19,2)&lt;&gt;"15",LEFT(M19,2)&lt;&gt;"33"))),"x","")</f>
        <v/>
      </c>
      <c r="W19" s="52" t="str">
        <f>IF(AND(OR(LEFT(TH!L19,2)="15",LEFT(TH!M19,2)="15"),'152-CT'!$J$8=TH!F19),"x","")</f>
        <v/>
      </c>
      <c r="X19" s="52" t="str">
        <f>IF(AND(OR(LEFT(TH!L19,2)="15",LEFT(TH!M19,2)="15"),TK!$E$7=TH!F19),"x","")</f>
        <v/>
      </c>
      <c r="Y19" s="52" t="str">
        <f>IF(AND(B19&lt;=NKC!$N$8,B19&gt;=NKC!$M$8),"x","")</f>
        <v>x</v>
      </c>
    </row>
    <row r="20" spans="1:28" s="851" customFormat="1" ht="15.75" customHeight="1">
      <c r="A20" s="201" t="str">
        <f>IF(B20&lt;&gt;"",IF(AND(B20&gt;=_TM1,B20&lt;=_TM2,OR(TH!L20="1111",TH!M20="1111")),TH!D20,""),"")</f>
        <v/>
      </c>
      <c r="B20" s="36">
        <f t="shared" si="0"/>
        <v>10</v>
      </c>
      <c r="C20" s="771">
        <f t="shared" si="2"/>
        <v>41548</v>
      </c>
      <c r="D20" s="771" t="s">
        <v>339</v>
      </c>
      <c r="E20" s="771">
        <v>41548</v>
      </c>
      <c r="F20" s="696" t="s">
        <v>1254</v>
      </c>
      <c r="G20" s="852"/>
      <c r="H20" s="609"/>
      <c r="I20" s="477"/>
      <c r="J20" s="477"/>
      <c r="K20" s="698">
        <v>18250000</v>
      </c>
      <c r="L20" s="699" t="s">
        <v>162</v>
      </c>
      <c r="M20" s="699" t="s">
        <v>263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IF(OR(TH!L20=TH!$U$7,M20=TH!$U$7),"x","")</f>
        <v/>
      </c>
      <c r="V20" s="52" t="str">
        <f>IF(AND(B20&gt;='IN-NX'!$P$3,B20&lt;='IN-NX'!$Q$3,'IN-NX'!$D$7=D20,OR(LEFT(L20,2)="15",AND(LEFT(M20,2)&lt;&gt;"15",LEFT(M20,2)&lt;&gt;"33"))),"x","")</f>
        <v/>
      </c>
      <c r="W20" s="52" t="str">
        <f>IF(AND(OR(LEFT(TH!L20,2)="15",LEFT(TH!M20,2)="15"),'152-CT'!$J$8=TH!F20),"x","")</f>
        <v/>
      </c>
      <c r="X20" s="52" t="str">
        <f>IF(AND(OR(LEFT(TH!L20,2)="15",LEFT(TH!M20,2)="15"),TK!$E$7=TH!F20),"x","")</f>
        <v/>
      </c>
      <c r="Y20" s="52" t="str">
        <f>IF(AND(B20&lt;=NKC!$N$8,B20&gt;=NKC!$M$8),"x","")</f>
        <v/>
      </c>
    </row>
    <row r="21" spans="1:28" s="851" customFormat="1" ht="15.75" customHeight="1">
      <c r="A21" s="201" t="str">
        <f>IF(B21&lt;&gt;"",IF(AND(B21&gt;=_TM1,B21&lt;=_TM2,OR(TH!L21="1111",TH!M21="1111")),TH!D21,""),"")</f>
        <v/>
      </c>
      <c r="B21" s="36">
        <f t="shared" ref="B21:B83" si="3">IF(C21&lt;&gt;"",MONTH(C21),"")</f>
        <v>1</v>
      </c>
      <c r="C21" s="181">
        <v>41276</v>
      </c>
      <c r="D21" s="181" t="s">
        <v>401</v>
      </c>
      <c r="E21" s="188">
        <v>41235</v>
      </c>
      <c r="F21" s="186" t="s">
        <v>342</v>
      </c>
      <c r="G21" s="657" t="s">
        <v>463</v>
      </c>
      <c r="H21" s="7" t="s">
        <v>371</v>
      </c>
      <c r="I21" s="249">
        <v>72</v>
      </c>
      <c r="J21" s="251">
        <v>42000</v>
      </c>
      <c r="K21" s="38">
        <f>ROUND(I21*J21,0)</f>
        <v>3024000</v>
      </c>
      <c r="L21" s="596" t="s">
        <v>158</v>
      </c>
      <c r="M21" s="596" t="s">
        <v>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IF(OR(TH!L21=TH!$U$7,M21=TH!$U$7),"x","")</f>
        <v/>
      </c>
      <c r="V21" s="52" t="str">
        <f>IF(AND(B21&gt;='IN-NX'!$P$3,B21&lt;='IN-NX'!$Q$3,'IN-NX'!$D$7=D21,OR(LEFT(L21,2)="15",AND(LEFT(M21,2)&lt;&gt;"15",LEFT(M21,2)&lt;&gt;"33"))),"x","")</f>
        <v/>
      </c>
      <c r="W21" s="52" t="str">
        <f>IF(AND(OR(LEFT(TH!L21,2)="15",LEFT(TH!M21,2)="15"),'152-CT'!$J$8=TH!F21),"x","")</f>
        <v/>
      </c>
      <c r="X21" s="52" t="str">
        <f>IF(AND(OR(LEFT(TH!L21,2)="15",LEFT(TH!M21,2)="15"),TK!$E$7=TH!F21),"x","")</f>
        <v/>
      </c>
      <c r="Y21" s="52" t="str">
        <f>IF(AND(B21&lt;=NKC!$N$8,B21&gt;=NKC!$M$8),"x","")</f>
        <v/>
      </c>
      <c r="Z21" s="587">
        <v>3</v>
      </c>
      <c r="AA21" s="587"/>
      <c r="AB21" s="587"/>
    </row>
    <row r="22" spans="1:28" s="851" customFormat="1" ht="15.75" customHeight="1">
      <c r="A22" s="201" t="str">
        <f>IF(B22&lt;&gt;"",IF(AND(B22&gt;=_TM1,B22&lt;=_TM2,OR(TH!L22="1111",TH!M22="1111")),TH!D22,""),"")</f>
        <v/>
      </c>
      <c r="B22" s="36">
        <f t="shared" si="3"/>
        <v>1</v>
      </c>
      <c r="C22" s="181">
        <v>41276</v>
      </c>
      <c r="D22" s="181" t="s">
        <v>401</v>
      </c>
      <c r="E22" s="188">
        <v>41235</v>
      </c>
      <c r="F22" s="186" t="s">
        <v>343</v>
      </c>
      <c r="G22" s="657" t="s">
        <v>463</v>
      </c>
      <c r="H22" s="7" t="s">
        <v>371</v>
      </c>
      <c r="I22" s="250"/>
      <c r="J22" s="251"/>
      <c r="K22" s="793">
        <v>40753</v>
      </c>
      <c r="L22" s="596" t="s">
        <v>83</v>
      </c>
      <c r="M22" s="596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IF(OR(TH!L22=TH!$U$7,M22=TH!$U$7),"x","")</f>
        <v>x</v>
      </c>
      <c r="V22" s="52" t="str">
        <f>IF(AND(B22&gt;='IN-NX'!$P$3,B22&lt;='IN-NX'!$Q$3,'IN-NX'!$D$7=D22,OR(LEFT(L22,2)="15",AND(LEFT(M22,2)&lt;&gt;"15",LEFT(M22,2)&lt;&gt;"33"))),"x","")</f>
        <v/>
      </c>
      <c r="W22" s="52" t="str">
        <f>IF(AND(OR(LEFT(TH!L22,2)="15",LEFT(TH!M22,2)="15"),'152-CT'!$J$8=TH!F22),"x","")</f>
        <v/>
      </c>
      <c r="X22" s="52" t="str">
        <f>IF(AND(OR(LEFT(TH!L22,2)="15",LEFT(TH!M22,2)="15"),TK!$E$7=TH!F22),"x","")</f>
        <v/>
      </c>
      <c r="Y22" s="52" t="str">
        <f>IF(AND(B22&lt;=NKC!$N$8,B22&gt;=NKC!$M$8),"x","")</f>
        <v/>
      </c>
      <c r="Z22" s="587"/>
      <c r="AA22" s="587"/>
      <c r="AB22" s="587"/>
    </row>
    <row r="23" spans="1:28" s="851" customFormat="1" ht="15.75" customHeight="1">
      <c r="A23" s="201" t="str">
        <f>IF(B23&lt;&gt;"",IF(AND(B23&gt;=_TM1,B23&lt;=_TM2,OR(TH!L23="1111",TH!M23="1111")),TH!D23,""),"")</f>
        <v/>
      </c>
      <c r="B23" s="36">
        <f t="shared" si="3"/>
        <v>1</v>
      </c>
      <c r="C23" s="181">
        <v>41276</v>
      </c>
      <c r="D23" s="181" t="s">
        <v>401</v>
      </c>
      <c r="E23" s="188">
        <v>41235</v>
      </c>
      <c r="F23" s="186" t="s">
        <v>343</v>
      </c>
      <c r="G23" s="657" t="s">
        <v>463</v>
      </c>
      <c r="H23" s="7" t="s">
        <v>371</v>
      </c>
      <c r="I23" s="250"/>
      <c r="J23" s="251"/>
      <c r="K23" s="793">
        <f>302400-40753</f>
        <v>261647</v>
      </c>
      <c r="L23" s="596" t="s">
        <v>9</v>
      </c>
      <c r="M23" s="596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IF(OR(TH!L23=TH!$U$7,M23=TH!$U$7),"x","")</f>
        <v/>
      </c>
      <c r="V23" s="52" t="str">
        <f>IF(AND(B23&gt;='IN-NX'!$P$3,B23&lt;='IN-NX'!$Q$3,'IN-NX'!$D$7=D23,OR(LEFT(L23,2)="15",AND(LEFT(M23,2)&lt;&gt;"15",LEFT(M23,2)&lt;&gt;"33"))),"x","")</f>
        <v/>
      </c>
      <c r="W23" s="52" t="str">
        <f>IF(AND(OR(LEFT(TH!L23,2)="15",LEFT(TH!M23,2)="15"),'152-CT'!$J$8=TH!F23),"x","")</f>
        <v/>
      </c>
      <c r="X23" s="52" t="str">
        <f>IF(AND(OR(LEFT(TH!L23,2)="15",LEFT(TH!M23,2)="15"),TK!$E$7=TH!F23),"x","")</f>
        <v/>
      </c>
      <c r="Y23" s="52" t="str">
        <f>IF(AND(B23&lt;=NKC!$N$8,B23&gt;=NKC!$M$8),"x","")</f>
        <v/>
      </c>
      <c r="Z23" s="587">
        <v>3</v>
      </c>
      <c r="AA23" s="587"/>
      <c r="AB23" s="587"/>
    </row>
    <row r="24" spans="1:28" ht="15.75" customHeight="1">
      <c r="A24" s="201" t="str">
        <f>IF(B24&lt;&gt;"",IF(AND(B24&gt;=_TM1,B24&lt;=_TM2,OR(TH!L24="1111",TH!M24="1111")),TH!D24,""),"")</f>
        <v/>
      </c>
      <c r="B24" s="36">
        <f t="shared" si="3"/>
        <v>1</v>
      </c>
      <c r="C24" s="181">
        <v>41276</v>
      </c>
      <c r="D24" s="181" t="s">
        <v>374</v>
      </c>
      <c r="E24" s="188">
        <v>41235</v>
      </c>
      <c r="F24" s="186" t="s">
        <v>367</v>
      </c>
      <c r="G24" s="657" t="s">
        <v>463</v>
      </c>
      <c r="H24" s="7" t="s">
        <v>371</v>
      </c>
      <c r="I24" s="250"/>
      <c r="J24" s="251"/>
      <c r="K24" s="595">
        <v>3326400</v>
      </c>
      <c r="L24" s="596" t="s">
        <v>8</v>
      </c>
      <c r="M24" s="596" t="s">
        <v>47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IF(OR(TH!L24=TH!$U$7,M24=TH!$U$7),"x","")</f>
        <v/>
      </c>
      <c r="V24" s="52" t="str">
        <f>IF(AND(B24&gt;='IN-NX'!$P$3,B24&lt;='IN-NX'!$Q$3,'IN-NX'!$D$7=D24,OR(LEFT(L24,2)="15",AND(LEFT(M24,2)&lt;&gt;"15",LEFT(M24,2)&lt;&gt;"33"))),"x","")</f>
        <v/>
      </c>
      <c r="W24" s="52" t="str">
        <f>IF(AND(OR(LEFT(TH!L24,2)="15",LEFT(TH!M24,2)="15"),'152-CT'!$J$8=TH!F24),"x","")</f>
        <v/>
      </c>
      <c r="X24" s="52" t="str">
        <f>IF(AND(OR(LEFT(TH!L24,2)="15",LEFT(TH!M24,2)="15"),TK!$E$7=TH!F24),"x","")</f>
        <v/>
      </c>
      <c r="Y24" s="52" t="str">
        <f>IF(AND(B24&lt;=NKC!$N$8,B24&gt;=NKC!$M$8),"x","")</f>
        <v/>
      </c>
      <c r="Z24" s="587"/>
      <c r="AA24" s="587"/>
      <c r="AB24" s="587"/>
    </row>
    <row r="25" spans="1:28" ht="15.75" customHeight="1">
      <c r="A25" s="201" t="str">
        <f>IF(B25&lt;&gt;"",IF(AND(B25&gt;=_TM1,B25&lt;=_TM2,OR(TH!L25="1111",TH!M25="1111")),TH!D25,""),"")</f>
        <v/>
      </c>
      <c r="B25" s="36">
        <f t="shared" si="3"/>
        <v>1</v>
      </c>
      <c r="C25" s="188">
        <f t="shared" ref="C25:C87" si="4">E25</f>
        <v>41276</v>
      </c>
      <c r="D25" s="181" t="s">
        <v>403</v>
      </c>
      <c r="E25" s="188">
        <v>41276</v>
      </c>
      <c r="F25" s="189" t="s">
        <v>552</v>
      </c>
      <c r="G25" s="480" t="s">
        <v>553</v>
      </c>
      <c r="H25" s="190" t="s">
        <v>554</v>
      </c>
      <c r="I25" s="249">
        <v>203</v>
      </c>
      <c r="J25" s="249">
        <v>20765</v>
      </c>
      <c r="K25" s="38">
        <f>ROUND(I25*J25,0)</f>
        <v>4215295</v>
      </c>
      <c r="L25" s="191" t="s">
        <v>156</v>
      </c>
      <c r="M25" s="191" t="s">
        <v>8</v>
      </c>
      <c r="N25" s="52" t="str">
        <f>IF(AND('331-CT'!$E$7=TH!H25,OR(L25="331",M25="331")),"331",IF(AND(OR(L25="131",M25="131"),H25='131-CT'!$E$7),"131",""))</f>
        <v>331</v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IF(OR(TH!L25=TH!$U$7,M25=TH!$U$7),"x","")</f>
        <v/>
      </c>
      <c r="V25" s="52" t="str">
        <f>IF(AND(B25&gt;='IN-NX'!$P$3,B25&lt;='IN-NX'!$Q$3,'IN-NX'!$D$7=D25,OR(LEFT(L25,2)="15",AND(LEFT(M25,2)&lt;&gt;"15",LEFT(M25,2)&lt;&gt;"33"))),"x","")</f>
        <v/>
      </c>
      <c r="W25" s="52" t="str">
        <f>IF(AND(OR(LEFT(TH!L25,2)="15",LEFT(TH!M25,2)="15"),'152-CT'!$J$8=TH!F25),"x","")</f>
        <v/>
      </c>
      <c r="X25" s="52" t="str">
        <f>IF(AND(OR(LEFT(TH!L25,2)="15",LEFT(TH!M25,2)="15"),TK!$E$7=TH!F25),"x","")</f>
        <v/>
      </c>
      <c r="Y25" s="52" t="str">
        <f>IF(AND(B25&lt;=NKC!$N$8,B25&gt;=NKC!$M$8),"x","")</f>
        <v/>
      </c>
      <c r="Z25" s="208">
        <v>1</v>
      </c>
    </row>
    <row r="26" spans="1:28" ht="15.75" customHeight="1">
      <c r="A26" s="201" t="str">
        <f>IF(B26&lt;&gt;"",IF(AND(B26&gt;=_TM1,B26&lt;=_TM2,OR(TH!L26="1111",TH!M26="1111")),TH!D26,""),"")</f>
        <v/>
      </c>
      <c r="B26" s="36">
        <f t="shared" si="3"/>
        <v>1</v>
      </c>
      <c r="C26" s="188">
        <f t="shared" si="4"/>
        <v>41276</v>
      </c>
      <c r="D26" s="181" t="s">
        <v>403</v>
      </c>
      <c r="E26" s="188">
        <v>41276</v>
      </c>
      <c r="F26" s="189" t="s">
        <v>555</v>
      </c>
      <c r="G26" s="480" t="s">
        <v>553</v>
      </c>
      <c r="H26" s="190" t="s">
        <v>554</v>
      </c>
      <c r="I26" s="249">
        <v>201</v>
      </c>
      <c r="J26" s="249">
        <v>17438</v>
      </c>
      <c r="K26" s="38">
        <f>ROUND(I26*J26,0)</f>
        <v>3505038</v>
      </c>
      <c r="L26" s="191" t="s">
        <v>156</v>
      </c>
      <c r="M26" s="191" t="s">
        <v>8</v>
      </c>
      <c r="N26" s="52" t="str">
        <f>IF(AND('331-CT'!$E$7=TH!H26,OR(L26="331",M26="331")),"331",IF(AND(OR(L26="131",M26="131"),H26='131-CT'!$E$7),"131",""))</f>
        <v>331</v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IF(OR(TH!L26=TH!$U$7,M26=TH!$U$7),"x","")</f>
        <v/>
      </c>
      <c r="V26" s="52" t="str">
        <f>IF(AND(B26&gt;='IN-NX'!$P$3,B26&lt;='IN-NX'!$Q$3,'IN-NX'!$D$7=D26,OR(LEFT(L26,2)="15",AND(LEFT(M26,2)&lt;&gt;"15",LEFT(M26,2)&lt;&gt;"33"))),"x","")</f>
        <v/>
      </c>
      <c r="W26" s="52" t="str">
        <f>IF(AND(OR(LEFT(TH!L26,2)="15",LEFT(TH!M26,2)="15"),'152-CT'!$J$8=TH!F26),"x","")</f>
        <v/>
      </c>
      <c r="X26" s="52" t="str">
        <f>IF(AND(OR(LEFT(TH!L26,2)="15",LEFT(TH!M26,2)="15"),TK!$E$7=TH!F26),"x","")</f>
        <v/>
      </c>
      <c r="Y26" s="52" t="str">
        <f>IF(AND(B26&lt;=NKC!$N$8,B26&gt;=NKC!$M$8),"x","")</f>
        <v/>
      </c>
      <c r="Z26" s="208">
        <v>1</v>
      </c>
    </row>
    <row r="27" spans="1:28" ht="15.75" customHeight="1">
      <c r="A27" s="201" t="str">
        <f>IF(B27&lt;&gt;"",IF(AND(B27&gt;=_TM1,B27&lt;=_TM2,OR(TH!L27="1111",TH!M27="1111")),TH!D27,""),"")</f>
        <v/>
      </c>
      <c r="B27" s="36">
        <f t="shared" si="3"/>
        <v>1</v>
      </c>
      <c r="C27" s="188">
        <f t="shared" si="4"/>
        <v>41276</v>
      </c>
      <c r="D27" s="181" t="s">
        <v>403</v>
      </c>
      <c r="E27" s="188">
        <v>41276</v>
      </c>
      <c r="F27" s="189" t="s">
        <v>556</v>
      </c>
      <c r="G27" s="480" t="s">
        <v>553</v>
      </c>
      <c r="H27" s="190" t="s">
        <v>554</v>
      </c>
      <c r="I27" s="251">
        <v>260</v>
      </c>
      <c r="J27" s="251">
        <v>16626</v>
      </c>
      <c r="K27" s="38">
        <f>ROUND(I27*J27,0)</f>
        <v>4322760</v>
      </c>
      <c r="L27" s="191" t="s">
        <v>156</v>
      </c>
      <c r="M27" s="191" t="s">
        <v>8</v>
      </c>
      <c r="N27" s="52" t="str">
        <f>IF(AND('331-CT'!$E$7=TH!H27,OR(L27="331",M27="331")),"331",IF(AND(OR(L27="131",M27="131"),H27='131-CT'!$E$7),"131",""))</f>
        <v>331</v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IF(OR(TH!L27=TH!$U$7,M27=TH!$U$7),"x","")</f>
        <v/>
      </c>
      <c r="V27" s="52" t="str">
        <f>IF(AND(B27&gt;='IN-NX'!$P$3,B27&lt;='IN-NX'!$Q$3,'IN-NX'!$D$7=D27,OR(LEFT(L27,2)="15",AND(LEFT(M27,2)&lt;&gt;"15",LEFT(M27,2)&lt;&gt;"33"))),"x","")</f>
        <v/>
      </c>
      <c r="W27" s="52" t="str">
        <f>IF(AND(OR(LEFT(TH!L27,2)="15",LEFT(TH!M27,2)="15"),'152-CT'!$J$8=TH!F27),"x","")</f>
        <v/>
      </c>
      <c r="X27" s="52" t="str">
        <f>IF(AND(OR(LEFT(TH!L27,2)="15",LEFT(TH!M27,2)="15"),TK!$E$7=TH!F27),"x","")</f>
        <v/>
      </c>
      <c r="Y27" s="52" t="str">
        <f>IF(AND(B27&lt;=NKC!$N$8,B27&gt;=NKC!$M$8),"x","")</f>
        <v/>
      </c>
      <c r="Z27" s="208">
        <v>1</v>
      </c>
    </row>
    <row r="28" spans="1:28" ht="15.75" customHeight="1">
      <c r="A28" s="201" t="str">
        <f>IF(B28&lt;&gt;"",IF(AND(B28&gt;=_TM1,B28&lt;=_TM2,OR(TH!L28="1111",TH!M28="1111")),TH!D28,""),"")</f>
        <v/>
      </c>
      <c r="B28" s="36">
        <f t="shared" si="3"/>
        <v>1</v>
      </c>
      <c r="C28" s="188">
        <f t="shared" si="4"/>
        <v>41276</v>
      </c>
      <c r="D28" s="181" t="s">
        <v>403</v>
      </c>
      <c r="E28" s="188">
        <v>41276</v>
      </c>
      <c r="F28" s="189" t="s">
        <v>557</v>
      </c>
      <c r="G28" s="480" t="s">
        <v>553</v>
      </c>
      <c r="H28" s="190" t="s">
        <v>554</v>
      </c>
      <c r="I28" s="249"/>
      <c r="J28" s="249"/>
      <c r="K28" s="38">
        <v>1204310</v>
      </c>
      <c r="L28" s="191" t="s">
        <v>9</v>
      </c>
      <c r="M28" s="191" t="s">
        <v>8</v>
      </c>
      <c r="N28" s="52" t="str">
        <f>IF(AND('331-CT'!$E$7=TH!H28,OR(L28="331",M28="331")),"331",IF(AND(OR(L28="131",M28="131"),H28='131-CT'!$E$7),"131",""))</f>
        <v>331</v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IF(OR(TH!L28=TH!$U$7,M28=TH!$U$7),"x","")</f>
        <v/>
      </c>
      <c r="V28" s="52" t="str">
        <f>IF(AND(B28&gt;='IN-NX'!$P$3,B28&lt;='IN-NX'!$Q$3,'IN-NX'!$D$7=D28,OR(LEFT(L28,2)="15",AND(LEFT(M28,2)&lt;&gt;"15",LEFT(M28,2)&lt;&gt;"33"))),"x","")</f>
        <v/>
      </c>
      <c r="W28" s="52" t="str">
        <f>IF(AND(OR(LEFT(TH!L28,2)="15",LEFT(TH!M28,2)="15"),'152-CT'!$J$8=TH!F28),"x","")</f>
        <v/>
      </c>
      <c r="X28" s="52" t="str">
        <f>IF(AND(OR(LEFT(TH!L28,2)="15",LEFT(TH!M28,2)="15"),TK!$E$7=TH!F28),"x","")</f>
        <v/>
      </c>
      <c r="Y28" s="52" t="str">
        <f>IF(AND(B28&lt;=NKC!$N$8,B28&gt;=NKC!$M$8),"x","")</f>
        <v/>
      </c>
      <c r="Z28" s="208">
        <v>1</v>
      </c>
    </row>
    <row r="29" spans="1:28" ht="15.75" customHeight="1">
      <c r="A29" s="201" t="str">
        <f>IF(B29&lt;&gt;"",IF(AND(B29&gt;=_TM1,B29&lt;=_TM2,OR(TH!L29="1111",TH!M29="1111")),TH!D29,""),"")</f>
        <v/>
      </c>
      <c r="B29" s="36">
        <f t="shared" si="3"/>
        <v>1</v>
      </c>
      <c r="C29" s="188">
        <f t="shared" si="4"/>
        <v>41276</v>
      </c>
      <c r="D29" s="181" t="s">
        <v>375</v>
      </c>
      <c r="E29" s="188">
        <v>41276</v>
      </c>
      <c r="F29" s="189" t="s">
        <v>367</v>
      </c>
      <c r="G29" s="480" t="s">
        <v>553</v>
      </c>
      <c r="H29" s="190" t="s">
        <v>554</v>
      </c>
      <c r="I29" s="249"/>
      <c r="J29" s="249"/>
      <c r="K29" s="38">
        <v>13247403</v>
      </c>
      <c r="L29" s="191" t="s">
        <v>8</v>
      </c>
      <c r="M29" s="191" t="s">
        <v>47</v>
      </c>
      <c r="N29" s="52" t="str">
        <f>IF(AND('331-CT'!$E$7=TH!H29,OR(L29="331",M29="331")),"331",IF(AND(OR(L29="131",M29="131"),H29='131-CT'!$E$7),"131",""))</f>
        <v>331</v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IF(OR(TH!L29=TH!$U$7,M29=TH!$U$7),"x","")</f>
        <v/>
      </c>
      <c r="V29" s="52" t="str">
        <f>IF(AND(B29&gt;='IN-NX'!$P$3,B29&lt;='IN-NX'!$Q$3,'IN-NX'!$D$7=D29,OR(LEFT(L29,2)="15",AND(LEFT(M29,2)&lt;&gt;"15",LEFT(M29,2)&lt;&gt;"33"))),"x","")</f>
        <v/>
      </c>
      <c r="W29" s="52" t="str">
        <f>IF(AND(OR(LEFT(TH!L29,2)="15",LEFT(TH!M29,2)="15"),'152-CT'!$J$8=TH!F29),"x","")</f>
        <v/>
      </c>
      <c r="X29" s="52" t="str">
        <f>IF(AND(OR(LEFT(TH!L29,2)="15",LEFT(TH!M29,2)="15"),TK!$E$7=TH!F29),"x","")</f>
        <v/>
      </c>
      <c r="Y29" s="52" t="str">
        <f>IF(AND(B29&lt;=NKC!$N$8,B29&gt;=NKC!$M$8),"x","")</f>
        <v/>
      </c>
      <c r="Z29" s="208"/>
    </row>
    <row r="30" spans="1:28" ht="15.75" customHeight="1">
      <c r="A30" s="201" t="str">
        <f>IF(B30&lt;&gt;"",IF(AND(B30&gt;=_TM1,B30&lt;=_TM2,OR(TH!L30="1111",TH!M30="1111")),TH!D30,""),"")</f>
        <v/>
      </c>
      <c r="B30" s="36">
        <f t="shared" si="3"/>
        <v>1</v>
      </c>
      <c r="C30" s="188">
        <f t="shared" si="4"/>
        <v>41276</v>
      </c>
      <c r="D30" s="181" t="s">
        <v>1014</v>
      </c>
      <c r="E30" s="181">
        <v>41276</v>
      </c>
      <c r="F30" s="189" t="s">
        <v>690</v>
      </c>
      <c r="G30" s="597" t="s">
        <v>691</v>
      </c>
      <c r="H30" s="190" t="s">
        <v>468</v>
      </c>
      <c r="I30" s="249">
        <v>905</v>
      </c>
      <c r="J30" s="249">
        <v>6000</v>
      </c>
      <c r="K30" s="38">
        <f>ROUND(I30*J30,0)</f>
        <v>5430000</v>
      </c>
      <c r="L30" s="191" t="s">
        <v>262</v>
      </c>
      <c r="M30" s="191" t="s">
        <v>172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IF(OR(TH!L30=TH!$U$7,M30=TH!$U$7),"x","")</f>
        <v/>
      </c>
      <c r="V30" s="52" t="str">
        <f>IF(AND(B30&gt;='IN-NX'!$P$3,B30&lt;='IN-NX'!$Q$3,'IN-NX'!$D$7=D30,OR(LEFT(L30,2)="15",AND(LEFT(M30,2)&lt;&gt;"15",LEFT(M30,2)&lt;&gt;"33"))),"x","")</f>
        <v/>
      </c>
      <c r="W30" s="52" t="str">
        <f>IF(AND(OR(LEFT(TH!L30,2)="15",LEFT(TH!M30,2)="15"),'152-CT'!$J$8=TH!F30),"x","")</f>
        <v/>
      </c>
      <c r="X30" s="52" t="str">
        <f>IF(AND(OR(LEFT(TH!L30,2)="15",LEFT(TH!M30,2)="15"),TK!$E$7=TH!F30),"x","")</f>
        <v/>
      </c>
      <c r="Y30" s="52" t="str">
        <f>IF(AND(B30&lt;=NKC!$N$8,B30&gt;=NKC!$M$8),"x","")</f>
        <v/>
      </c>
      <c r="Z30" s="208"/>
      <c r="AA30" s="587"/>
    </row>
    <row r="31" spans="1:28" ht="15.75" customHeight="1">
      <c r="A31" s="201" t="str">
        <f>IF(B31&lt;&gt;"",IF(AND(B31&gt;=_TM1,B31&lt;=_TM2,OR(TH!L31="1111",TH!M31="1111")),TH!D31,""),"")</f>
        <v/>
      </c>
      <c r="B31" s="36">
        <f t="shared" si="3"/>
        <v>1</v>
      </c>
      <c r="C31" s="188">
        <f t="shared" si="4"/>
        <v>41276</v>
      </c>
      <c r="D31" s="181" t="s">
        <v>1014</v>
      </c>
      <c r="E31" s="188">
        <v>41276</v>
      </c>
      <c r="F31" s="189" t="s">
        <v>692</v>
      </c>
      <c r="G31" s="480" t="s">
        <v>691</v>
      </c>
      <c r="H31" s="190" t="s">
        <v>468</v>
      </c>
      <c r="I31" s="250">
        <v>305</v>
      </c>
      <c r="J31" s="250">
        <v>5500</v>
      </c>
      <c r="K31" s="38">
        <f>ROUND(I31*J31,0)</f>
        <v>1677500</v>
      </c>
      <c r="L31" s="191" t="s">
        <v>262</v>
      </c>
      <c r="M31" s="191" t="s">
        <v>172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IF(OR(TH!L31=TH!$U$7,M31=TH!$U$7),"x","")</f>
        <v/>
      </c>
      <c r="V31" s="52" t="str">
        <f>IF(AND(B31&gt;='IN-NX'!$P$3,B31&lt;='IN-NX'!$Q$3,'IN-NX'!$D$7=D31,OR(LEFT(L31,2)="15",AND(LEFT(M31,2)&lt;&gt;"15",LEFT(M31,2)&lt;&gt;"33"))),"x","")</f>
        <v/>
      </c>
      <c r="W31" s="52" t="str">
        <f>IF(AND(OR(LEFT(TH!L31,2)="15",LEFT(TH!M31,2)="15"),'152-CT'!$J$8=TH!F31),"x","")</f>
        <v/>
      </c>
      <c r="X31" s="52" t="str">
        <f>IF(AND(OR(LEFT(TH!L31,2)="15",LEFT(TH!M31,2)="15"),TK!$E$7=TH!F31),"x","")</f>
        <v/>
      </c>
      <c r="Y31" s="52" t="str">
        <f>IF(AND(B31&lt;=NKC!$N$8,B31&gt;=NKC!$M$8),"x","")</f>
        <v/>
      </c>
      <c r="Z31" s="208"/>
      <c r="AA31" s="587"/>
    </row>
    <row r="32" spans="1:28" ht="15.75" customHeight="1">
      <c r="A32" s="201" t="str">
        <f>IF(B32&lt;&gt;"",IF(AND(B32&gt;=_TM1,B32&lt;=_TM2,OR(TH!L32="1111",TH!M32="1111")),TH!D32,""),"")</f>
        <v/>
      </c>
      <c r="B32" s="36">
        <f t="shared" si="3"/>
        <v>1</v>
      </c>
      <c r="C32" s="188">
        <f t="shared" si="4"/>
        <v>41276</v>
      </c>
      <c r="D32" s="181" t="s">
        <v>1014</v>
      </c>
      <c r="E32" s="181">
        <v>41276</v>
      </c>
      <c r="F32" s="189" t="s">
        <v>693</v>
      </c>
      <c r="G32" s="597" t="s">
        <v>691</v>
      </c>
      <c r="H32" s="190" t="s">
        <v>468</v>
      </c>
      <c r="I32" s="249"/>
      <c r="J32" s="249"/>
      <c r="K32" s="38">
        <v>710750</v>
      </c>
      <c r="L32" s="191" t="s">
        <v>262</v>
      </c>
      <c r="M32" s="191" t="s">
        <v>425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IF(OR(TH!L32=TH!$U$7,M32=TH!$U$7),"x","")</f>
        <v/>
      </c>
      <c r="V32" s="52" t="str">
        <f>IF(AND(B32&gt;='IN-NX'!$P$3,B32&lt;='IN-NX'!$Q$3,'IN-NX'!$D$7=D32,OR(LEFT(L32,2)="15",AND(LEFT(M32,2)&lt;&gt;"15",LEFT(M32,2)&lt;&gt;"33"))),"x","")</f>
        <v/>
      </c>
      <c r="W32" s="52" t="str">
        <f>IF(AND(OR(LEFT(TH!L32,2)="15",LEFT(TH!M32,2)="15"),'152-CT'!$J$8=TH!F32),"x","")</f>
        <v/>
      </c>
      <c r="X32" s="52" t="str">
        <f>IF(AND(OR(LEFT(TH!L32,2)="15",LEFT(TH!M32,2)="15"),TK!$E$7=TH!F32),"x","")</f>
        <v/>
      </c>
      <c r="Y32" s="52" t="str">
        <f>IF(AND(B32&lt;=NKC!$N$8,B32&gt;=NKC!$M$8),"x","")</f>
        <v/>
      </c>
      <c r="Z32" s="208"/>
      <c r="AA32" s="587" t="str">
        <f>IF(VLOOKUP(H32,DS_131,1,0)&lt;&gt;"","","x")</f>
        <v/>
      </c>
    </row>
    <row r="33" spans="1:28" ht="15.75" customHeight="1">
      <c r="A33" s="201" t="str">
        <f>IF(B33&lt;&gt;"",IF(AND(B33&gt;=_TM1,B33&lt;=_TM2,OR(TH!L33="1111",TH!M33="1111")),TH!D33,""),"")</f>
        <v/>
      </c>
      <c r="B33" s="36">
        <f t="shared" si="3"/>
        <v>1</v>
      </c>
      <c r="C33" s="181">
        <f t="shared" si="4"/>
        <v>41277</v>
      </c>
      <c r="D33" s="181" t="s">
        <v>376</v>
      </c>
      <c r="E33" s="181">
        <v>41277</v>
      </c>
      <c r="F33" s="186" t="s">
        <v>363</v>
      </c>
      <c r="G33" s="597" t="s">
        <v>332</v>
      </c>
      <c r="H33" s="7" t="s">
        <v>464</v>
      </c>
      <c r="I33" s="249"/>
      <c r="J33" s="249"/>
      <c r="K33" s="595">
        <v>40200000</v>
      </c>
      <c r="L33" s="596" t="s">
        <v>24</v>
      </c>
      <c r="M33" s="596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52" t="str">
        <f>IF(OR(TH!L33=TH!$U$7,M33=TH!$U$7),"x","")</f>
        <v/>
      </c>
      <c r="V33" s="52" t="str">
        <f>IF(AND(B33&gt;='IN-NX'!$P$3,B33&lt;='IN-NX'!$Q$3,'IN-NX'!$D$7=D33,OR(LEFT(L33,2)="15",AND(LEFT(M33,2)&lt;&gt;"15",LEFT(M33,2)&lt;&gt;"33"))),"x","")</f>
        <v/>
      </c>
      <c r="W33" s="52" t="str">
        <f>IF(AND(OR(LEFT(TH!L33,2)="15",LEFT(TH!M33,2)="15"),'152-CT'!$J$8=TH!F33),"x","")</f>
        <v/>
      </c>
      <c r="X33" s="52" t="str">
        <f>IF(AND(OR(LEFT(TH!L33,2)="15",LEFT(TH!M33,2)="15"),TK!$E$7=TH!F33),"x","")</f>
        <v/>
      </c>
      <c r="Y33" s="52" t="str">
        <f>IF(AND(B33&lt;=NKC!$N$8,B33&gt;=NKC!$M$8),"x","")</f>
        <v/>
      </c>
      <c r="Z33" s="587"/>
      <c r="AA33" s="587"/>
      <c r="AB33" s="587"/>
    </row>
    <row r="34" spans="1:28" ht="15.75" customHeight="1">
      <c r="A34" s="201" t="str">
        <f>IF(B34&lt;&gt;"",IF(AND(B34&gt;=_TM1,B34&lt;=_TM2,OR(TH!L34="1111",TH!M34="1111")),TH!D34,""),"")</f>
        <v/>
      </c>
      <c r="B34" s="36">
        <f t="shared" si="3"/>
        <v>1</v>
      </c>
      <c r="C34" s="181">
        <f t="shared" si="4"/>
        <v>41277</v>
      </c>
      <c r="D34" s="181" t="s">
        <v>336</v>
      </c>
      <c r="E34" s="188">
        <v>41277</v>
      </c>
      <c r="F34" s="186" t="s">
        <v>367</v>
      </c>
      <c r="G34" s="597" t="s">
        <v>332</v>
      </c>
      <c r="H34" s="190" t="s">
        <v>1080</v>
      </c>
      <c r="I34" s="250"/>
      <c r="J34" s="251"/>
      <c r="K34" s="38">
        <v>40160922</v>
      </c>
      <c r="L34" s="596" t="s">
        <v>8</v>
      </c>
      <c r="M34" s="596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IF(OR(TH!L34=TH!$U$7,M34=TH!$U$7),"x","")</f>
        <v/>
      </c>
      <c r="V34" s="52" t="str">
        <f>IF(AND(B34&gt;='IN-NX'!$P$3,B34&lt;='IN-NX'!$Q$3,'IN-NX'!$D$7=D34,OR(LEFT(L34,2)="15",AND(LEFT(M34,2)&lt;&gt;"15",LEFT(M34,2)&lt;&gt;"33"))),"x","")</f>
        <v/>
      </c>
      <c r="W34" s="52" t="str">
        <f>IF(AND(OR(LEFT(TH!L34,2)="15",LEFT(TH!M34,2)="15"),'152-CT'!$J$8=TH!F34),"x","")</f>
        <v/>
      </c>
      <c r="X34" s="52" t="str">
        <f>IF(AND(OR(LEFT(TH!L34,2)="15",LEFT(TH!M34,2)="15"),TK!$E$7=TH!F34),"x","")</f>
        <v/>
      </c>
      <c r="Y34" s="52" t="str">
        <f>IF(AND(B34&lt;=NKC!$N$8,B34&gt;=NKC!$M$8),"x","")</f>
        <v/>
      </c>
      <c r="Z34" s="208"/>
      <c r="AA34" s="587"/>
      <c r="AB34" s="587"/>
    </row>
    <row r="35" spans="1:28" ht="15.75" customHeight="1">
      <c r="A35" s="201" t="str">
        <f>IF(B35&lt;&gt;"",IF(AND(B35&gt;=_TM1,B35&lt;=_TM2,OR(TH!L35="1111",TH!M35="1111")),TH!D35,""),"")</f>
        <v/>
      </c>
      <c r="B35" s="36">
        <f t="shared" si="3"/>
        <v>1</v>
      </c>
      <c r="C35" s="181">
        <f t="shared" si="4"/>
        <v>41277</v>
      </c>
      <c r="D35" s="181" t="s">
        <v>336</v>
      </c>
      <c r="E35" s="188">
        <v>41277</v>
      </c>
      <c r="F35" s="186" t="s">
        <v>338</v>
      </c>
      <c r="G35" s="597" t="s">
        <v>332</v>
      </c>
      <c r="H35" s="7"/>
      <c r="I35" s="250"/>
      <c r="J35" s="251"/>
      <c r="K35" s="38">
        <v>20080</v>
      </c>
      <c r="L35" s="596" t="s">
        <v>83</v>
      </c>
      <c r="M35" s="596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IF(OR(TH!L35=TH!$U$7,M35=TH!$U$7),"x","")</f>
        <v>x</v>
      </c>
      <c r="V35" s="52" t="str">
        <f>IF(AND(B35&gt;='IN-NX'!$P$3,B35&lt;='IN-NX'!$Q$3,'IN-NX'!$D$7=D35,OR(LEFT(L35,2)="15",AND(LEFT(M35,2)&lt;&gt;"15",LEFT(M35,2)&lt;&gt;"33"))),"x","")</f>
        <v/>
      </c>
      <c r="W35" s="52" t="str">
        <f>IF(AND(OR(LEFT(TH!L35,2)="15",LEFT(TH!M35,2)="15"),'152-CT'!$J$8=TH!F35),"x","")</f>
        <v/>
      </c>
      <c r="X35" s="52" t="str">
        <f>IF(AND(OR(LEFT(TH!L35,2)="15",LEFT(TH!M35,2)="15"),TK!$E$7=TH!F35),"x","")</f>
        <v/>
      </c>
      <c r="Y35" s="52" t="str">
        <f>IF(AND(B35&lt;=NKC!$N$8,B35&gt;=NKC!$M$8),"x","")</f>
        <v/>
      </c>
      <c r="Z35" s="208"/>
      <c r="AA35" s="587"/>
      <c r="AB35" s="587"/>
    </row>
    <row r="36" spans="1:28" ht="15.75" customHeight="1">
      <c r="A36" s="201" t="str">
        <f>IF(B36&lt;&gt;"",IF(AND(B36&gt;=_TM1,B36&lt;=_TM2,OR(TH!L36="1111",TH!M36="1111")),TH!D36,""),"")</f>
        <v/>
      </c>
      <c r="B36" s="36">
        <f t="shared" si="3"/>
        <v>1</v>
      </c>
      <c r="C36" s="181">
        <f t="shared" si="4"/>
        <v>41277</v>
      </c>
      <c r="D36" s="181" t="s">
        <v>336</v>
      </c>
      <c r="E36" s="188">
        <v>41277</v>
      </c>
      <c r="F36" s="186" t="s">
        <v>465</v>
      </c>
      <c r="G36" s="597" t="s">
        <v>332</v>
      </c>
      <c r="H36" s="7"/>
      <c r="I36" s="250"/>
      <c r="J36" s="251"/>
      <c r="K36" s="38">
        <v>12000</v>
      </c>
      <c r="L36" s="596" t="s">
        <v>83</v>
      </c>
      <c r="M36" s="596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IF(OR(TH!L36=TH!$U$7,M36=TH!$U$7),"x","")</f>
        <v>x</v>
      </c>
      <c r="V36" s="52" t="str">
        <f>IF(AND(B36&gt;='IN-NX'!$P$3,B36&lt;='IN-NX'!$Q$3,'IN-NX'!$D$7=D36,OR(LEFT(L36,2)="15",AND(LEFT(M36,2)&lt;&gt;"15",LEFT(M36,2)&lt;&gt;"33"))),"x","")</f>
        <v/>
      </c>
      <c r="W36" s="52" t="str">
        <f>IF(AND(OR(LEFT(TH!L36,2)="15",LEFT(TH!M36,2)="15"),'152-CT'!$J$8=TH!F36),"x","")</f>
        <v/>
      </c>
      <c r="X36" s="52" t="str">
        <f>IF(AND(OR(LEFT(TH!L36,2)="15",LEFT(TH!M36,2)="15"),TK!$E$7=TH!F36),"x","")</f>
        <v/>
      </c>
      <c r="Y36" s="52" t="str">
        <f>IF(AND(B36&lt;=NKC!$N$8,B36&gt;=NKC!$M$8),"x","")</f>
        <v/>
      </c>
      <c r="Z36" s="587"/>
      <c r="AA36" s="587"/>
      <c r="AB36" s="587"/>
    </row>
    <row r="37" spans="1:28" ht="15.75" customHeight="1">
      <c r="A37" s="201" t="str">
        <f>IF(B37&lt;&gt;"",IF(AND(B37&gt;=_TM1,B37&lt;=_TM2,OR(TH!L37="1111",TH!M37="1111")),TH!D37,""),"")</f>
        <v/>
      </c>
      <c r="B37" s="36">
        <f t="shared" si="3"/>
        <v>1</v>
      </c>
      <c r="C37" s="188">
        <f t="shared" si="4"/>
        <v>41277</v>
      </c>
      <c r="D37" s="181" t="s">
        <v>404</v>
      </c>
      <c r="E37" s="188">
        <v>41277</v>
      </c>
      <c r="F37" s="189" t="s">
        <v>558</v>
      </c>
      <c r="G37" s="480" t="s">
        <v>559</v>
      </c>
      <c r="H37" s="190" t="s">
        <v>554</v>
      </c>
      <c r="I37" s="251">
        <v>258</v>
      </c>
      <c r="J37" s="251">
        <v>19896</v>
      </c>
      <c r="K37" s="38">
        <f>ROUND(I37*J37,0)</f>
        <v>5133168</v>
      </c>
      <c r="L37" s="191" t="s">
        <v>156</v>
      </c>
      <c r="M37" s="191" t="s">
        <v>8</v>
      </c>
      <c r="N37" s="52" t="str">
        <f>IF(AND('331-CT'!$E$7=TH!H37,OR(L37="331",M37="331")),"331",IF(AND(OR(L37="131",M37="131"),H37='131-CT'!$E$7),"131",""))</f>
        <v>331</v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IF(OR(TH!L37=TH!$U$7,M37=TH!$U$7),"x","")</f>
        <v/>
      </c>
      <c r="V37" s="52" t="str">
        <f>IF(AND(B37&gt;='IN-NX'!$P$3,B37&lt;='IN-NX'!$Q$3,'IN-NX'!$D$7=D37,OR(LEFT(L37,2)="15",AND(LEFT(M37,2)&lt;&gt;"15",LEFT(M37,2)&lt;&gt;"33"))),"x","")</f>
        <v/>
      </c>
      <c r="W37" s="52" t="str">
        <f>IF(AND(OR(LEFT(TH!L37,2)="15",LEFT(TH!M37,2)="15"),'152-CT'!$J$8=TH!F37),"x","")</f>
        <v/>
      </c>
      <c r="X37" s="52" t="str">
        <f>IF(AND(OR(LEFT(TH!L37,2)="15",LEFT(TH!M37,2)="15"),TK!$E$7=TH!F37),"x","")</f>
        <v/>
      </c>
      <c r="Y37" s="52" t="str">
        <f>IF(AND(B37&lt;=NKC!$N$8,B37&gt;=NKC!$M$8),"x","")</f>
        <v/>
      </c>
      <c r="Z37" s="208">
        <v>1</v>
      </c>
    </row>
    <row r="38" spans="1:28" ht="15.75" customHeight="1">
      <c r="A38" s="201" t="str">
        <f>IF(B38&lt;&gt;"",IF(AND(B38&gt;=_TM1,B38&lt;=_TM2,OR(TH!L38="1111",TH!M38="1111")),TH!D38,""),"")</f>
        <v/>
      </c>
      <c r="B38" s="36">
        <f t="shared" si="3"/>
        <v>1</v>
      </c>
      <c r="C38" s="188">
        <f t="shared" si="4"/>
        <v>41277</v>
      </c>
      <c r="D38" s="181" t="s">
        <v>404</v>
      </c>
      <c r="E38" s="188">
        <v>41277</v>
      </c>
      <c r="F38" s="189" t="s">
        <v>560</v>
      </c>
      <c r="G38" s="480" t="s">
        <v>559</v>
      </c>
      <c r="H38" s="190" t="s">
        <v>554</v>
      </c>
      <c r="I38" s="249">
        <v>505</v>
      </c>
      <c r="J38" s="249">
        <v>29568</v>
      </c>
      <c r="K38" s="38">
        <f>ROUND(I38*J38,0)</f>
        <v>14931840</v>
      </c>
      <c r="L38" s="191" t="s">
        <v>156</v>
      </c>
      <c r="M38" s="191" t="s">
        <v>8</v>
      </c>
      <c r="N38" s="52" t="str">
        <f>IF(AND('331-CT'!$E$7=TH!H38,OR(L38="331",M38="331")),"331",IF(AND(OR(L38="131",M38="131"),H38='131-CT'!$E$7),"131",""))</f>
        <v>331</v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IF(OR(TH!L38=TH!$U$7,M38=TH!$U$7),"x","")</f>
        <v/>
      </c>
      <c r="V38" s="52" t="str">
        <f>IF(AND(B38&gt;='IN-NX'!$P$3,B38&lt;='IN-NX'!$Q$3,'IN-NX'!$D$7=D38,OR(LEFT(L38,2)="15",AND(LEFT(M38,2)&lt;&gt;"15",LEFT(M38,2)&lt;&gt;"33"))),"x","")</f>
        <v/>
      </c>
      <c r="W38" s="52" t="str">
        <f>IF(AND(OR(LEFT(TH!L38,2)="15",LEFT(TH!M38,2)="15"),'152-CT'!$J$8=TH!F38),"x","")</f>
        <v/>
      </c>
      <c r="X38" s="52" t="str">
        <f>IF(AND(OR(LEFT(TH!L38,2)="15",LEFT(TH!M38,2)="15"),TK!$E$7=TH!F38),"x","")</f>
        <v/>
      </c>
      <c r="Y38" s="52" t="str">
        <f>IF(AND(B38&lt;=NKC!$N$8,B38&gt;=NKC!$M$8),"x","")</f>
        <v/>
      </c>
      <c r="Z38" s="208">
        <v>1</v>
      </c>
    </row>
    <row r="39" spans="1:28" ht="15.75" customHeight="1">
      <c r="A39" s="201" t="str">
        <f>IF(B39&lt;&gt;"",IF(AND(B39&gt;=_TM1,B39&lt;=_TM2,OR(TH!L39="1111",TH!M39="1111")),TH!D39,""),"")</f>
        <v/>
      </c>
      <c r="B39" s="36">
        <f t="shared" si="3"/>
        <v>1</v>
      </c>
      <c r="C39" s="188">
        <f t="shared" si="4"/>
        <v>41277</v>
      </c>
      <c r="D39" s="181" t="s">
        <v>404</v>
      </c>
      <c r="E39" s="188">
        <v>41277</v>
      </c>
      <c r="F39" s="189" t="s">
        <v>557</v>
      </c>
      <c r="G39" s="480" t="s">
        <v>559</v>
      </c>
      <c r="H39" s="190" t="s">
        <v>554</v>
      </c>
      <c r="I39" s="249"/>
      <c r="J39" s="249"/>
      <c r="K39" s="38">
        <v>2006501</v>
      </c>
      <c r="L39" s="191" t="s">
        <v>9</v>
      </c>
      <c r="M39" s="191" t="s">
        <v>8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IF(OR(TH!L39=TH!$U$7,M39=TH!$U$7),"x","")</f>
        <v/>
      </c>
      <c r="V39" s="52" t="str">
        <f>IF(AND(B39&gt;='IN-NX'!$P$3,B39&lt;='IN-NX'!$Q$3,'IN-NX'!$D$7=D39,OR(LEFT(L39,2)="15",AND(LEFT(M39,2)&lt;&gt;"15",LEFT(M39,2)&lt;&gt;"33"))),"x","")</f>
        <v/>
      </c>
      <c r="W39" s="52" t="str">
        <f>IF(AND(OR(LEFT(TH!L39,2)="15",LEFT(TH!M39,2)="15"),'152-CT'!$J$8=TH!F39),"x","")</f>
        <v/>
      </c>
      <c r="X39" s="52" t="str">
        <f>IF(AND(OR(LEFT(TH!L39,2)="15",LEFT(TH!M39,2)="15"),TK!$E$7=TH!F39),"x","")</f>
        <v/>
      </c>
      <c r="Y39" s="52" t="str">
        <f>IF(AND(B39&lt;=NKC!$N$8,B39&gt;=NKC!$M$8),"x","")</f>
        <v/>
      </c>
      <c r="Z39" s="208">
        <v>1</v>
      </c>
    </row>
    <row r="40" spans="1:28" ht="15.75" customHeight="1">
      <c r="A40" s="201" t="str">
        <f>IF(B40&lt;&gt;"",IF(AND(B40&gt;=_TM1,B40&lt;=_TM2,OR(TH!L40="1111",TH!M40="1111")),TH!D40,""),"")</f>
        <v/>
      </c>
      <c r="B40" s="36">
        <f t="shared" si="3"/>
        <v>1</v>
      </c>
      <c r="C40" s="188">
        <f t="shared" si="4"/>
        <v>41278</v>
      </c>
      <c r="D40" s="181" t="s">
        <v>405</v>
      </c>
      <c r="E40" s="188">
        <v>41278</v>
      </c>
      <c r="F40" s="189" t="s">
        <v>561</v>
      </c>
      <c r="G40" s="480" t="s">
        <v>562</v>
      </c>
      <c r="H40" s="190" t="s">
        <v>554</v>
      </c>
      <c r="I40" s="249">
        <v>515</v>
      </c>
      <c r="J40" s="249">
        <v>8978</v>
      </c>
      <c r="K40" s="38">
        <f>ROUND(I40*J40,0)</f>
        <v>4623670</v>
      </c>
      <c r="L40" s="191" t="s">
        <v>156</v>
      </c>
      <c r="M40" s="191" t="s">
        <v>8</v>
      </c>
      <c r="N40" s="52" t="str">
        <f>IF(AND('331-CT'!$E$7=TH!H40,OR(L40="331",M40="331")),"331",IF(AND(OR(L40="131",M40="131"),H40='131-CT'!$E$7),"131",""))</f>
        <v>331</v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IF(OR(TH!L40=TH!$U$7,M40=TH!$U$7),"x","")</f>
        <v/>
      </c>
      <c r="V40" s="52" t="str">
        <f>IF(AND(B40&gt;='IN-NX'!$P$3,B40&lt;='IN-NX'!$Q$3,'IN-NX'!$D$7=D40,OR(LEFT(L40,2)="15",AND(LEFT(M40,2)&lt;&gt;"15",LEFT(M40,2)&lt;&gt;"33"))),"x","")</f>
        <v/>
      </c>
      <c r="W40" s="52" t="str">
        <f>IF(AND(OR(LEFT(TH!L40,2)="15",LEFT(TH!M40,2)="15"),'152-CT'!$J$8=TH!F40),"x","")</f>
        <v/>
      </c>
      <c r="X40" s="52" t="str">
        <f>IF(AND(OR(LEFT(TH!L40,2)="15",LEFT(TH!M40,2)="15"),TK!$E$7=TH!F40),"x","")</f>
        <v/>
      </c>
      <c r="Y40" s="52" t="str">
        <f>IF(AND(B40&lt;=NKC!$N$8,B40&gt;=NKC!$M$8),"x","")</f>
        <v/>
      </c>
      <c r="Z40" s="208">
        <v>1</v>
      </c>
    </row>
    <row r="41" spans="1:28" ht="15.75" customHeight="1">
      <c r="A41" s="201" t="str">
        <f>IF(B41&lt;&gt;"",IF(AND(B41&gt;=_TM1,B41&lt;=_TM2,OR(TH!L41="1111",TH!M41="1111")),TH!D41,""),"")</f>
        <v/>
      </c>
      <c r="B41" s="36">
        <f t="shared" si="3"/>
        <v>1</v>
      </c>
      <c r="C41" s="188">
        <f t="shared" si="4"/>
        <v>41278</v>
      </c>
      <c r="D41" s="181" t="s">
        <v>405</v>
      </c>
      <c r="E41" s="188">
        <v>41278</v>
      </c>
      <c r="F41" s="189" t="s">
        <v>557</v>
      </c>
      <c r="G41" s="480" t="s">
        <v>562</v>
      </c>
      <c r="H41" s="190" t="s">
        <v>554</v>
      </c>
      <c r="I41" s="249"/>
      <c r="J41" s="249"/>
      <c r="K41" s="38">
        <v>462367</v>
      </c>
      <c r="L41" s="191" t="s">
        <v>9</v>
      </c>
      <c r="M41" s="191" t="s">
        <v>8</v>
      </c>
      <c r="N41" s="52" t="str">
        <f>IF(AND('331-CT'!$E$7=TH!H41,OR(L41="331",M41="331")),"331",IF(AND(OR(L41="131",M41="131"),H41='131-CT'!$E$7),"131",""))</f>
        <v>331</v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IF(OR(TH!L41=TH!$U$7,M41=TH!$U$7),"x","")</f>
        <v/>
      </c>
      <c r="V41" s="52" t="str">
        <f>IF(AND(B41&gt;='IN-NX'!$P$3,B41&lt;='IN-NX'!$Q$3,'IN-NX'!$D$7=D41,OR(LEFT(L41,2)="15",AND(LEFT(M41,2)&lt;&gt;"15",LEFT(M41,2)&lt;&gt;"33"))),"x","")</f>
        <v/>
      </c>
      <c r="W41" s="52" t="str">
        <f>IF(AND(OR(LEFT(TH!L41,2)="15",LEFT(TH!M41,2)="15"),'152-CT'!$J$8=TH!F41),"x","")</f>
        <v/>
      </c>
      <c r="X41" s="52" t="str">
        <f>IF(AND(OR(LEFT(TH!L41,2)="15",LEFT(TH!M41,2)="15"),TK!$E$7=TH!F41),"x","")</f>
        <v/>
      </c>
      <c r="Y41" s="52" t="str">
        <f>IF(AND(B41&lt;=NKC!$N$8,B41&gt;=NKC!$M$8),"x","")</f>
        <v/>
      </c>
      <c r="Z41" s="208">
        <v>1</v>
      </c>
    </row>
    <row r="42" spans="1:28" ht="15.75" customHeight="1">
      <c r="A42" s="201" t="str">
        <f>IF(B42&lt;&gt;"",IF(AND(B42&gt;=_TM1,B42&lt;=_TM2,OR(TH!L42="1111",TH!M42="1111")),TH!D42,""),"")</f>
        <v/>
      </c>
      <c r="B42" s="36">
        <f t="shared" si="3"/>
        <v>1</v>
      </c>
      <c r="C42" s="188">
        <f t="shared" si="4"/>
        <v>41278</v>
      </c>
      <c r="D42" s="181" t="s">
        <v>377</v>
      </c>
      <c r="E42" s="188">
        <v>41278</v>
      </c>
      <c r="F42" s="189" t="s">
        <v>367</v>
      </c>
      <c r="G42" s="480" t="s">
        <v>562</v>
      </c>
      <c r="H42" s="190" t="s">
        <v>554</v>
      </c>
      <c r="I42" s="249"/>
      <c r="J42" s="249"/>
      <c r="K42" s="38">
        <v>5086037</v>
      </c>
      <c r="L42" s="191" t="s">
        <v>8</v>
      </c>
      <c r="M42" s="191" t="s">
        <v>47</v>
      </c>
      <c r="N42" s="52" t="str">
        <f>IF(AND('331-CT'!$E$7=TH!H42,OR(L42="331",M42="331")),"331",IF(AND(OR(L42="131",M42="131"),H42='131-CT'!$E$7),"131",""))</f>
        <v>331</v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IF(OR(TH!L42=TH!$U$7,M42=TH!$U$7),"x","")</f>
        <v/>
      </c>
      <c r="V42" s="52" t="str">
        <f>IF(AND(B42&gt;='IN-NX'!$P$3,B42&lt;='IN-NX'!$Q$3,'IN-NX'!$D$7=D42,OR(LEFT(L42,2)="15",AND(LEFT(M42,2)&lt;&gt;"15",LEFT(M42,2)&lt;&gt;"33"))),"x","")</f>
        <v/>
      </c>
      <c r="W42" s="52" t="str">
        <f>IF(AND(OR(LEFT(TH!L42,2)="15",LEFT(TH!M42,2)="15"),'152-CT'!$J$8=TH!F42),"x","")</f>
        <v/>
      </c>
      <c r="X42" s="52" t="str">
        <f>IF(AND(OR(LEFT(TH!L42,2)="15",LEFT(TH!M42,2)="15"),TK!$E$7=TH!F42),"x","")</f>
        <v/>
      </c>
      <c r="Y42" s="52" t="str">
        <f>IF(AND(B42&lt;=NKC!$N$8,B42&gt;=NKC!$M$8),"x","")</f>
        <v/>
      </c>
      <c r="Z42" s="208"/>
    </row>
    <row r="43" spans="1:28" ht="15.75" customHeight="1">
      <c r="A43" s="201" t="str">
        <f>IF(B43&lt;&gt;"",IF(AND(B43&gt;=_TM1,B43&lt;=_TM2,OR(TH!L43="1111",TH!M43="1111")),TH!D43,""),"")</f>
        <v/>
      </c>
      <c r="B43" s="36">
        <f t="shared" si="3"/>
        <v>1</v>
      </c>
      <c r="C43" s="181">
        <f t="shared" si="4"/>
        <v>41281</v>
      </c>
      <c r="D43" s="181" t="s">
        <v>402</v>
      </c>
      <c r="E43" s="188">
        <v>41281</v>
      </c>
      <c r="F43" s="186" t="s">
        <v>369</v>
      </c>
      <c r="G43" s="657" t="s">
        <v>466</v>
      </c>
      <c r="H43" s="7" t="s">
        <v>467</v>
      </c>
      <c r="I43" s="250">
        <v>50</v>
      </c>
      <c r="J43" s="251">
        <v>25000</v>
      </c>
      <c r="K43" s="38">
        <f>ROUND(I43*J43,0)</f>
        <v>1250000</v>
      </c>
      <c r="L43" s="596" t="s">
        <v>158</v>
      </c>
      <c r="M43" s="5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IF(OR(TH!L43=TH!$U$7,M43=TH!$U$7),"x","")</f>
        <v/>
      </c>
      <c r="V43" s="52" t="str">
        <f>IF(AND(B43&gt;='IN-NX'!$P$3,B43&lt;='IN-NX'!$Q$3,'IN-NX'!$D$7=D43,OR(LEFT(L43,2)="15",AND(LEFT(M43,2)&lt;&gt;"15",LEFT(M43,2)&lt;&gt;"33"))),"x","")</f>
        <v/>
      </c>
      <c r="W43" s="52" t="str">
        <f>IF(AND(OR(LEFT(TH!L43,2)="15",LEFT(TH!M43,2)="15"),'152-CT'!$J$8=TH!F43),"x","")</f>
        <v/>
      </c>
      <c r="X43" s="52" t="str">
        <f>IF(AND(OR(LEFT(TH!L43,2)="15",LEFT(TH!M43,2)="15"),TK!$E$7=TH!F43),"x","")</f>
        <v>x</v>
      </c>
      <c r="Y43" s="52" t="str">
        <f>IF(AND(B43&lt;=NKC!$N$8,B43&gt;=NKC!$M$8),"x","")</f>
        <v/>
      </c>
      <c r="Z43" s="587">
        <v>1</v>
      </c>
      <c r="AA43" s="587"/>
      <c r="AB43" s="587"/>
    </row>
    <row r="44" spans="1:28" ht="15.75" customHeight="1">
      <c r="A44" s="201" t="str">
        <f>IF(B44&lt;&gt;"",IF(AND(B44&gt;=_TM1,B44&lt;=_TM2,OR(TH!L44="1111",TH!M44="1111")),TH!D44,""),"")</f>
        <v/>
      </c>
      <c r="B44" s="36">
        <f t="shared" si="3"/>
        <v>1</v>
      </c>
      <c r="C44" s="181">
        <f t="shared" si="4"/>
        <v>41281</v>
      </c>
      <c r="D44" s="181" t="s">
        <v>402</v>
      </c>
      <c r="E44" s="188">
        <v>41281</v>
      </c>
      <c r="F44" s="186" t="s">
        <v>370</v>
      </c>
      <c r="G44" s="657" t="s">
        <v>466</v>
      </c>
      <c r="H44" s="7" t="s">
        <v>467</v>
      </c>
      <c r="I44" s="250"/>
      <c r="J44" s="251"/>
      <c r="K44" s="38">
        <v>125000</v>
      </c>
      <c r="L44" s="596" t="s">
        <v>9</v>
      </c>
      <c r="M44" s="5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IF(OR(TH!L44=TH!$U$7,M44=TH!$U$7),"x","")</f>
        <v/>
      </c>
      <c r="V44" s="52" t="str">
        <f>IF(AND(B44&gt;='IN-NX'!$P$3,B44&lt;='IN-NX'!$Q$3,'IN-NX'!$D$7=D44,OR(LEFT(L44,2)="15",AND(LEFT(M44,2)&lt;&gt;"15",LEFT(M44,2)&lt;&gt;"33"))),"x","")</f>
        <v/>
      </c>
      <c r="W44" s="52" t="str">
        <f>IF(AND(OR(LEFT(TH!L44,2)="15",LEFT(TH!M44,2)="15"),'152-CT'!$J$8=TH!F44),"x","")</f>
        <v/>
      </c>
      <c r="X44" s="52" t="str">
        <f>IF(AND(OR(LEFT(TH!L44,2)="15",LEFT(TH!M44,2)="15"),TK!$E$7=TH!F44),"x","")</f>
        <v/>
      </c>
      <c r="Y44" s="52" t="str">
        <f>IF(AND(B44&lt;=NKC!$N$8,B44&gt;=NKC!$M$8),"x","")</f>
        <v/>
      </c>
      <c r="Z44" s="587">
        <v>1</v>
      </c>
      <c r="AA44" s="208"/>
      <c r="AB44" s="587"/>
    </row>
    <row r="45" spans="1:28" ht="15.75" customHeight="1">
      <c r="A45" s="201" t="str">
        <f>IF(B45&lt;&gt;"",IF(AND(B45&gt;=_TM1,B45&lt;=_TM2,OR(TH!L45="1111",TH!M45="1111")),TH!D45,""),"")</f>
        <v/>
      </c>
      <c r="B45" s="36">
        <f t="shared" si="3"/>
        <v>1</v>
      </c>
      <c r="C45" s="181">
        <f t="shared" si="4"/>
        <v>41281</v>
      </c>
      <c r="D45" s="181" t="s">
        <v>378</v>
      </c>
      <c r="E45" s="188">
        <v>41281</v>
      </c>
      <c r="F45" s="186" t="s">
        <v>367</v>
      </c>
      <c r="G45" s="657" t="s">
        <v>466</v>
      </c>
      <c r="H45" s="7" t="s">
        <v>467</v>
      </c>
      <c r="I45" s="250"/>
      <c r="J45" s="251"/>
      <c r="K45" s="38">
        <v>1375000</v>
      </c>
      <c r="L45" s="596" t="s">
        <v>8</v>
      </c>
      <c r="M45" s="596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IF(OR(TH!L45=TH!$U$7,M45=TH!$U$7),"x","")</f>
        <v/>
      </c>
      <c r="V45" s="52" t="str">
        <f>IF(AND(B45&gt;='IN-NX'!$P$3,B45&lt;='IN-NX'!$Q$3,'IN-NX'!$D$7=D45,OR(LEFT(L45,2)="15",AND(LEFT(M45,2)&lt;&gt;"15",LEFT(M45,2)&lt;&gt;"33"))),"x","")</f>
        <v/>
      </c>
      <c r="W45" s="52" t="str">
        <f>IF(AND(OR(LEFT(TH!L45,2)="15",LEFT(TH!M45,2)="15"),'152-CT'!$J$8=TH!F45),"x","")</f>
        <v/>
      </c>
      <c r="X45" s="52" t="str">
        <f>IF(AND(OR(LEFT(TH!L45,2)="15",LEFT(TH!M45,2)="15"),TK!$E$7=TH!F45),"x","")</f>
        <v/>
      </c>
      <c r="Y45" s="52" t="str">
        <f>IF(AND(B45&lt;=NKC!$N$8,B45&gt;=NKC!$M$8),"x","")</f>
        <v/>
      </c>
      <c r="Z45" s="587"/>
      <c r="AA45" s="208"/>
      <c r="AB45" s="587"/>
    </row>
    <row r="46" spans="1:28" ht="15.75" customHeight="1">
      <c r="A46" s="201" t="str">
        <f>IF(B46&lt;&gt;"",IF(AND(B46&gt;=_TM1,B46&lt;=_TM2,OR(TH!L46="1111",TH!M46="1111")),TH!D46,""),"")</f>
        <v/>
      </c>
      <c r="B46" s="36">
        <f t="shared" si="3"/>
        <v>1</v>
      </c>
      <c r="C46" s="181">
        <f t="shared" si="4"/>
        <v>41282</v>
      </c>
      <c r="D46" s="181" t="s">
        <v>335</v>
      </c>
      <c r="E46" s="188">
        <v>41282</v>
      </c>
      <c r="F46" s="186" t="s">
        <v>337</v>
      </c>
      <c r="G46" s="597" t="s">
        <v>332</v>
      </c>
      <c r="H46" s="7" t="s">
        <v>468</v>
      </c>
      <c r="I46" s="250"/>
      <c r="J46" s="251"/>
      <c r="K46" s="38">
        <v>13032580</v>
      </c>
      <c r="L46" s="596" t="s">
        <v>24</v>
      </c>
      <c r="M46" s="596" t="s">
        <v>262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IF(OR(TH!L46=TH!$U$7,M46=TH!$U$7),"x","")</f>
        <v/>
      </c>
      <c r="V46" s="52" t="str">
        <f>IF(AND(B46&gt;='IN-NX'!$P$3,B46&lt;='IN-NX'!$Q$3,'IN-NX'!$D$7=D46,OR(LEFT(L46,2)="15",AND(LEFT(M46,2)&lt;&gt;"15",LEFT(M46,2)&lt;&gt;"33"))),"x","")</f>
        <v/>
      </c>
      <c r="W46" s="52" t="str">
        <f>IF(AND(OR(LEFT(TH!L46,2)="15",LEFT(TH!M46,2)="15"),'152-CT'!$J$8=TH!F46),"x","")</f>
        <v/>
      </c>
      <c r="X46" s="52" t="str">
        <f>IF(AND(OR(LEFT(TH!L46,2)="15",LEFT(TH!M46,2)="15"),TK!$E$7=TH!F46),"x","")</f>
        <v/>
      </c>
      <c r="Y46" s="52" t="str">
        <f>IF(AND(B46&lt;=NKC!$N$8,B46&gt;=NKC!$M$8),"x","")</f>
        <v/>
      </c>
      <c r="Z46" s="587"/>
      <c r="AA46" s="208"/>
      <c r="AB46" s="587"/>
    </row>
    <row r="47" spans="1:28" ht="15.75" customHeight="1">
      <c r="A47" s="201" t="str">
        <f>IF(B47&lt;&gt;"",IF(AND(B47&gt;=_TM1,B47&lt;=_TM2,OR(TH!L47="1111",TH!M47="1111")),TH!D47,""),"")</f>
        <v/>
      </c>
      <c r="B47" s="36">
        <f t="shared" si="3"/>
        <v>1</v>
      </c>
      <c r="C47" s="188">
        <f t="shared" si="4"/>
        <v>41282</v>
      </c>
      <c r="D47" s="181" t="s">
        <v>406</v>
      </c>
      <c r="E47" s="757">
        <v>41282</v>
      </c>
      <c r="F47" s="189" t="s">
        <v>563</v>
      </c>
      <c r="G47" s="480" t="s">
        <v>564</v>
      </c>
      <c r="H47" s="190" t="s">
        <v>554</v>
      </c>
      <c r="I47" s="252">
        <v>121</v>
      </c>
      <c r="J47" s="252">
        <v>13625</v>
      </c>
      <c r="K47" s="38">
        <f>ROUND(I47*J47,0)</f>
        <v>1648625</v>
      </c>
      <c r="L47" s="191" t="s">
        <v>156</v>
      </c>
      <c r="M47" s="191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IF(OR(TH!L47=TH!$U$7,M47=TH!$U$7),"x","")</f>
        <v/>
      </c>
      <c r="V47" s="52" t="str">
        <f>IF(AND(B47&gt;='IN-NX'!$P$3,B47&lt;='IN-NX'!$Q$3,'IN-NX'!$D$7=D47,OR(LEFT(L47,2)="15",AND(LEFT(M47,2)&lt;&gt;"15",LEFT(M47,2)&lt;&gt;"33"))),"x","")</f>
        <v/>
      </c>
      <c r="W47" s="52" t="str">
        <f>IF(AND(OR(LEFT(TH!L47,2)="15",LEFT(TH!M47,2)="15"),'152-CT'!$J$8=TH!F47),"x","")</f>
        <v/>
      </c>
      <c r="X47" s="52" t="str">
        <f>IF(AND(OR(LEFT(TH!L47,2)="15",LEFT(TH!M47,2)="15"),TK!$E$7=TH!F47),"x","")</f>
        <v/>
      </c>
      <c r="Y47" s="52" t="str">
        <f>IF(AND(B47&lt;=NKC!$N$8,B47&gt;=NKC!$M$8),"x","")</f>
        <v/>
      </c>
      <c r="Z47" s="587">
        <v>1</v>
      </c>
    </row>
    <row r="48" spans="1:28" ht="15.75" customHeight="1">
      <c r="A48" s="201" t="str">
        <f>IF(B48&lt;&gt;"",IF(AND(B48&gt;=_TM1,B48&lt;=_TM2,OR(TH!L48="1111",TH!M48="1111")),TH!D48,""),"")</f>
        <v/>
      </c>
      <c r="B48" s="36">
        <f t="shared" si="3"/>
        <v>1</v>
      </c>
      <c r="C48" s="188">
        <f t="shared" si="4"/>
        <v>41282</v>
      </c>
      <c r="D48" s="181" t="s">
        <v>406</v>
      </c>
      <c r="E48" s="757">
        <v>41282</v>
      </c>
      <c r="F48" s="189" t="s">
        <v>565</v>
      </c>
      <c r="G48" s="480" t="s">
        <v>564</v>
      </c>
      <c r="H48" s="190" t="s">
        <v>554</v>
      </c>
      <c r="I48" s="249">
        <v>100</v>
      </c>
      <c r="J48" s="249">
        <v>23890</v>
      </c>
      <c r="K48" s="38">
        <f>ROUND(I48*J48,0)</f>
        <v>2389000</v>
      </c>
      <c r="L48" s="191" t="s">
        <v>156</v>
      </c>
      <c r="M48" s="191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IF(OR(TH!L48=TH!$U$7,M48=TH!$U$7),"x","")</f>
        <v/>
      </c>
      <c r="V48" s="52" t="str">
        <f>IF(AND(B48&gt;='IN-NX'!$P$3,B48&lt;='IN-NX'!$Q$3,'IN-NX'!$D$7=D48,OR(LEFT(L48,2)="15",AND(LEFT(M48,2)&lt;&gt;"15",LEFT(M48,2)&lt;&gt;"33"))),"x","")</f>
        <v/>
      </c>
      <c r="W48" s="52" t="str">
        <f>IF(AND(OR(LEFT(TH!L48,2)="15",LEFT(TH!M48,2)="15"),'152-CT'!$J$8=TH!F48),"x","")</f>
        <v/>
      </c>
      <c r="X48" s="52" t="str">
        <f>IF(AND(OR(LEFT(TH!L48,2)="15",LEFT(TH!M48,2)="15"),TK!$E$7=TH!F48),"x","")</f>
        <v/>
      </c>
      <c r="Y48" s="52" t="str">
        <f>IF(AND(B48&lt;=NKC!$N$8,B48&gt;=NKC!$M$8),"x","")</f>
        <v/>
      </c>
      <c r="Z48" s="587">
        <v>1</v>
      </c>
    </row>
    <row r="49" spans="1:28" ht="15.75" customHeight="1">
      <c r="A49" s="201" t="str">
        <f>IF(B49&lt;&gt;"",IF(AND(B49&gt;=_TM1,B49&lt;=_TM2,OR(TH!L49="1111",TH!M49="1111")),TH!D49,""),"")</f>
        <v/>
      </c>
      <c r="B49" s="36">
        <f t="shared" si="3"/>
        <v>1</v>
      </c>
      <c r="C49" s="188">
        <f t="shared" si="4"/>
        <v>41282</v>
      </c>
      <c r="D49" s="181" t="s">
        <v>406</v>
      </c>
      <c r="E49" s="757">
        <v>41282</v>
      </c>
      <c r="F49" s="189" t="s">
        <v>566</v>
      </c>
      <c r="G49" s="480" t="s">
        <v>564</v>
      </c>
      <c r="H49" s="190" t="s">
        <v>554</v>
      </c>
      <c r="I49" s="249">
        <v>100</v>
      </c>
      <c r="J49" s="249">
        <v>25603</v>
      </c>
      <c r="K49" s="38">
        <f>ROUND(I49*J49,0)</f>
        <v>2560300</v>
      </c>
      <c r="L49" s="191" t="s">
        <v>156</v>
      </c>
      <c r="M49" s="191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IF(OR(TH!L49=TH!$U$7,M49=TH!$U$7),"x","")</f>
        <v/>
      </c>
      <c r="V49" s="52" t="str">
        <f>IF(AND(B49&gt;='IN-NX'!$P$3,B49&lt;='IN-NX'!$Q$3,'IN-NX'!$D$7=D49,OR(LEFT(L49,2)="15",AND(LEFT(M49,2)&lt;&gt;"15",LEFT(M49,2)&lt;&gt;"33"))),"x","")</f>
        <v/>
      </c>
      <c r="W49" s="52" t="str">
        <f>IF(AND(OR(LEFT(TH!L49,2)="15",LEFT(TH!M49,2)="15"),'152-CT'!$J$8=TH!F49),"x","")</f>
        <v/>
      </c>
      <c r="X49" s="52" t="str">
        <f>IF(AND(OR(LEFT(TH!L49,2)="15",LEFT(TH!M49,2)="15"),TK!$E$7=TH!F49),"x","")</f>
        <v/>
      </c>
      <c r="Y49" s="52" t="str">
        <f>IF(AND(B49&lt;=NKC!$N$8,B49&gt;=NKC!$M$8),"x","")</f>
        <v/>
      </c>
      <c r="Z49" s="587">
        <v>1</v>
      </c>
    </row>
    <row r="50" spans="1:28" ht="15.75" customHeight="1">
      <c r="A50" s="201" t="str">
        <f>IF(B50&lt;&gt;"",IF(AND(B50&gt;=_TM1,B50&lt;=_TM2,OR(TH!L50="1111",TH!M50="1111")),TH!D50,""),"")</f>
        <v/>
      </c>
      <c r="B50" s="36">
        <f t="shared" si="3"/>
        <v>1</v>
      </c>
      <c r="C50" s="188">
        <f t="shared" si="4"/>
        <v>41282</v>
      </c>
      <c r="D50" s="181" t="s">
        <v>406</v>
      </c>
      <c r="E50" s="757">
        <v>41282</v>
      </c>
      <c r="F50" s="189" t="s">
        <v>567</v>
      </c>
      <c r="G50" s="480" t="s">
        <v>564</v>
      </c>
      <c r="H50" s="190" t="s">
        <v>554</v>
      </c>
      <c r="I50" s="250">
        <v>244</v>
      </c>
      <c r="J50" s="249">
        <v>17722</v>
      </c>
      <c r="K50" s="38">
        <f>ROUND(I50*J50,0)</f>
        <v>4324168</v>
      </c>
      <c r="L50" s="191" t="s">
        <v>156</v>
      </c>
      <c r="M50" s="191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IF(OR(TH!L50=TH!$U$7,M50=TH!$U$7),"x","")</f>
        <v/>
      </c>
      <c r="V50" s="52" t="str">
        <f>IF(AND(B50&gt;='IN-NX'!$P$3,B50&lt;='IN-NX'!$Q$3,'IN-NX'!$D$7=D50,OR(LEFT(L50,2)="15",AND(LEFT(M50,2)&lt;&gt;"15",LEFT(M50,2)&lt;&gt;"33"))),"x","")</f>
        <v/>
      </c>
      <c r="W50" s="52" t="str">
        <f>IF(AND(OR(LEFT(TH!L50,2)="15",LEFT(TH!M50,2)="15"),'152-CT'!$J$8=TH!F50),"x","")</f>
        <v/>
      </c>
      <c r="X50" s="52" t="str">
        <f>IF(AND(OR(LEFT(TH!L50,2)="15",LEFT(TH!M50,2)="15"),TK!$E$7=TH!F50),"x","")</f>
        <v/>
      </c>
      <c r="Y50" s="52" t="str">
        <f>IF(AND(B50&lt;=NKC!$N$8,B50&gt;=NKC!$M$8),"x","")</f>
        <v/>
      </c>
      <c r="Z50" s="587">
        <v>1</v>
      </c>
    </row>
    <row r="51" spans="1:28" ht="15.75" customHeight="1">
      <c r="A51" s="201" t="str">
        <f>IF(B51&lt;&gt;"",IF(AND(B51&gt;=_TM1,B51&lt;=_TM2,OR(TH!L51="1111",TH!M51="1111")),TH!D51,""),"")</f>
        <v/>
      </c>
      <c r="B51" s="36">
        <f t="shared" si="3"/>
        <v>1</v>
      </c>
      <c r="C51" s="188">
        <f t="shared" si="4"/>
        <v>41282</v>
      </c>
      <c r="D51" s="181" t="s">
        <v>406</v>
      </c>
      <c r="E51" s="757">
        <v>41282</v>
      </c>
      <c r="F51" s="189" t="s">
        <v>568</v>
      </c>
      <c r="G51" s="480" t="s">
        <v>564</v>
      </c>
      <c r="H51" s="190" t="s">
        <v>554</v>
      </c>
      <c r="I51" s="250">
        <v>206</v>
      </c>
      <c r="J51" s="249">
        <v>19958</v>
      </c>
      <c r="K51" s="38">
        <f>ROUND(I51*J51,0)</f>
        <v>4111348</v>
      </c>
      <c r="L51" s="191" t="s">
        <v>156</v>
      </c>
      <c r="M51" s="191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IF(OR(TH!L51=TH!$U$7,M51=TH!$U$7),"x","")</f>
        <v/>
      </c>
      <c r="V51" s="52" t="str">
        <f>IF(AND(B51&gt;='IN-NX'!$P$3,B51&lt;='IN-NX'!$Q$3,'IN-NX'!$D$7=D51,OR(LEFT(L51,2)="15",AND(LEFT(M51,2)&lt;&gt;"15",LEFT(M51,2)&lt;&gt;"33"))),"x","")</f>
        <v/>
      </c>
      <c r="W51" s="52" t="str">
        <f>IF(AND(OR(LEFT(TH!L51,2)="15",LEFT(TH!M51,2)="15"),'152-CT'!$J$8=TH!F51),"x","")</f>
        <v/>
      </c>
      <c r="X51" s="52" t="str">
        <f>IF(AND(OR(LEFT(TH!L51,2)="15",LEFT(TH!M51,2)="15"),TK!$E$7=TH!F51),"x","")</f>
        <v/>
      </c>
      <c r="Y51" s="52" t="str">
        <f>IF(AND(B51&lt;=NKC!$N$8,B51&gt;=NKC!$M$8),"x","")</f>
        <v/>
      </c>
      <c r="Z51" s="587">
        <v>1</v>
      </c>
    </row>
    <row r="52" spans="1:28" ht="15.75" customHeight="1">
      <c r="A52" s="201" t="str">
        <f>IF(B52&lt;&gt;"",IF(AND(B52&gt;=_TM1,B52&lt;=_TM2,OR(TH!L52="1111",TH!M52="1111")),TH!D52,""),"")</f>
        <v/>
      </c>
      <c r="B52" s="36">
        <f t="shared" si="3"/>
        <v>1</v>
      </c>
      <c r="C52" s="188">
        <f t="shared" si="4"/>
        <v>41282</v>
      </c>
      <c r="D52" s="181" t="s">
        <v>406</v>
      </c>
      <c r="E52" s="757">
        <v>41282</v>
      </c>
      <c r="F52" s="189" t="s">
        <v>557</v>
      </c>
      <c r="G52" s="480" t="s">
        <v>564</v>
      </c>
      <c r="H52" s="190" t="s">
        <v>554</v>
      </c>
      <c r="I52" s="250"/>
      <c r="J52" s="249"/>
      <c r="K52" s="38">
        <v>1503344</v>
      </c>
      <c r="L52" s="191" t="s">
        <v>9</v>
      </c>
      <c r="M52" s="191" t="s">
        <v>8</v>
      </c>
      <c r="N52" s="52" t="str">
        <f>IF(AND('331-CT'!$E$7=TH!H52,OR(L52="331",M52="331")),"331",IF(AND(OR(L52="131",M52="131"),H52='131-CT'!$E$7),"131",""))</f>
        <v>331</v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IF(OR(TH!L52=TH!$U$7,M52=TH!$U$7),"x","")</f>
        <v/>
      </c>
      <c r="V52" s="52" t="str">
        <f>IF(AND(B52&gt;='IN-NX'!$P$3,B52&lt;='IN-NX'!$Q$3,'IN-NX'!$D$7=D52,OR(LEFT(L52,2)="15",AND(LEFT(M52,2)&lt;&gt;"15",LEFT(M52,2)&lt;&gt;"33"))),"x","")</f>
        <v/>
      </c>
      <c r="W52" s="52" t="str">
        <f>IF(AND(OR(LEFT(TH!L52,2)="15",LEFT(TH!M52,2)="15"),'152-CT'!$J$8=TH!F52),"x","")</f>
        <v/>
      </c>
      <c r="X52" s="52" t="str">
        <f>IF(AND(OR(LEFT(TH!L52,2)="15",LEFT(TH!M52,2)="15"),TK!$E$7=TH!F52),"x","")</f>
        <v/>
      </c>
      <c r="Y52" s="52" t="str">
        <f>IF(AND(B52&lt;=NKC!$N$8,B52&gt;=NKC!$M$8),"x","")</f>
        <v/>
      </c>
      <c r="Z52" s="587">
        <v>1</v>
      </c>
    </row>
    <row r="53" spans="1:28" ht="15.75" customHeight="1">
      <c r="A53" s="201" t="str">
        <f>IF(B53&lt;&gt;"",IF(AND(B53&gt;=_TM1,B53&lt;=_TM2,OR(TH!L53="1111",TH!M53="1111")),TH!D53,""),"")</f>
        <v/>
      </c>
      <c r="B53" s="36">
        <f t="shared" si="3"/>
        <v>1</v>
      </c>
      <c r="C53" s="188">
        <f t="shared" si="4"/>
        <v>41282</v>
      </c>
      <c r="D53" s="181" t="s">
        <v>379</v>
      </c>
      <c r="E53" s="757">
        <v>41282</v>
      </c>
      <c r="F53" s="189" t="s">
        <v>367</v>
      </c>
      <c r="G53" s="480" t="s">
        <v>564</v>
      </c>
      <c r="H53" s="190" t="s">
        <v>554</v>
      </c>
      <c r="I53" s="250"/>
      <c r="J53" s="249"/>
      <c r="K53" s="38">
        <v>16536785</v>
      </c>
      <c r="L53" s="191" t="s">
        <v>8</v>
      </c>
      <c r="M53" s="191" t="s">
        <v>47</v>
      </c>
      <c r="N53" s="52" t="str">
        <f>IF(AND('331-CT'!$E$7=TH!H53,OR(L53="331",M53="331")),"331",IF(AND(OR(L53="131",M53="131"),H53='131-CT'!$E$7),"131",""))</f>
        <v>331</v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IF(OR(TH!L53=TH!$U$7,M53=TH!$U$7),"x","")</f>
        <v/>
      </c>
      <c r="V53" s="52" t="str">
        <f>IF(AND(B53&gt;='IN-NX'!$P$3,B53&lt;='IN-NX'!$Q$3,'IN-NX'!$D$7=D53,OR(LEFT(L53,2)="15",AND(LEFT(M53,2)&lt;&gt;"15",LEFT(M53,2)&lt;&gt;"33"))),"x","")</f>
        <v/>
      </c>
      <c r="W53" s="52" t="str">
        <f>IF(AND(OR(LEFT(TH!L53,2)="15",LEFT(TH!M53,2)="15"),'152-CT'!$J$8=TH!F53),"x","")</f>
        <v/>
      </c>
      <c r="X53" s="52" t="str">
        <f>IF(AND(OR(LEFT(TH!L53,2)="15",LEFT(TH!M53,2)="15"),TK!$E$7=TH!F53),"x","")</f>
        <v/>
      </c>
      <c r="Y53" s="52" t="str">
        <f>IF(AND(B53&lt;=NKC!$N$8,B53&gt;=NKC!$M$8),"x","")</f>
        <v/>
      </c>
      <c r="Z53" s="208"/>
    </row>
    <row r="54" spans="1:28" ht="15.75" customHeight="1">
      <c r="A54" s="201" t="str">
        <f>IF(B54&lt;&gt;"",IF(AND(B54&gt;=_TM1,B54&lt;=_TM2,OR(TH!L54="1111",TH!M54="1111")),TH!D54,""),"")</f>
        <v/>
      </c>
      <c r="B54" s="36">
        <f t="shared" si="3"/>
        <v>1</v>
      </c>
      <c r="C54" s="188">
        <f t="shared" si="4"/>
        <v>41282</v>
      </c>
      <c r="D54" s="181" t="s">
        <v>407</v>
      </c>
      <c r="E54" s="757">
        <v>41282</v>
      </c>
      <c r="F54" s="189" t="s">
        <v>569</v>
      </c>
      <c r="G54" s="478" t="s">
        <v>570</v>
      </c>
      <c r="H54" s="190" t="s">
        <v>554</v>
      </c>
      <c r="I54" s="250">
        <v>300</v>
      </c>
      <c r="J54" s="249">
        <v>21888</v>
      </c>
      <c r="K54" s="38">
        <f>ROUND(I54*J54,0)</f>
        <v>6566400</v>
      </c>
      <c r="L54" s="191" t="s">
        <v>156</v>
      </c>
      <c r="M54" s="191" t="s">
        <v>8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IF(OR(TH!L54=TH!$U$7,M54=TH!$U$7),"x","")</f>
        <v/>
      </c>
      <c r="V54" s="52" t="str">
        <f>IF(AND(B54&gt;='IN-NX'!$P$3,B54&lt;='IN-NX'!$Q$3,'IN-NX'!$D$7=D54,OR(LEFT(L54,2)="15",AND(LEFT(M54,2)&lt;&gt;"15",LEFT(M54,2)&lt;&gt;"33"))),"x","")</f>
        <v/>
      </c>
      <c r="W54" s="52" t="str">
        <f>IF(AND(OR(LEFT(TH!L54,2)="15",LEFT(TH!M54,2)="15"),'152-CT'!$J$8=TH!F54),"x","")</f>
        <v/>
      </c>
      <c r="X54" s="52" t="str">
        <f>IF(AND(OR(LEFT(TH!L54,2)="15",LEFT(TH!M54,2)="15"),TK!$E$7=TH!F54),"x","")</f>
        <v/>
      </c>
      <c r="Y54" s="52" t="str">
        <f>IF(AND(B54&lt;=NKC!$N$8,B54&gt;=NKC!$M$8),"x","")</f>
        <v/>
      </c>
      <c r="Z54" s="587">
        <v>1</v>
      </c>
    </row>
    <row r="55" spans="1:28" ht="15.75" customHeight="1">
      <c r="A55" s="201" t="str">
        <f>IF(B55&lt;&gt;"",IF(AND(B55&gt;=_TM1,B55&lt;=_TM2,OR(TH!L55="1111",TH!M55="1111")),TH!D55,""),"")</f>
        <v/>
      </c>
      <c r="B55" s="36">
        <f t="shared" si="3"/>
        <v>1</v>
      </c>
      <c r="C55" s="188">
        <f t="shared" si="4"/>
        <v>41282</v>
      </c>
      <c r="D55" s="181" t="s">
        <v>407</v>
      </c>
      <c r="E55" s="757">
        <v>41282</v>
      </c>
      <c r="F55" s="189" t="s">
        <v>571</v>
      </c>
      <c r="G55" s="478" t="s">
        <v>570</v>
      </c>
      <c r="H55" s="190" t="s">
        <v>554</v>
      </c>
      <c r="I55" s="249">
        <v>90</v>
      </c>
      <c r="J55" s="249">
        <v>13306</v>
      </c>
      <c r="K55" s="38">
        <f>ROUND(I55*J55,0)</f>
        <v>1197540</v>
      </c>
      <c r="L55" s="191" t="s">
        <v>156</v>
      </c>
      <c r="M55" s="191" t="s">
        <v>8</v>
      </c>
      <c r="N55" s="52" t="str">
        <f>IF(AND('331-CT'!$E$7=TH!H55,OR(L55="331",M55="331")),"331",IF(AND(OR(L55="131",M55="131"),H55='131-CT'!$E$7),"131",""))</f>
        <v>331</v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IF(OR(TH!L55=TH!$U$7,M55=TH!$U$7),"x","")</f>
        <v/>
      </c>
      <c r="V55" s="52" t="str">
        <f>IF(AND(B55&gt;='IN-NX'!$P$3,B55&lt;='IN-NX'!$Q$3,'IN-NX'!$D$7=D55,OR(LEFT(L55,2)="15",AND(LEFT(M55,2)&lt;&gt;"15",LEFT(M55,2)&lt;&gt;"33"))),"x","")</f>
        <v/>
      </c>
      <c r="W55" s="52" t="str">
        <f>IF(AND(OR(LEFT(TH!L55,2)="15",LEFT(TH!M55,2)="15"),'152-CT'!$J$8=TH!F55),"x","")</f>
        <v/>
      </c>
      <c r="X55" s="52" t="str">
        <f>IF(AND(OR(LEFT(TH!L55,2)="15",LEFT(TH!M55,2)="15"),TK!$E$7=TH!F55),"x","")</f>
        <v/>
      </c>
      <c r="Y55" s="52" t="str">
        <f>IF(AND(B55&lt;=NKC!$N$8,B55&gt;=NKC!$M$8),"x","")</f>
        <v/>
      </c>
      <c r="Z55" s="587">
        <v>1</v>
      </c>
    </row>
    <row r="56" spans="1:28" ht="15.75" customHeight="1">
      <c r="A56" s="201" t="str">
        <f>IF(B56&lt;&gt;"",IF(AND(B56&gt;=_TM1,B56&lt;=_TM2,OR(TH!L56="1111",TH!M56="1111")),TH!D56,""),"")</f>
        <v/>
      </c>
      <c r="B56" s="36">
        <f t="shared" si="3"/>
        <v>1</v>
      </c>
      <c r="C56" s="188">
        <f t="shared" si="4"/>
        <v>41282</v>
      </c>
      <c r="D56" s="181" t="s">
        <v>407</v>
      </c>
      <c r="E56" s="757">
        <v>41282</v>
      </c>
      <c r="F56" s="189" t="s">
        <v>572</v>
      </c>
      <c r="G56" s="478" t="s">
        <v>570</v>
      </c>
      <c r="H56" s="190" t="s">
        <v>554</v>
      </c>
      <c r="I56" s="249">
        <v>336</v>
      </c>
      <c r="J56" s="249">
        <v>20553</v>
      </c>
      <c r="K56" s="38">
        <f>ROUND(I56*J56,0)</f>
        <v>6905808</v>
      </c>
      <c r="L56" s="191" t="s">
        <v>156</v>
      </c>
      <c r="M56" s="191" t="s">
        <v>8</v>
      </c>
      <c r="N56" s="52" t="str">
        <f>IF(AND('331-CT'!$E$7=TH!H56,OR(L56="331",M56="331")),"331",IF(AND(OR(L56="131",M56="131"),H56='131-CT'!$E$7),"131",""))</f>
        <v>331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IF(OR(TH!L56=TH!$U$7,M56=TH!$U$7),"x","")</f>
        <v/>
      </c>
      <c r="V56" s="52" t="str">
        <f>IF(AND(B56&gt;='IN-NX'!$P$3,B56&lt;='IN-NX'!$Q$3,'IN-NX'!$D$7=D56,OR(LEFT(L56,2)="15",AND(LEFT(M56,2)&lt;&gt;"15",LEFT(M56,2)&lt;&gt;"33"))),"x","")</f>
        <v/>
      </c>
      <c r="W56" s="52" t="str">
        <f>IF(AND(OR(LEFT(TH!L56,2)="15",LEFT(TH!M56,2)="15"),'152-CT'!$J$8=TH!F56),"x","")</f>
        <v/>
      </c>
      <c r="X56" s="52" t="str">
        <f>IF(AND(OR(LEFT(TH!L56,2)="15",LEFT(TH!M56,2)="15"),TK!$E$7=TH!F56),"x","")</f>
        <v/>
      </c>
      <c r="Y56" s="52" t="str">
        <f>IF(AND(B56&lt;=NKC!$N$8,B56&gt;=NKC!$M$8),"x","")</f>
        <v/>
      </c>
      <c r="Z56" s="587">
        <v>1</v>
      </c>
    </row>
    <row r="57" spans="1:28" s="587" customFormat="1" ht="15.75" customHeight="1">
      <c r="A57" s="201" t="str">
        <f>IF(B57&lt;&gt;"",IF(AND(B57&gt;=_TM1,B57&lt;=_TM2,OR(TH!L57="1111",TH!M57="1111")),TH!D57,""),"")</f>
        <v/>
      </c>
      <c r="B57" s="36">
        <f t="shared" si="3"/>
        <v>1</v>
      </c>
      <c r="C57" s="188">
        <f t="shared" si="4"/>
        <v>41282</v>
      </c>
      <c r="D57" s="181" t="s">
        <v>407</v>
      </c>
      <c r="E57" s="757">
        <v>41282</v>
      </c>
      <c r="F57" s="189" t="s">
        <v>557</v>
      </c>
      <c r="G57" s="478" t="s">
        <v>570</v>
      </c>
      <c r="H57" s="190" t="s">
        <v>554</v>
      </c>
      <c r="I57" s="249"/>
      <c r="J57" s="249"/>
      <c r="K57" s="38">
        <v>1466975</v>
      </c>
      <c r="L57" s="191" t="s">
        <v>9</v>
      </c>
      <c r="M57" s="191" t="s">
        <v>8</v>
      </c>
      <c r="N57" s="52" t="str">
        <f>IF(AND('331-CT'!$E$7=TH!H57,OR(L57="331",M57="331")),"331",IF(AND(OR(L57="131",M57="131"),H57='131-CT'!$E$7),"131",""))</f>
        <v>331</v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IF(OR(TH!L57=TH!$U$7,M57=TH!$U$7),"x","")</f>
        <v/>
      </c>
      <c r="V57" s="52" t="str">
        <f>IF(AND(B57&gt;='IN-NX'!$P$3,B57&lt;='IN-NX'!$Q$3,'IN-NX'!$D$7=D57,OR(LEFT(L57,2)="15",AND(LEFT(M57,2)&lt;&gt;"15",LEFT(M57,2)&lt;&gt;"33"))),"x","")</f>
        <v/>
      </c>
      <c r="W57" s="52" t="str">
        <f>IF(AND(OR(LEFT(TH!L57,2)="15",LEFT(TH!M57,2)="15"),'152-CT'!$J$8=TH!F57),"x","")</f>
        <v/>
      </c>
      <c r="X57" s="52" t="str">
        <f>IF(AND(OR(LEFT(TH!L57,2)="15",LEFT(TH!M57,2)="15"),TK!$E$7=TH!F57),"x","")</f>
        <v/>
      </c>
      <c r="Y57" s="52" t="str">
        <f>IF(AND(B57&lt;=NKC!$N$8,B57&gt;=NKC!$M$8),"x","")</f>
        <v/>
      </c>
      <c r="Z57" s="587">
        <v>1</v>
      </c>
      <c r="AA57" s="195"/>
      <c r="AB57" s="195"/>
    </row>
    <row r="58" spans="1:28" s="587" customFormat="1" ht="15.75" customHeight="1">
      <c r="A58" s="201" t="str">
        <f>IF(B58&lt;&gt;"",IF(AND(B58&gt;=_TM1,B58&lt;=_TM2,OR(TH!L58="1111",TH!M58="1111")),TH!D58,""),"")</f>
        <v/>
      </c>
      <c r="B58" s="36">
        <f t="shared" si="3"/>
        <v>1</v>
      </c>
      <c r="C58" s="188">
        <f t="shared" si="4"/>
        <v>41282</v>
      </c>
      <c r="D58" s="181" t="s">
        <v>380</v>
      </c>
      <c r="E58" s="757">
        <v>41282</v>
      </c>
      <c r="F58" s="189" t="s">
        <v>367</v>
      </c>
      <c r="G58" s="478" t="s">
        <v>570</v>
      </c>
      <c r="H58" s="190" t="s">
        <v>554</v>
      </c>
      <c r="I58" s="249"/>
      <c r="J58" s="249"/>
      <c r="K58" s="38">
        <v>16136723</v>
      </c>
      <c r="L58" s="191" t="s">
        <v>8</v>
      </c>
      <c r="M58" s="191" t="s">
        <v>47</v>
      </c>
      <c r="N58" s="52" t="str">
        <f>IF(AND('331-CT'!$E$7=TH!H58,OR(L58="331",M58="331")),"331",IF(AND(OR(L58="131",M58="131"),H58='131-CT'!$E$7),"131",""))</f>
        <v>331</v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IF(OR(TH!L58=TH!$U$7,M58=TH!$U$7),"x","")</f>
        <v/>
      </c>
      <c r="V58" s="52" t="str">
        <f>IF(AND(B58&gt;='IN-NX'!$P$3,B58&lt;='IN-NX'!$Q$3,'IN-NX'!$D$7=D58,OR(LEFT(L58,2)="15",AND(LEFT(M58,2)&lt;&gt;"15",LEFT(M58,2)&lt;&gt;"33"))),"x","")</f>
        <v/>
      </c>
      <c r="W58" s="52" t="str">
        <f>IF(AND(OR(LEFT(TH!L58,2)="15",LEFT(TH!M58,2)="15"),'152-CT'!$J$8=TH!F58),"x","")</f>
        <v/>
      </c>
      <c r="X58" s="52" t="str">
        <f>IF(AND(OR(LEFT(TH!L58,2)="15",LEFT(TH!M58,2)="15"),TK!$E$7=TH!F58),"x","")</f>
        <v/>
      </c>
      <c r="Y58" s="52" t="str">
        <f>IF(AND(B58&lt;=NKC!$N$8,B58&gt;=NKC!$M$8),"x","")</f>
        <v/>
      </c>
      <c r="Z58" s="208"/>
      <c r="AA58" s="195"/>
      <c r="AB58" s="195"/>
    </row>
    <row r="59" spans="1:28" s="587" customFormat="1" ht="15.75" customHeight="1">
      <c r="A59" s="201" t="str">
        <f>IF(B59&lt;&gt;"",IF(AND(B59&gt;=_TM1,B59&lt;=_TM2,OR(TH!L59="1111",TH!M59="1111")),TH!D59,""),"")</f>
        <v/>
      </c>
      <c r="B59" s="36">
        <f t="shared" si="3"/>
        <v>1</v>
      </c>
      <c r="C59" s="188">
        <f t="shared" si="4"/>
        <v>41282</v>
      </c>
      <c r="D59" s="181" t="s">
        <v>1015</v>
      </c>
      <c r="E59" s="188">
        <v>41282</v>
      </c>
      <c r="F59" s="189" t="s">
        <v>694</v>
      </c>
      <c r="G59" s="480" t="s">
        <v>695</v>
      </c>
      <c r="H59" s="190" t="s">
        <v>696</v>
      </c>
      <c r="I59" s="250">
        <v>480</v>
      </c>
      <c r="J59" s="250">
        <v>11020</v>
      </c>
      <c r="K59" s="38">
        <f>ROUND(I59*J59,0)</f>
        <v>5289600</v>
      </c>
      <c r="L59" s="191" t="s">
        <v>262</v>
      </c>
      <c r="M59" s="191" t="s">
        <v>172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IF(OR(TH!L59=TH!$U$7,M59=TH!$U$7),"x","")</f>
        <v/>
      </c>
      <c r="V59" s="52" t="str">
        <f>IF(AND(B59&gt;='IN-NX'!$P$3,B59&lt;='IN-NX'!$Q$3,'IN-NX'!$D$7=D59,OR(LEFT(L59,2)="15",AND(LEFT(M59,2)&lt;&gt;"15",LEFT(M59,2)&lt;&gt;"33"))),"x","")</f>
        <v/>
      </c>
      <c r="W59" s="52" t="str">
        <f>IF(AND(OR(LEFT(TH!L59,2)="15",LEFT(TH!M59,2)="15"),'152-CT'!$J$8=TH!F59),"x","")</f>
        <v/>
      </c>
      <c r="X59" s="52" t="str">
        <f>IF(AND(OR(LEFT(TH!L59,2)="15",LEFT(TH!M59,2)="15"),TK!$E$7=TH!F59),"x","")</f>
        <v/>
      </c>
      <c r="Y59" s="52" t="str">
        <f>IF(AND(B59&lt;=NKC!$N$8,B59&gt;=NKC!$M$8),"x","")</f>
        <v/>
      </c>
      <c r="Z59" s="208"/>
      <c r="AB59" s="195"/>
    </row>
    <row r="60" spans="1:28" s="587" customFormat="1" ht="15.75" customHeight="1">
      <c r="A60" s="201" t="str">
        <f>IF(B60&lt;&gt;"",IF(AND(B60&gt;=_TM1,B60&lt;=_TM2,OR(TH!L60="1111",TH!M60="1111")),TH!D60,""),"")</f>
        <v/>
      </c>
      <c r="B60" s="36">
        <f t="shared" si="3"/>
        <v>1</v>
      </c>
      <c r="C60" s="188">
        <f t="shared" si="4"/>
        <v>41282</v>
      </c>
      <c r="D60" s="181" t="s">
        <v>1015</v>
      </c>
      <c r="E60" s="181">
        <v>41282</v>
      </c>
      <c r="F60" s="189" t="s">
        <v>697</v>
      </c>
      <c r="G60" s="597" t="s">
        <v>695</v>
      </c>
      <c r="H60" s="190" t="s">
        <v>696</v>
      </c>
      <c r="I60" s="249">
        <v>199</v>
      </c>
      <c r="J60" s="249">
        <v>7235</v>
      </c>
      <c r="K60" s="38">
        <f>ROUND(I60*J60,0)</f>
        <v>1439765</v>
      </c>
      <c r="L60" s="191" t="s">
        <v>262</v>
      </c>
      <c r="M60" s="191" t="s">
        <v>172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IF(OR(TH!L60=TH!$U$7,M60=TH!$U$7),"x","")</f>
        <v/>
      </c>
      <c r="V60" s="52" t="str">
        <f>IF(AND(B60&gt;='IN-NX'!$P$3,B60&lt;='IN-NX'!$Q$3,'IN-NX'!$D$7=D60,OR(LEFT(L60,2)="15",AND(LEFT(M60,2)&lt;&gt;"15",LEFT(M60,2)&lt;&gt;"33"))),"x","")</f>
        <v/>
      </c>
      <c r="W60" s="52" t="str">
        <f>IF(AND(OR(LEFT(TH!L60,2)="15",LEFT(TH!M60,2)="15"),'152-CT'!$J$8=TH!F60),"x","")</f>
        <v/>
      </c>
      <c r="X60" s="52" t="str">
        <f>IF(AND(OR(LEFT(TH!L60,2)="15",LEFT(TH!M60,2)="15"),TK!$E$7=TH!F60),"x","")</f>
        <v/>
      </c>
      <c r="Y60" s="52" t="str">
        <f>IF(AND(B60&lt;=NKC!$N$8,B60&gt;=NKC!$M$8),"x","")</f>
        <v/>
      </c>
      <c r="Z60" s="836"/>
      <c r="AB60" s="195"/>
    </row>
    <row r="61" spans="1:28" ht="15.75" customHeight="1">
      <c r="A61" s="201" t="str">
        <f>IF(B61&lt;&gt;"",IF(AND(B61&gt;=_TM1,B61&lt;=_TM2,OR(TH!L61="1111",TH!M61="1111")),TH!D61,""),"")</f>
        <v/>
      </c>
      <c r="B61" s="36">
        <f t="shared" si="3"/>
        <v>1</v>
      </c>
      <c r="C61" s="188">
        <f t="shared" si="4"/>
        <v>41282</v>
      </c>
      <c r="D61" s="181" t="s">
        <v>1015</v>
      </c>
      <c r="E61" s="188">
        <v>41282</v>
      </c>
      <c r="F61" s="189" t="s">
        <v>693</v>
      </c>
      <c r="G61" s="480" t="s">
        <v>695</v>
      </c>
      <c r="H61" s="190" t="s">
        <v>696</v>
      </c>
      <c r="I61" s="250"/>
      <c r="J61" s="250"/>
      <c r="K61" s="38">
        <v>672937</v>
      </c>
      <c r="L61" s="191" t="s">
        <v>262</v>
      </c>
      <c r="M61" s="191" t="s">
        <v>425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IF(OR(TH!L61=TH!$U$7,M61=TH!$U$7),"x","")</f>
        <v/>
      </c>
      <c r="V61" s="52" t="str">
        <f>IF(AND(B61&gt;='IN-NX'!$P$3,B61&lt;='IN-NX'!$Q$3,'IN-NX'!$D$7=D61,OR(LEFT(L61,2)="15",AND(LEFT(M61,2)&lt;&gt;"15",LEFT(M61,2)&lt;&gt;"33"))),"x","")</f>
        <v/>
      </c>
      <c r="W61" s="52" t="str">
        <f>IF(AND(OR(LEFT(TH!L61,2)="15",LEFT(TH!M61,2)="15"),'152-CT'!$J$8=TH!F61),"x","")</f>
        <v/>
      </c>
      <c r="X61" s="52" t="str">
        <f>IF(AND(OR(LEFT(TH!L61,2)="15",LEFT(TH!M61,2)="15"),TK!$E$7=TH!F61),"x","")</f>
        <v/>
      </c>
      <c r="Y61" s="52" t="str">
        <f>IF(AND(B61&lt;=NKC!$N$8,B61&gt;=NKC!$M$8),"x","")</f>
        <v/>
      </c>
      <c r="Z61" s="208"/>
      <c r="AA61" s="587" t="str">
        <f>IF(VLOOKUP(H61,DS_131,1,0)&lt;&gt;"","","x")</f>
        <v/>
      </c>
    </row>
    <row r="62" spans="1:28" ht="15.75" customHeight="1">
      <c r="A62" s="201" t="str">
        <f>IF(B62&lt;&gt;"",IF(AND(B62&gt;=_TM1,B62&lt;=_TM2,OR(TH!L62="1111",TH!M62="1111")),TH!D62,""),"")</f>
        <v/>
      </c>
      <c r="B62" s="36">
        <f t="shared" si="3"/>
        <v>1</v>
      </c>
      <c r="C62" s="188">
        <f t="shared" si="4"/>
        <v>41282</v>
      </c>
      <c r="D62" s="181" t="s">
        <v>372</v>
      </c>
      <c r="E62" s="188">
        <v>41282</v>
      </c>
      <c r="F62" s="186" t="s">
        <v>337</v>
      </c>
      <c r="G62" s="480" t="s">
        <v>695</v>
      </c>
      <c r="H62" s="190" t="s">
        <v>696</v>
      </c>
      <c r="I62" s="250"/>
      <c r="J62" s="250"/>
      <c r="K62" s="38">
        <v>7402302</v>
      </c>
      <c r="L62" s="191" t="s">
        <v>47</v>
      </c>
      <c r="M62" s="191" t="s">
        <v>262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IF(OR(TH!L62=TH!$U$7,M62=TH!$U$7),"x","")</f>
        <v/>
      </c>
      <c r="V62" s="52" t="str">
        <f>IF(AND(B62&gt;='IN-NX'!$P$3,B62&lt;='IN-NX'!$Q$3,'IN-NX'!$D$7=D62,OR(LEFT(L62,2)="15",AND(LEFT(M62,2)&lt;&gt;"15",LEFT(M62,2)&lt;&gt;"33"))),"x","")</f>
        <v/>
      </c>
      <c r="W62" s="52" t="str">
        <f>IF(AND(OR(LEFT(TH!L62,2)="15",LEFT(TH!M62,2)="15"),'152-CT'!$J$8=TH!F62),"x","")</f>
        <v/>
      </c>
      <c r="X62" s="52" t="str">
        <f>IF(AND(OR(LEFT(TH!L62,2)="15",LEFT(TH!M62,2)="15"),TK!$E$7=TH!F62),"x","")</f>
        <v/>
      </c>
      <c r="Y62" s="52" t="str">
        <f>IF(AND(B62&lt;=NKC!$N$8,B62&gt;=NKC!$M$8),"x","")</f>
        <v/>
      </c>
      <c r="Z62" s="208"/>
      <c r="AA62" s="587" t="str">
        <f>IF(VLOOKUP(H62,DS_131,1,0)&lt;&gt;"","","x")</f>
        <v/>
      </c>
    </row>
    <row r="63" spans="1:28" s="587" customFormat="1" ht="15.75" customHeight="1">
      <c r="A63" s="201" t="str">
        <f>IF(B63&lt;&gt;"",IF(AND(B63&gt;=_TM1,B63&lt;=_TM2,OR(TH!L63="1111",TH!M63="1111")),TH!D63,""),"")</f>
        <v/>
      </c>
      <c r="B63" s="36">
        <f t="shared" si="3"/>
        <v>1</v>
      </c>
      <c r="C63" s="181">
        <f t="shared" si="4"/>
        <v>41283</v>
      </c>
      <c r="D63" s="181" t="s">
        <v>373</v>
      </c>
      <c r="E63" s="188">
        <v>41283</v>
      </c>
      <c r="F63" s="186" t="s">
        <v>469</v>
      </c>
      <c r="G63" s="597" t="s">
        <v>332</v>
      </c>
      <c r="H63" s="7" t="s">
        <v>464</v>
      </c>
      <c r="I63" s="250"/>
      <c r="J63" s="251"/>
      <c r="K63" s="38">
        <v>13000000</v>
      </c>
      <c r="L63" s="596" t="s">
        <v>47</v>
      </c>
      <c r="M63" s="596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IF(OR(TH!L63=TH!$U$7,M63=TH!$U$7),"x","")</f>
        <v/>
      </c>
      <c r="V63" s="52" t="str">
        <f>IF(AND(B63&gt;='IN-NX'!$P$3,B63&lt;='IN-NX'!$Q$3,'IN-NX'!$D$7=D63,OR(LEFT(L63,2)="15",AND(LEFT(M63,2)&lt;&gt;"15",LEFT(M63,2)&lt;&gt;"33"))),"x","")</f>
        <v/>
      </c>
      <c r="W63" s="52" t="str">
        <f>IF(AND(OR(LEFT(TH!L63,2)="15",LEFT(TH!M63,2)="15"),'152-CT'!$J$8=TH!F63),"x","")</f>
        <v/>
      </c>
      <c r="X63" s="52" t="str">
        <f>IF(AND(OR(LEFT(TH!L63,2)="15",LEFT(TH!M63,2)="15"),TK!$E$7=TH!F63),"x","")</f>
        <v/>
      </c>
      <c r="Y63" s="52" t="str">
        <f>IF(AND(B63&lt;=NKC!$N$8,B63&gt;=NKC!$M$8),"x","")</f>
        <v/>
      </c>
      <c r="AA63" s="208"/>
    </row>
    <row r="64" spans="1:28" s="587" customFormat="1" ht="15.75" customHeight="1">
      <c r="A64" s="201" t="str">
        <f>IF(B64&lt;&gt;"",IF(AND(B64&gt;=_TM1,B64&lt;=_TM2,OR(TH!L64="1111",TH!M64="1111")),TH!D64,""),"")</f>
        <v/>
      </c>
      <c r="B64" s="36">
        <f t="shared" si="3"/>
        <v>1</v>
      </c>
      <c r="C64" s="188">
        <f t="shared" si="4"/>
        <v>41283</v>
      </c>
      <c r="D64" s="181" t="s">
        <v>408</v>
      </c>
      <c r="E64" s="757">
        <v>41283</v>
      </c>
      <c r="F64" s="189" t="s">
        <v>571</v>
      </c>
      <c r="G64" s="657" t="s">
        <v>573</v>
      </c>
      <c r="H64" s="190" t="s">
        <v>554</v>
      </c>
      <c r="I64" s="249">
        <v>152</v>
      </c>
      <c r="J64" s="249">
        <v>13306</v>
      </c>
      <c r="K64" s="38">
        <f>ROUND(I64*J64,0)</f>
        <v>2022512</v>
      </c>
      <c r="L64" s="191" t="s">
        <v>156</v>
      </c>
      <c r="M64" s="191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IF(OR(TH!L64=TH!$U$7,M64=TH!$U$7),"x","")</f>
        <v/>
      </c>
      <c r="V64" s="52" t="str">
        <f>IF(AND(B64&gt;='IN-NX'!$P$3,B64&lt;='IN-NX'!$Q$3,'IN-NX'!$D$7=D64,OR(LEFT(L64,2)="15",AND(LEFT(M64,2)&lt;&gt;"15",LEFT(M64,2)&lt;&gt;"33"))),"x","")</f>
        <v/>
      </c>
      <c r="W64" s="52" t="str">
        <f>IF(AND(OR(LEFT(TH!L64,2)="15",LEFT(TH!M64,2)="15"),'152-CT'!$J$8=TH!F64),"x","")</f>
        <v/>
      </c>
      <c r="X64" s="52" t="str">
        <f>IF(AND(OR(LEFT(TH!L64,2)="15",LEFT(TH!M64,2)="15"),TK!$E$7=TH!F64),"x","")</f>
        <v/>
      </c>
      <c r="Y64" s="52" t="str">
        <f>IF(AND(B64&lt;=NKC!$N$8,B64&gt;=NKC!$M$8),"x","")</f>
        <v/>
      </c>
      <c r="Z64" s="587">
        <v>1</v>
      </c>
      <c r="AA64" s="195"/>
      <c r="AB64" s="195"/>
    </row>
    <row r="65" spans="1:28" s="587" customFormat="1" ht="15.75" customHeight="1">
      <c r="A65" s="201" t="str">
        <f>IF(B65&lt;&gt;"",IF(AND(B65&gt;=_TM1,B65&lt;=_TM2,OR(TH!L65="1111",TH!M65="1111")),TH!D65,""),"")</f>
        <v/>
      </c>
      <c r="B65" s="36">
        <f t="shared" si="3"/>
        <v>1</v>
      </c>
      <c r="C65" s="188">
        <f t="shared" si="4"/>
        <v>41283</v>
      </c>
      <c r="D65" s="181" t="s">
        <v>408</v>
      </c>
      <c r="E65" s="757">
        <v>41283</v>
      </c>
      <c r="F65" s="189" t="s">
        <v>569</v>
      </c>
      <c r="G65" s="657" t="s">
        <v>573</v>
      </c>
      <c r="H65" s="190" t="s">
        <v>554</v>
      </c>
      <c r="I65" s="249">
        <v>212</v>
      </c>
      <c r="J65" s="249">
        <v>21888</v>
      </c>
      <c r="K65" s="38">
        <f>ROUND(I65*J65,0)</f>
        <v>4640256</v>
      </c>
      <c r="L65" s="191" t="s">
        <v>156</v>
      </c>
      <c r="M65" s="191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IF(OR(TH!L65=TH!$U$7,M65=TH!$U$7),"x","")</f>
        <v/>
      </c>
      <c r="V65" s="52" t="str">
        <f>IF(AND(B65&gt;='IN-NX'!$P$3,B65&lt;='IN-NX'!$Q$3,'IN-NX'!$D$7=D65,OR(LEFT(L65,2)="15",AND(LEFT(M65,2)&lt;&gt;"15",LEFT(M65,2)&lt;&gt;"33"))),"x","")</f>
        <v/>
      </c>
      <c r="W65" s="52" t="str">
        <f>IF(AND(OR(LEFT(TH!L65,2)="15",LEFT(TH!M65,2)="15"),'152-CT'!$J$8=TH!F65),"x","")</f>
        <v/>
      </c>
      <c r="X65" s="52" t="str">
        <f>IF(AND(OR(LEFT(TH!L65,2)="15",LEFT(TH!M65,2)="15"),TK!$E$7=TH!F65),"x","")</f>
        <v/>
      </c>
      <c r="Y65" s="52" t="str">
        <f>IF(AND(B65&lt;=NKC!$N$8,B65&gt;=NKC!$M$8),"x","")</f>
        <v/>
      </c>
      <c r="Z65" s="587">
        <v>1</v>
      </c>
      <c r="AA65" s="195"/>
      <c r="AB65" s="195"/>
    </row>
    <row r="66" spans="1:28" s="587" customFormat="1" ht="15.75" customHeight="1">
      <c r="A66" s="201" t="str">
        <f>IF(B66&lt;&gt;"",IF(AND(B66&gt;=_TM1,B66&lt;=_TM2,OR(TH!L66="1111",TH!M66="1111")),TH!D66,""),"")</f>
        <v/>
      </c>
      <c r="B66" s="36">
        <f t="shared" si="3"/>
        <v>1</v>
      </c>
      <c r="C66" s="188">
        <f t="shared" si="4"/>
        <v>41283</v>
      </c>
      <c r="D66" s="181" t="s">
        <v>408</v>
      </c>
      <c r="E66" s="757">
        <v>41283</v>
      </c>
      <c r="F66" s="189" t="s">
        <v>574</v>
      </c>
      <c r="G66" s="657" t="s">
        <v>573</v>
      </c>
      <c r="H66" s="190" t="s">
        <v>554</v>
      </c>
      <c r="I66" s="249">
        <v>137</v>
      </c>
      <c r="J66" s="249">
        <v>18605</v>
      </c>
      <c r="K66" s="38">
        <f>ROUND(I66*J66,0)</f>
        <v>2548885</v>
      </c>
      <c r="L66" s="191" t="s">
        <v>156</v>
      </c>
      <c r="M66" s="191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IF(OR(TH!L66=TH!$U$7,M66=TH!$U$7),"x","")</f>
        <v/>
      </c>
      <c r="V66" s="52" t="str">
        <f>IF(AND(B66&gt;='IN-NX'!$P$3,B66&lt;='IN-NX'!$Q$3,'IN-NX'!$D$7=D66,OR(LEFT(L66,2)="15",AND(LEFT(M66,2)&lt;&gt;"15",LEFT(M66,2)&lt;&gt;"33"))),"x","")</f>
        <v/>
      </c>
      <c r="W66" s="52" t="str">
        <f>IF(AND(OR(LEFT(TH!L66,2)="15",LEFT(TH!M66,2)="15"),'152-CT'!$J$8=TH!F66),"x","")</f>
        <v/>
      </c>
      <c r="X66" s="52" t="str">
        <f>IF(AND(OR(LEFT(TH!L66,2)="15",LEFT(TH!M66,2)="15"),TK!$E$7=TH!F66),"x","")</f>
        <v/>
      </c>
      <c r="Y66" s="52" t="str">
        <f>IF(AND(B66&lt;=NKC!$N$8,B66&gt;=NKC!$M$8),"x","")</f>
        <v/>
      </c>
      <c r="Z66" s="587">
        <v>1</v>
      </c>
      <c r="AA66" s="195"/>
      <c r="AB66" s="195"/>
    </row>
    <row r="67" spans="1:28" s="587" customFormat="1" ht="15.75" customHeight="1">
      <c r="A67" s="201" t="str">
        <f>IF(B67&lt;&gt;"",IF(AND(B67&gt;=_TM1,B67&lt;=_TM2,OR(TH!L67="1111",TH!M67="1111")),TH!D67,""),"")</f>
        <v/>
      </c>
      <c r="B67" s="36">
        <f t="shared" si="3"/>
        <v>1</v>
      </c>
      <c r="C67" s="188">
        <f t="shared" si="4"/>
        <v>41283</v>
      </c>
      <c r="D67" s="181" t="s">
        <v>408</v>
      </c>
      <c r="E67" s="757">
        <v>41283</v>
      </c>
      <c r="F67" s="189" t="s">
        <v>557</v>
      </c>
      <c r="G67" s="657" t="s">
        <v>573</v>
      </c>
      <c r="H67" s="190" t="s">
        <v>554</v>
      </c>
      <c r="I67" s="249"/>
      <c r="J67" s="249"/>
      <c r="K67" s="38">
        <v>921166</v>
      </c>
      <c r="L67" s="191" t="s">
        <v>9</v>
      </c>
      <c r="M67" s="191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IF(OR(TH!L67=TH!$U$7,M67=TH!$U$7),"x","")</f>
        <v/>
      </c>
      <c r="V67" s="52" t="str">
        <f>IF(AND(B67&gt;='IN-NX'!$P$3,B67&lt;='IN-NX'!$Q$3,'IN-NX'!$D$7=D67,OR(LEFT(L67,2)="15",AND(LEFT(M67,2)&lt;&gt;"15",LEFT(M67,2)&lt;&gt;"33"))),"x","")</f>
        <v/>
      </c>
      <c r="W67" s="52" t="str">
        <f>IF(AND(OR(LEFT(TH!L67,2)="15",LEFT(TH!M67,2)="15"),'152-CT'!$J$8=TH!F67),"x","")</f>
        <v/>
      </c>
      <c r="X67" s="52" t="str">
        <f>IF(AND(OR(LEFT(TH!L67,2)="15",LEFT(TH!M67,2)="15"),TK!$E$7=TH!F67),"x","")</f>
        <v/>
      </c>
      <c r="Y67" s="52" t="str">
        <f>IF(AND(B67&lt;=NKC!$N$8,B67&gt;=NKC!$M$8),"x","")</f>
        <v/>
      </c>
      <c r="Z67" s="587">
        <v>1</v>
      </c>
      <c r="AA67" s="195"/>
      <c r="AB67" s="195"/>
    </row>
    <row r="68" spans="1:28" s="587" customFormat="1" ht="15.75" customHeight="1">
      <c r="A68" s="201" t="str">
        <f>IF(B68&lt;&gt;"",IF(AND(B68&gt;=_TM1,B68&lt;=_TM2,OR(TH!L68="1111",TH!M68="1111")),TH!D68,""),"")</f>
        <v/>
      </c>
      <c r="B68" s="36">
        <f t="shared" si="3"/>
        <v>1</v>
      </c>
      <c r="C68" s="188">
        <f t="shared" si="4"/>
        <v>41283</v>
      </c>
      <c r="D68" s="181" t="s">
        <v>381</v>
      </c>
      <c r="E68" s="757">
        <v>41283</v>
      </c>
      <c r="F68" s="189" t="s">
        <v>367</v>
      </c>
      <c r="G68" s="657" t="s">
        <v>573</v>
      </c>
      <c r="H68" s="190" t="s">
        <v>554</v>
      </c>
      <c r="I68" s="249"/>
      <c r="J68" s="249"/>
      <c r="K68" s="38">
        <v>10132819</v>
      </c>
      <c r="L68" s="191" t="s">
        <v>8</v>
      </c>
      <c r="M68" s="191" t="s">
        <v>47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IF(OR(TH!L68=TH!$U$7,M68=TH!$U$7),"x","")</f>
        <v/>
      </c>
      <c r="V68" s="52" t="str">
        <f>IF(AND(B68&gt;='IN-NX'!$P$3,B68&lt;='IN-NX'!$Q$3,'IN-NX'!$D$7=D68,OR(LEFT(L68,2)="15",AND(LEFT(M68,2)&lt;&gt;"15",LEFT(M68,2)&lt;&gt;"33"))),"x","")</f>
        <v/>
      </c>
      <c r="W68" s="52" t="str">
        <f>IF(AND(OR(LEFT(TH!L68,2)="15",LEFT(TH!M68,2)="15"),'152-CT'!$J$8=TH!F68),"x","")</f>
        <v/>
      </c>
      <c r="X68" s="52" t="str">
        <f>IF(AND(OR(LEFT(TH!L68,2)="15",LEFT(TH!M68,2)="15"),TK!$E$7=TH!F68),"x","")</f>
        <v/>
      </c>
      <c r="Y68" s="52" t="str">
        <f>IF(AND(B68&lt;=NKC!$N$8,B68&gt;=NKC!$M$8),"x","")</f>
        <v/>
      </c>
      <c r="Z68" s="208"/>
      <c r="AA68" s="195"/>
      <c r="AB68" s="195"/>
    </row>
    <row r="69" spans="1:28" s="587" customFormat="1" ht="15.75" customHeight="1">
      <c r="A69" s="201" t="str">
        <f>IF(B69&lt;&gt;"",IF(AND(B69&gt;=_TM1,B69&lt;=_TM2,OR(TH!L69="1111",TH!M69="1111")),TH!D69,""),"")</f>
        <v/>
      </c>
      <c r="B69" s="36">
        <f t="shared" si="3"/>
        <v>1</v>
      </c>
      <c r="C69" s="188">
        <f t="shared" si="4"/>
        <v>41284</v>
      </c>
      <c r="D69" s="181" t="s">
        <v>1016</v>
      </c>
      <c r="E69" s="181">
        <v>41284</v>
      </c>
      <c r="F69" s="189" t="s">
        <v>698</v>
      </c>
      <c r="G69" s="597" t="s">
        <v>699</v>
      </c>
      <c r="H69" s="190" t="s">
        <v>470</v>
      </c>
      <c r="I69" s="249">
        <v>992</v>
      </c>
      <c r="J69" s="249">
        <v>8740</v>
      </c>
      <c r="K69" s="38">
        <f>ROUND(I69*J69,0)</f>
        <v>8670080</v>
      </c>
      <c r="L69" s="191" t="s">
        <v>262</v>
      </c>
      <c r="M69" s="191" t="s">
        <v>172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IF(OR(TH!L69=TH!$U$7,M69=TH!$U$7),"x","")</f>
        <v/>
      </c>
      <c r="V69" s="52" t="str">
        <f>IF(AND(B69&gt;='IN-NX'!$P$3,B69&lt;='IN-NX'!$Q$3,'IN-NX'!$D$7=D69,OR(LEFT(L69,2)="15",AND(LEFT(M69,2)&lt;&gt;"15",LEFT(M69,2)&lt;&gt;"33"))),"x","")</f>
        <v/>
      </c>
      <c r="W69" s="52" t="str">
        <f>IF(AND(OR(LEFT(TH!L69,2)="15",LEFT(TH!M69,2)="15"),'152-CT'!$J$8=TH!F69),"x","")</f>
        <v/>
      </c>
      <c r="X69" s="52" t="str">
        <f>IF(AND(OR(LEFT(TH!L69,2)="15",LEFT(TH!M69,2)="15"),TK!$E$7=TH!F69),"x","")</f>
        <v/>
      </c>
      <c r="Y69" s="52" t="str">
        <f>IF(AND(B69&lt;=NKC!$N$8,B69&gt;=NKC!$M$8),"x","")</f>
        <v/>
      </c>
      <c r="Z69" s="208"/>
      <c r="AB69" s="195"/>
    </row>
    <row r="70" spans="1:28" s="587" customFormat="1" ht="15.75" customHeight="1">
      <c r="A70" s="201" t="str">
        <f>IF(B70&lt;&gt;"",IF(AND(B70&gt;=_TM1,B70&lt;=_TM2,OR(TH!L70="1111",TH!M70="1111")),TH!D70,""),"")</f>
        <v/>
      </c>
      <c r="B70" s="36">
        <f t="shared" si="3"/>
        <v>1</v>
      </c>
      <c r="C70" s="188">
        <f t="shared" si="4"/>
        <v>41284</v>
      </c>
      <c r="D70" s="181" t="s">
        <v>1016</v>
      </c>
      <c r="E70" s="188">
        <v>41284</v>
      </c>
      <c r="F70" s="189" t="s">
        <v>693</v>
      </c>
      <c r="G70" s="480" t="s">
        <v>699</v>
      </c>
      <c r="H70" s="190" t="s">
        <v>470</v>
      </c>
      <c r="I70" s="250"/>
      <c r="J70" s="250"/>
      <c r="K70" s="38">
        <v>867008</v>
      </c>
      <c r="L70" s="191" t="s">
        <v>262</v>
      </c>
      <c r="M70" s="191" t="s">
        <v>425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IF(OR(TH!L70=TH!$U$7,M70=TH!$U$7),"x","")</f>
        <v/>
      </c>
      <c r="V70" s="52" t="str">
        <f>IF(AND(B70&gt;='IN-NX'!$P$3,B70&lt;='IN-NX'!$Q$3,'IN-NX'!$D$7=D70,OR(LEFT(L70,2)="15",AND(LEFT(M70,2)&lt;&gt;"15",LEFT(M70,2)&lt;&gt;"33"))),"x","")</f>
        <v/>
      </c>
      <c r="W70" s="52" t="str">
        <f>IF(AND(OR(LEFT(TH!L70,2)="15",LEFT(TH!M70,2)="15"),'152-CT'!$J$8=TH!F70),"x","")</f>
        <v/>
      </c>
      <c r="X70" s="52" t="str">
        <f>IF(AND(OR(LEFT(TH!L70,2)="15",LEFT(TH!M70,2)="15"),TK!$E$7=TH!F70),"x","")</f>
        <v/>
      </c>
      <c r="Y70" s="52" t="str">
        <f>IF(AND(B70&lt;=NKC!$N$8,B70&gt;=NKC!$M$8),"x","")</f>
        <v/>
      </c>
      <c r="Z70" s="208"/>
      <c r="AA70" s="587" t="str">
        <f>IF(VLOOKUP(H70,DS_131,1,0)&lt;&gt;"","","x")</f>
        <v/>
      </c>
      <c r="AB70" s="195"/>
    </row>
    <row r="71" spans="1:28" s="587" customFormat="1" ht="15.75" customHeight="1">
      <c r="A71" s="201" t="str">
        <f>IF(B71&lt;&gt;"",IF(AND(B71&gt;=_TM1,B71&lt;=_TM2,OR(TH!L71="1111",TH!M71="1111")),TH!D71,""),"")</f>
        <v/>
      </c>
      <c r="B71" s="36">
        <f t="shared" si="3"/>
        <v>1</v>
      </c>
      <c r="C71" s="188">
        <f t="shared" si="4"/>
        <v>41285</v>
      </c>
      <c r="D71" s="181" t="s">
        <v>409</v>
      </c>
      <c r="E71" s="188">
        <v>41285</v>
      </c>
      <c r="F71" s="189" t="s">
        <v>575</v>
      </c>
      <c r="G71" s="480" t="s">
        <v>576</v>
      </c>
      <c r="H71" s="190" t="s">
        <v>554</v>
      </c>
      <c r="I71" s="251">
        <v>140</v>
      </c>
      <c r="J71" s="251">
        <v>38966</v>
      </c>
      <c r="K71" s="38">
        <f>ROUND(I71*J71,0)</f>
        <v>5455240</v>
      </c>
      <c r="L71" s="191" t="s">
        <v>156</v>
      </c>
      <c r="M71" s="191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IF(OR(TH!L71=TH!$U$7,M71=TH!$U$7),"x","")</f>
        <v/>
      </c>
      <c r="V71" s="52" t="str">
        <f>IF(AND(B71&gt;='IN-NX'!$P$3,B71&lt;='IN-NX'!$Q$3,'IN-NX'!$D$7=D71,OR(LEFT(L71,2)="15",AND(LEFT(M71,2)&lt;&gt;"15",LEFT(M71,2)&lt;&gt;"33"))),"x","")</f>
        <v/>
      </c>
      <c r="W71" s="52" t="str">
        <f>IF(AND(OR(LEFT(TH!L71,2)="15",LEFT(TH!M71,2)="15"),'152-CT'!$J$8=TH!F71),"x","")</f>
        <v/>
      </c>
      <c r="X71" s="52" t="str">
        <f>IF(AND(OR(LEFT(TH!L71,2)="15",LEFT(TH!M71,2)="15"),TK!$E$7=TH!F71),"x","")</f>
        <v/>
      </c>
      <c r="Y71" s="52" t="str">
        <f>IF(AND(B71&lt;=NKC!$N$8,B71&gt;=NKC!$M$8),"x","")</f>
        <v/>
      </c>
      <c r="Z71" s="587">
        <v>1</v>
      </c>
      <c r="AA71" s="195"/>
      <c r="AB71" s="195"/>
    </row>
    <row r="72" spans="1:28" s="587" customFormat="1" ht="15.75" customHeight="1">
      <c r="A72" s="201" t="str">
        <f>IF(B72&lt;&gt;"",IF(AND(B72&gt;=_TM1,B72&lt;=_TM2,OR(TH!L72="1111",TH!M72="1111")),TH!D72,""),"")</f>
        <v/>
      </c>
      <c r="B72" s="36">
        <f t="shared" si="3"/>
        <v>1</v>
      </c>
      <c r="C72" s="188">
        <f t="shared" si="4"/>
        <v>41285</v>
      </c>
      <c r="D72" s="181" t="s">
        <v>409</v>
      </c>
      <c r="E72" s="188">
        <v>41285</v>
      </c>
      <c r="F72" s="189" t="s">
        <v>560</v>
      </c>
      <c r="G72" s="480" t="s">
        <v>576</v>
      </c>
      <c r="H72" s="190" t="s">
        <v>554</v>
      </c>
      <c r="I72" s="251">
        <v>167</v>
      </c>
      <c r="J72" s="251">
        <v>29568</v>
      </c>
      <c r="K72" s="38">
        <f>ROUND(I72*J72,0)</f>
        <v>4937856</v>
      </c>
      <c r="L72" s="191" t="s">
        <v>156</v>
      </c>
      <c r="M72" s="191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IF(OR(TH!L72=TH!$U$7,M72=TH!$U$7),"x","")</f>
        <v/>
      </c>
      <c r="V72" s="52" t="str">
        <f>IF(AND(B72&gt;='IN-NX'!$P$3,B72&lt;='IN-NX'!$Q$3,'IN-NX'!$D$7=D72,OR(LEFT(L72,2)="15",AND(LEFT(M72,2)&lt;&gt;"15",LEFT(M72,2)&lt;&gt;"33"))),"x","")</f>
        <v/>
      </c>
      <c r="W72" s="52" t="str">
        <f>IF(AND(OR(LEFT(TH!L72,2)="15",LEFT(TH!M72,2)="15"),'152-CT'!$J$8=TH!F72),"x","")</f>
        <v/>
      </c>
      <c r="X72" s="52" t="str">
        <f>IF(AND(OR(LEFT(TH!L72,2)="15",LEFT(TH!M72,2)="15"),TK!$E$7=TH!F72),"x","")</f>
        <v/>
      </c>
      <c r="Y72" s="52" t="str">
        <f>IF(AND(B72&lt;=NKC!$N$8,B72&gt;=NKC!$M$8),"x","")</f>
        <v/>
      </c>
      <c r="Z72" s="587">
        <v>1</v>
      </c>
      <c r="AA72" s="195"/>
      <c r="AB72" s="195"/>
    </row>
    <row r="73" spans="1:28" s="587" customFormat="1" ht="15.75" customHeight="1">
      <c r="A73" s="201" t="str">
        <f>IF(B73&lt;&gt;"",IF(AND(B73&gt;=_TM1,B73&lt;=_TM2,OR(TH!L73="1111",TH!M73="1111")),TH!D73,""),"")</f>
        <v/>
      </c>
      <c r="B73" s="36">
        <f t="shared" si="3"/>
        <v>1</v>
      </c>
      <c r="C73" s="188">
        <f t="shared" si="4"/>
        <v>41285</v>
      </c>
      <c r="D73" s="181" t="s">
        <v>409</v>
      </c>
      <c r="E73" s="188">
        <v>41285</v>
      </c>
      <c r="F73" s="189" t="s">
        <v>557</v>
      </c>
      <c r="G73" s="480" t="s">
        <v>576</v>
      </c>
      <c r="H73" s="190" t="s">
        <v>554</v>
      </c>
      <c r="I73" s="249"/>
      <c r="J73" s="249"/>
      <c r="K73" s="38">
        <v>1039310</v>
      </c>
      <c r="L73" s="191" t="s">
        <v>9</v>
      </c>
      <c r="M73" s="191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IF(OR(TH!L73=TH!$U$7,M73=TH!$U$7),"x","")</f>
        <v/>
      </c>
      <c r="V73" s="52" t="str">
        <f>IF(AND(B73&gt;='IN-NX'!$P$3,B73&lt;='IN-NX'!$Q$3,'IN-NX'!$D$7=D73,OR(LEFT(L73,2)="15",AND(LEFT(M73,2)&lt;&gt;"15",LEFT(M73,2)&lt;&gt;"33"))),"x","")</f>
        <v/>
      </c>
      <c r="W73" s="52" t="str">
        <f>IF(AND(OR(LEFT(TH!L73,2)="15",LEFT(TH!M73,2)="15"),'152-CT'!$J$8=TH!F73),"x","")</f>
        <v/>
      </c>
      <c r="X73" s="52" t="str">
        <f>IF(AND(OR(LEFT(TH!L73,2)="15",LEFT(TH!M73,2)="15"),TK!$E$7=TH!F73),"x","")</f>
        <v/>
      </c>
      <c r="Y73" s="52" t="str">
        <f>IF(AND(B73&lt;=NKC!$N$8,B73&gt;=NKC!$M$8),"x","")</f>
        <v/>
      </c>
      <c r="Z73" s="587">
        <v>1</v>
      </c>
      <c r="AA73" s="195"/>
      <c r="AB73" s="195"/>
    </row>
    <row r="74" spans="1:28" s="587" customFormat="1" ht="15.75" customHeight="1">
      <c r="A74" s="201" t="str">
        <f>IF(B74&lt;&gt;"",IF(AND(B74&gt;=_TM1,B74&lt;=_TM2,OR(TH!L74="1111",TH!M74="1111")),TH!D74,""),"")</f>
        <v/>
      </c>
      <c r="B74" s="36">
        <f t="shared" si="3"/>
        <v>1</v>
      </c>
      <c r="C74" s="188">
        <f t="shared" si="4"/>
        <v>41285</v>
      </c>
      <c r="D74" s="181" t="s">
        <v>382</v>
      </c>
      <c r="E74" s="188">
        <v>41285</v>
      </c>
      <c r="F74" s="189" t="s">
        <v>367</v>
      </c>
      <c r="G74" s="480" t="s">
        <v>576</v>
      </c>
      <c r="H74" s="190" t="s">
        <v>554</v>
      </c>
      <c r="I74" s="249"/>
      <c r="J74" s="249"/>
      <c r="K74" s="38">
        <v>11432406</v>
      </c>
      <c r="L74" s="191" t="s">
        <v>8</v>
      </c>
      <c r="M74" s="191" t="s">
        <v>47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IF(OR(TH!L74=TH!$U$7,M74=TH!$U$7),"x","")</f>
        <v/>
      </c>
      <c r="V74" s="52" t="str">
        <f>IF(AND(B74&gt;='IN-NX'!$P$3,B74&lt;='IN-NX'!$Q$3,'IN-NX'!$D$7=D74,OR(LEFT(L74,2)="15",AND(LEFT(M74,2)&lt;&gt;"15",LEFT(M74,2)&lt;&gt;"33"))),"x","")</f>
        <v/>
      </c>
      <c r="W74" s="52" t="str">
        <f>IF(AND(OR(LEFT(TH!L74,2)="15",LEFT(TH!M74,2)="15"),'152-CT'!$J$8=TH!F74),"x","")</f>
        <v/>
      </c>
      <c r="X74" s="52" t="str">
        <f>IF(AND(OR(LEFT(TH!L74,2)="15",LEFT(TH!M74,2)="15"),TK!$E$7=TH!F74),"x","")</f>
        <v/>
      </c>
      <c r="Y74" s="52" t="str">
        <f>IF(AND(B74&lt;=NKC!$N$8,B74&gt;=NKC!$M$8),"x","")</f>
        <v/>
      </c>
      <c r="Z74" s="208"/>
      <c r="AA74" s="195"/>
      <c r="AB74" s="195"/>
    </row>
    <row r="75" spans="1:28" s="587" customFormat="1" ht="15.75" customHeight="1">
      <c r="A75" s="201" t="str">
        <f>IF(B75&lt;&gt;"",IF(AND(B75&gt;=_TM1,B75&lt;=_TM2,OR(TH!L75="1111",TH!M75="1111")),TH!D75,""),"")</f>
        <v/>
      </c>
      <c r="B75" s="36">
        <f t="shared" si="3"/>
        <v>1</v>
      </c>
      <c r="C75" s="188">
        <f t="shared" si="4"/>
        <v>41285</v>
      </c>
      <c r="D75" s="181" t="s">
        <v>1017</v>
      </c>
      <c r="E75" s="181">
        <v>41285</v>
      </c>
      <c r="F75" s="189" t="s">
        <v>700</v>
      </c>
      <c r="G75" s="597" t="s">
        <v>701</v>
      </c>
      <c r="H75" s="190" t="s">
        <v>1078</v>
      </c>
      <c r="I75" s="249">
        <v>202</v>
      </c>
      <c r="J75" s="249">
        <v>7268</v>
      </c>
      <c r="K75" s="38">
        <f t="shared" ref="K75:K81" si="5">ROUND(I75*J75,0)</f>
        <v>1468136</v>
      </c>
      <c r="L75" s="191" t="s">
        <v>262</v>
      </c>
      <c r="M75" s="191" t="s">
        <v>172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IF(OR(TH!L75=TH!$U$7,M75=TH!$U$7),"x","")</f>
        <v/>
      </c>
      <c r="V75" s="52" t="str">
        <f>IF(AND(B75&gt;='IN-NX'!$P$3,B75&lt;='IN-NX'!$Q$3,'IN-NX'!$D$7=D75,OR(LEFT(L75,2)="15",AND(LEFT(M75,2)&lt;&gt;"15",LEFT(M75,2)&lt;&gt;"33"))),"x","")</f>
        <v/>
      </c>
      <c r="W75" s="52" t="str">
        <f>IF(AND(OR(LEFT(TH!L75,2)="15",LEFT(TH!M75,2)="15"),'152-CT'!$J$8=TH!F75),"x","")</f>
        <v/>
      </c>
      <c r="X75" s="52" t="str">
        <f>IF(AND(OR(LEFT(TH!L75,2)="15",LEFT(TH!M75,2)="15"),TK!$E$7=TH!F75),"x","")</f>
        <v/>
      </c>
      <c r="Y75" s="52" t="str">
        <f>IF(AND(B75&lt;=NKC!$N$8,B75&gt;=NKC!$M$8),"x","")</f>
        <v/>
      </c>
      <c r="Z75" s="208"/>
      <c r="AB75" s="195"/>
    </row>
    <row r="76" spans="1:28" s="587" customFormat="1" ht="15.75" customHeight="1">
      <c r="A76" s="201" t="str">
        <f>IF(B76&lt;&gt;"",IF(AND(B76&gt;=_TM1,B76&lt;=_TM2,OR(TH!L76="1111",TH!M76="1111")),TH!D76,""),"")</f>
        <v/>
      </c>
      <c r="B76" s="36">
        <f t="shared" si="3"/>
        <v>1</v>
      </c>
      <c r="C76" s="188">
        <f t="shared" si="4"/>
        <v>41285</v>
      </c>
      <c r="D76" s="181" t="s">
        <v>1017</v>
      </c>
      <c r="E76" s="188">
        <v>41285</v>
      </c>
      <c r="F76" s="189" t="s">
        <v>702</v>
      </c>
      <c r="G76" s="480" t="s">
        <v>701</v>
      </c>
      <c r="H76" s="190" t="s">
        <v>1078</v>
      </c>
      <c r="I76" s="250">
        <v>204</v>
      </c>
      <c r="J76" s="250">
        <v>8500</v>
      </c>
      <c r="K76" s="38">
        <f t="shared" si="5"/>
        <v>1734000</v>
      </c>
      <c r="L76" s="191" t="s">
        <v>262</v>
      </c>
      <c r="M76" s="191" t="s">
        <v>172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IF(OR(TH!L76=TH!$U$7,M76=TH!$U$7),"x","")</f>
        <v/>
      </c>
      <c r="V76" s="52" t="str">
        <f>IF(AND(B76&gt;='IN-NX'!$P$3,B76&lt;='IN-NX'!$Q$3,'IN-NX'!$D$7=D76,OR(LEFT(L76,2)="15",AND(LEFT(M76,2)&lt;&gt;"15",LEFT(M76,2)&lt;&gt;"33"))),"x","")</f>
        <v/>
      </c>
      <c r="W76" s="52" t="str">
        <f>IF(AND(OR(LEFT(TH!L76,2)="15",LEFT(TH!M76,2)="15"),'152-CT'!$J$8=TH!F76),"x","")</f>
        <v/>
      </c>
      <c r="X76" s="52" t="str">
        <f>IF(AND(OR(LEFT(TH!L76,2)="15",LEFT(TH!M76,2)="15"),TK!$E$7=TH!F76),"x","")</f>
        <v/>
      </c>
      <c r="Y76" s="52" t="str">
        <f>IF(AND(B76&lt;=NKC!$N$8,B76&gt;=NKC!$M$8),"x","")</f>
        <v/>
      </c>
      <c r="Z76" s="208"/>
      <c r="AB76" s="195"/>
    </row>
    <row r="77" spans="1:28" s="587" customFormat="1" ht="15.75" customHeight="1">
      <c r="A77" s="201" t="str">
        <f>IF(B77&lt;&gt;"",IF(AND(B77&gt;=_TM1,B77&lt;=_TM2,OR(TH!L77="1111",TH!M77="1111")),TH!D77,""),"")</f>
        <v/>
      </c>
      <c r="B77" s="36">
        <f t="shared" si="3"/>
        <v>1</v>
      </c>
      <c r="C77" s="188">
        <f t="shared" si="4"/>
        <v>41285</v>
      </c>
      <c r="D77" s="181" t="s">
        <v>1017</v>
      </c>
      <c r="E77" s="181">
        <v>41285</v>
      </c>
      <c r="F77" s="189" t="s">
        <v>703</v>
      </c>
      <c r="G77" s="597" t="s">
        <v>701</v>
      </c>
      <c r="H77" s="190" t="s">
        <v>1078</v>
      </c>
      <c r="I77" s="249">
        <v>510</v>
      </c>
      <c r="J77" s="249">
        <v>550</v>
      </c>
      <c r="K77" s="38">
        <f t="shared" si="5"/>
        <v>280500</v>
      </c>
      <c r="L77" s="191" t="s">
        <v>262</v>
      </c>
      <c r="M77" s="191" t="s">
        <v>172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IF(OR(TH!L77=TH!$U$7,M77=TH!$U$7),"x","")</f>
        <v/>
      </c>
      <c r="V77" s="52" t="str">
        <f>IF(AND(B77&gt;='IN-NX'!$P$3,B77&lt;='IN-NX'!$Q$3,'IN-NX'!$D$7=D77,OR(LEFT(L77,2)="15",AND(LEFT(M77,2)&lt;&gt;"15",LEFT(M77,2)&lt;&gt;"33"))),"x","")</f>
        <v/>
      </c>
      <c r="W77" s="52" t="str">
        <f>IF(AND(OR(LEFT(TH!L77,2)="15",LEFT(TH!M77,2)="15"),'152-CT'!$J$8=TH!F77),"x","")</f>
        <v/>
      </c>
      <c r="X77" s="52" t="str">
        <f>IF(AND(OR(LEFT(TH!L77,2)="15",LEFT(TH!M77,2)="15"),TK!$E$7=TH!F77),"x","")</f>
        <v/>
      </c>
      <c r="Y77" s="52" t="str">
        <f>IF(AND(B77&lt;=NKC!$N$8,B77&gt;=NKC!$M$8),"x","")</f>
        <v/>
      </c>
      <c r="Z77" s="208"/>
      <c r="AB77" s="195"/>
    </row>
    <row r="78" spans="1:28" s="587" customFormat="1" ht="15.75" customHeight="1">
      <c r="A78" s="201" t="str">
        <f>IF(B78&lt;&gt;"",IF(AND(B78&gt;=_TM1,B78&lt;=_TM2,OR(TH!L78="1111",TH!M78="1111")),TH!D78,""),"")</f>
        <v/>
      </c>
      <c r="B78" s="36">
        <f t="shared" si="3"/>
        <v>1</v>
      </c>
      <c r="C78" s="188">
        <f t="shared" si="4"/>
        <v>41285</v>
      </c>
      <c r="D78" s="181" t="s">
        <v>1017</v>
      </c>
      <c r="E78" s="188">
        <v>41285</v>
      </c>
      <c r="F78" s="189" t="s">
        <v>704</v>
      </c>
      <c r="G78" s="480" t="s">
        <v>701</v>
      </c>
      <c r="H78" s="190" t="s">
        <v>1078</v>
      </c>
      <c r="I78" s="250">
        <v>420</v>
      </c>
      <c r="J78" s="250">
        <v>500</v>
      </c>
      <c r="K78" s="38">
        <f t="shared" si="5"/>
        <v>210000</v>
      </c>
      <c r="L78" s="191" t="s">
        <v>262</v>
      </c>
      <c r="M78" s="191" t="s">
        <v>172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IF(OR(TH!L78=TH!$U$7,M78=TH!$U$7),"x","")</f>
        <v/>
      </c>
      <c r="V78" s="52" t="str">
        <f>IF(AND(B78&gt;='IN-NX'!$P$3,B78&lt;='IN-NX'!$Q$3,'IN-NX'!$D$7=D78,OR(LEFT(L78,2)="15",AND(LEFT(M78,2)&lt;&gt;"15",LEFT(M78,2)&lt;&gt;"33"))),"x","")</f>
        <v/>
      </c>
      <c r="W78" s="52" t="str">
        <f>IF(AND(OR(LEFT(TH!L78,2)="15",LEFT(TH!M78,2)="15"),'152-CT'!$J$8=TH!F78),"x","")</f>
        <v/>
      </c>
      <c r="X78" s="52" t="str">
        <f>IF(AND(OR(LEFT(TH!L78,2)="15",LEFT(TH!M78,2)="15"),TK!$E$7=TH!F78),"x","")</f>
        <v/>
      </c>
      <c r="Y78" s="52" t="str">
        <f>IF(AND(B78&lt;=NKC!$N$8,B78&gt;=NKC!$M$8),"x","")</f>
        <v/>
      </c>
      <c r="Z78" s="208"/>
      <c r="AB78" s="195"/>
    </row>
    <row r="79" spans="1:28" s="587" customFormat="1" ht="15.75" customHeight="1">
      <c r="A79" s="201" t="str">
        <f>IF(B79&lt;&gt;"",IF(AND(B79&gt;=_TM1,B79&lt;=_TM2,OR(TH!L79="1111",TH!M79="1111")),TH!D79,""),"")</f>
        <v/>
      </c>
      <c r="B79" s="36">
        <f t="shared" si="3"/>
        <v>1</v>
      </c>
      <c r="C79" s="188">
        <f t="shared" si="4"/>
        <v>41285</v>
      </c>
      <c r="D79" s="181" t="s">
        <v>1017</v>
      </c>
      <c r="E79" s="181">
        <v>41285</v>
      </c>
      <c r="F79" s="189" t="s">
        <v>705</v>
      </c>
      <c r="G79" s="597" t="s">
        <v>701</v>
      </c>
      <c r="H79" s="190" t="s">
        <v>1078</v>
      </c>
      <c r="I79" s="249">
        <v>200</v>
      </c>
      <c r="J79" s="249">
        <v>900</v>
      </c>
      <c r="K79" s="38">
        <f t="shared" si="5"/>
        <v>180000</v>
      </c>
      <c r="L79" s="191" t="s">
        <v>262</v>
      </c>
      <c r="M79" s="191" t="s">
        <v>172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IF(OR(TH!L79=TH!$U$7,M79=TH!$U$7),"x","")</f>
        <v/>
      </c>
      <c r="V79" s="52" t="str">
        <f>IF(AND(B79&gt;='IN-NX'!$P$3,B79&lt;='IN-NX'!$Q$3,'IN-NX'!$D$7=D79,OR(LEFT(L79,2)="15",AND(LEFT(M79,2)&lt;&gt;"15",LEFT(M79,2)&lt;&gt;"33"))),"x","")</f>
        <v/>
      </c>
      <c r="W79" s="52" t="str">
        <f>IF(AND(OR(LEFT(TH!L79,2)="15",LEFT(TH!M79,2)="15"),'152-CT'!$J$8=TH!F79),"x","")</f>
        <v/>
      </c>
      <c r="X79" s="52" t="str">
        <f>IF(AND(OR(LEFT(TH!L79,2)="15",LEFT(TH!M79,2)="15"),TK!$E$7=TH!F79),"x","")</f>
        <v/>
      </c>
      <c r="Y79" s="52" t="str">
        <f>IF(AND(B79&lt;=NKC!$N$8,B79&gt;=NKC!$M$8),"x","")</f>
        <v/>
      </c>
      <c r="Z79" s="208"/>
      <c r="AB79" s="195"/>
    </row>
    <row r="80" spans="1:28" s="587" customFormat="1" ht="15.75" customHeight="1">
      <c r="A80" s="201" t="str">
        <f>IF(B80&lt;&gt;"",IF(AND(B80&gt;=_TM1,B80&lt;=_TM2,OR(TH!L80="1111",TH!M80="1111")),TH!D80,""),"")</f>
        <v/>
      </c>
      <c r="B80" s="36">
        <f t="shared" si="3"/>
        <v>1</v>
      </c>
      <c r="C80" s="188">
        <f t="shared" si="4"/>
        <v>41285</v>
      </c>
      <c r="D80" s="181" t="s">
        <v>1017</v>
      </c>
      <c r="E80" s="188">
        <v>41285</v>
      </c>
      <c r="F80" s="189" t="s">
        <v>706</v>
      </c>
      <c r="G80" s="480" t="s">
        <v>701</v>
      </c>
      <c r="H80" s="190" t="s">
        <v>1078</v>
      </c>
      <c r="I80" s="249">
        <v>420</v>
      </c>
      <c r="J80" s="249">
        <v>700</v>
      </c>
      <c r="K80" s="38">
        <f t="shared" si="5"/>
        <v>294000</v>
      </c>
      <c r="L80" s="191" t="s">
        <v>262</v>
      </c>
      <c r="M80" s="191" t="s">
        <v>172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IF(OR(TH!L80=TH!$U$7,M80=TH!$U$7),"x","")</f>
        <v/>
      </c>
      <c r="V80" s="52" t="str">
        <f>IF(AND(B80&gt;='IN-NX'!$P$3,B80&lt;='IN-NX'!$Q$3,'IN-NX'!$D$7=D80,OR(LEFT(L80,2)="15",AND(LEFT(M80,2)&lt;&gt;"15",LEFT(M80,2)&lt;&gt;"33"))),"x","")</f>
        <v/>
      </c>
      <c r="W80" s="52" t="str">
        <f>IF(AND(OR(LEFT(TH!L80,2)="15",LEFT(TH!M80,2)="15"),'152-CT'!$J$8=TH!F80),"x","")</f>
        <v/>
      </c>
      <c r="X80" s="52" t="str">
        <f>IF(AND(OR(LEFT(TH!L80,2)="15",LEFT(TH!M80,2)="15"),TK!$E$7=TH!F80),"x","")</f>
        <v/>
      </c>
      <c r="Y80" s="52" t="str">
        <f>IF(AND(B80&lt;=NKC!$N$8,B80&gt;=NKC!$M$8),"x","")</f>
        <v/>
      </c>
      <c r="Z80" s="208"/>
      <c r="AB80" s="195"/>
    </row>
    <row r="81" spans="1:28" s="587" customFormat="1" ht="15.75" customHeight="1">
      <c r="A81" s="201" t="str">
        <f>IF(B81&lt;&gt;"",IF(AND(B81&gt;=_TM1,B81&lt;=_TM2,OR(TH!L81="1111",TH!M81="1111")),TH!D81,""),"")</f>
        <v/>
      </c>
      <c r="B81" s="36">
        <f t="shared" si="3"/>
        <v>1</v>
      </c>
      <c r="C81" s="188">
        <f t="shared" si="4"/>
        <v>41285</v>
      </c>
      <c r="D81" s="181" t="s">
        <v>1017</v>
      </c>
      <c r="E81" s="188">
        <v>41285</v>
      </c>
      <c r="F81" s="189" t="s">
        <v>707</v>
      </c>
      <c r="G81" s="480" t="s">
        <v>701</v>
      </c>
      <c r="H81" s="190" t="s">
        <v>1078</v>
      </c>
      <c r="I81" s="249">
        <v>52</v>
      </c>
      <c r="J81" s="249">
        <v>9512</v>
      </c>
      <c r="K81" s="38">
        <f t="shared" si="5"/>
        <v>494624</v>
      </c>
      <c r="L81" s="191" t="s">
        <v>262</v>
      </c>
      <c r="M81" s="191" t="s">
        <v>172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IF(OR(TH!L81=TH!$U$7,M81=TH!$U$7),"x","")</f>
        <v/>
      </c>
      <c r="V81" s="52" t="str">
        <f>IF(AND(B81&gt;='IN-NX'!$P$3,B81&lt;='IN-NX'!$Q$3,'IN-NX'!$D$7=D81,OR(LEFT(L81,2)="15",AND(LEFT(M81,2)&lt;&gt;"15",LEFT(M81,2)&lt;&gt;"33"))),"x","")</f>
        <v/>
      </c>
      <c r="W81" s="52" t="str">
        <f>IF(AND(OR(LEFT(TH!L81,2)="15",LEFT(TH!M81,2)="15"),'152-CT'!$J$8=TH!F81),"x","")</f>
        <v/>
      </c>
      <c r="X81" s="52" t="str">
        <f>IF(AND(OR(LEFT(TH!L81,2)="15",LEFT(TH!M81,2)="15"),TK!$E$7=TH!F81),"x","")</f>
        <v/>
      </c>
      <c r="Y81" s="52" t="str">
        <f>IF(AND(B81&lt;=NKC!$N$8,B81&gt;=NKC!$M$8),"x","")</f>
        <v/>
      </c>
      <c r="Z81" s="208"/>
      <c r="AB81" s="195"/>
    </row>
    <row r="82" spans="1:28" s="587" customFormat="1" ht="15.75" customHeight="1">
      <c r="A82" s="201" t="str">
        <f>IF(B82&lt;&gt;"",IF(AND(B82&gt;=_TM1,B82&lt;=_TM2,OR(TH!L82="1111",TH!M82="1111")),TH!D82,""),"")</f>
        <v/>
      </c>
      <c r="B82" s="36">
        <f t="shared" si="3"/>
        <v>1</v>
      </c>
      <c r="C82" s="188">
        <f t="shared" si="4"/>
        <v>41285</v>
      </c>
      <c r="D82" s="181" t="s">
        <v>1017</v>
      </c>
      <c r="E82" s="188">
        <v>41285</v>
      </c>
      <c r="F82" s="189" t="s">
        <v>693</v>
      </c>
      <c r="G82" s="480" t="s">
        <v>701</v>
      </c>
      <c r="H82" s="190" t="s">
        <v>1078</v>
      </c>
      <c r="I82" s="249"/>
      <c r="J82" s="249"/>
      <c r="K82" s="595">
        <v>466126</v>
      </c>
      <c r="L82" s="191" t="s">
        <v>262</v>
      </c>
      <c r="M82" s="191" t="s">
        <v>425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IF(OR(TH!L82=TH!$U$7,M82=TH!$U$7),"x","")</f>
        <v/>
      </c>
      <c r="V82" s="52" t="str">
        <f>IF(AND(B82&gt;='IN-NX'!$P$3,B82&lt;='IN-NX'!$Q$3,'IN-NX'!$D$7=D82,OR(LEFT(L82,2)="15",AND(LEFT(M82,2)&lt;&gt;"15",LEFT(M82,2)&lt;&gt;"33"))),"x","")</f>
        <v/>
      </c>
      <c r="W82" s="52" t="str">
        <f>IF(AND(OR(LEFT(TH!L82,2)="15",LEFT(TH!M82,2)="15"),'152-CT'!$J$8=TH!F82),"x","")</f>
        <v/>
      </c>
      <c r="X82" s="52" t="str">
        <f>IF(AND(OR(LEFT(TH!L82,2)="15",LEFT(TH!M82,2)="15"),TK!$E$7=TH!F82),"x","")</f>
        <v/>
      </c>
      <c r="Y82" s="52" t="str">
        <f>IF(AND(B82&lt;=NKC!$N$8,B82&gt;=NKC!$M$8),"x","")</f>
        <v/>
      </c>
      <c r="Z82" s="208"/>
      <c r="AA82" s="587" t="str">
        <f>IF(VLOOKUP(H82,DS_131,1,0)&lt;&gt;"","","x")</f>
        <v/>
      </c>
      <c r="AB82" s="195"/>
    </row>
    <row r="83" spans="1:28" s="587" customFormat="1" ht="15.75" customHeight="1">
      <c r="A83" s="201" t="str">
        <f>IF(B83&lt;&gt;"",IF(AND(B83&gt;=_TM1,B83&lt;=_TM2,OR(TH!L83="1111",TH!M83="1111")),TH!D83,""),"")</f>
        <v/>
      </c>
      <c r="B83" s="36">
        <f t="shared" si="3"/>
        <v>1</v>
      </c>
      <c r="C83" s="188">
        <f t="shared" si="4"/>
        <v>41286</v>
      </c>
      <c r="D83" s="181" t="s">
        <v>410</v>
      </c>
      <c r="E83" s="188">
        <v>41286</v>
      </c>
      <c r="F83" s="189" t="s">
        <v>577</v>
      </c>
      <c r="G83" s="657" t="s">
        <v>578</v>
      </c>
      <c r="H83" s="190" t="s">
        <v>554</v>
      </c>
      <c r="I83" s="249">
        <v>275</v>
      </c>
      <c r="J83" s="249">
        <v>19270</v>
      </c>
      <c r="K83" s="38">
        <f>ROUND(I83*J83,0)</f>
        <v>5299250</v>
      </c>
      <c r="L83" s="191" t="s">
        <v>156</v>
      </c>
      <c r="M83" s="191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IF(OR(TH!L83=TH!$U$7,M83=TH!$U$7),"x","")</f>
        <v/>
      </c>
      <c r="V83" s="52" t="str">
        <f>IF(AND(B83&gt;='IN-NX'!$P$3,B83&lt;='IN-NX'!$Q$3,'IN-NX'!$D$7=D83,OR(LEFT(L83,2)="15",AND(LEFT(M83,2)&lt;&gt;"15",LEFT(M83,2)&lt;&gt;"33"))),"x","")</f>
        <v/>
      </c>
      <c r="W83" s="52" t="str">
        <f>IF(AND(OR(LEFT(TH!L83,2)="15",LEFT(TH!M83,2)="15"),'152-CT'!$J$8=TH!F83),"x","")</f>
        <v/>
      </c>
      <c r="X83" s="52" t="str">
        <f>IF(AND(OR(LEFT(TH!L83,2)="15",LEFT(TH!M83,2)="15"),TK!$E$7=TH!F83),"x","")</f>
        <v/>
      </c>
      <c r="Y83" s="52" t="str">
        <f>IF(AND(B83&lt;=NKC!$N$8,B83&gt;=NKC!$M$8),"x","")</f>
        <v/>
      </c>
      <c r="Z83" s="587">
        <v>1</v>
      </c>
      <c r="AA83" s="195"/>
      <c r="AB83" s="195"/>
    </row>
    <row r="84" spans="1:28" s="587" customFormat="1" ht="15.75" customHeight="1">
      <c r="A84" s="201" t="str">
        <f>IF(B84&lt;&gt;"",IF(AND(B84&gt;=_TM1,B84&lt;=_TM2,OR(TH!L84="1111",TH!M84="1111")),TH!D84,""),"")</f>
        <v/>
      </c>
      <c r="B84" s="36">
        <f t="shared" ref="B84:B144" si="6">IF(C84&lt;&gt;"",MONTH(C84),"")</f>
        <v>1</v>
      </c>
      <c r="C84" s="188">
        <f t="shared" si="4"/>
        <v>41286</v>
      </c>
      <c r="D84" s="181" t="s">
        <v>410</v>
      </c>
      <c r="E84" s="188">
        <v>41286</v>
      </c>
      <c r="F84" s="189" t="s">
        <v>579</v>
      </c>
      <c r="G84" s="657" t="s">
        <v>578</v>
      </c>
      <c r="H84" s="190" t="s">
        <v>554</v>
      </c>
      <c r="I84" s="249">
        <v>259</v>
      </c>
      <c r="J84" s="249">
        <v>17473</v>
      </c>
      <c r="K84" s="38">
        <f>ROUND(I84*J84,0)</f>
        <v>4525507</v>
      </c>
      <c r="L84" s="191" t="s">
        <v>156</v>
      </c>
      <c r="M84" s="191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IF(OR(TH!L84=TH!$U$7,M84=TH!$U$7),"x","")</f>
        <v/>
      </c>
      <c r="V84" s="52" t="str">
        <f>IF(AND(B84&gt;='IN-NX'!$P$3,B84&lt;='IN-NX'!$Q$3,'IN-NX'!$D$7=D84,OR(LEFT(L84,2)="15",AND(LEFT(M84,2)&lt;&gt;"15",LEFT(M84,2)&lt;&gt;"33"))),"x","")</f>
        <v/>
      </c>
      <c r="W84" s="52" t="str">
        <f>IF(AND(OR(LEFT(TH!L84,2)="15",LEFT(TH!M84,2)="15"),'152-CT'!$J$8=TH!F84),"x","")</f>
        <v/>
      </c>
      <c r="X84" s="52" t="str">
        <f>IF(AND(OR(LEFT(TH!L84,2)="15",LEFT(TH!M84,2)="15"),TK!$E$7=TH!F84),"x","")</f>
        <v/>
      </c>
      <c r="Y84" s="52" t="str">
        <f>IF(AND(B84&lt;=NKC!$N$8,B84&gt;=NKC!$M$8),"x","")</f>
        <v/>
      </c>
      <c r="Z84" s="587">
        <v>1</v>
      </c>
      <c r="AA84" s="195"/>
      <c r="AB84" s="195"/>
    </row>
    <row r="85" spans="1:28" s="587" customFormat="1" ht="15.75" customHeight="1">
      <c r="A85" s="201" t="str">
        <f>IF(B85&lt;&gt;"",IF(AND(B85&gt;=_TM1,B85&lt;=_TM2,OR(TH!L85="1111",TH!M85="1111")),TH!D85,""),"")</f>
        <v/>
      </c>
      <c r="B85" s="36">
        <f t="shared" si="6"/>
        <v>1</v>
      </c>
      <c r="C85" s="188">
        <f t="shared" si="4"/>
        <v>41286</v>
      </c>
      <c r="D85" s="181" t="s">
        <v>410</v>
      </c>
      <c r="E85" s="188">
        <v>41286</v>
      </c>
      <c r="F85" s="189" t="s">
        <v>580</v>
      </c>
      <c r="G85" s="657" t="s">
        <v>578</v>
      </c>
      <c r="H85" s="190" t="s">
        <v>554</v>
      </c>
      <c r="I85" s="249">
        <v>302</v>
      </c>
      <c r="J85" s="249">
        <v>8461</v>
      </c>
      <c r="K85" s="38">
        <f>ROUND(I85*J85,0)</f>
        <v>2555222</v>
      </c>
      <c r="L85" s="191" t="s">
        <v>156</v>
      </c>
      <c r="M85" s="191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IF(OR(TH!L85=TH!$U$7,M85=TH!$U$7),"x","")</f>
        <v/>
      </c>
      <c r="V85" s="52" t="str">
        <f>IF(AND(B85&gt;='IN-NX'!$P$3,B85&lt;='IN-NX'!$Q$3,'IN-NX'!$D$7=D85,OR(LEFT(L85,2)="15",AND(LEFT(M85,2)&lt;&gt;"15",LEFT(M85,2)&lt;&gt;"33"))),"x","")</f>
        <v/>
      </c>
      <c r="W85" s="52" t="str">
        <f>IF(AND(OR(LEFT(TH!L85,2)="15",LEFT(TH!M85,2)="15"),'152-CT'!$J$8=TH!F85),"x","")</f>
        <v/>
      </c>
      <c r="X85" s="52" t="str">
        <f>IF(AND(OR(LEFT(TH!L85,2)="15",LEFT(TH!M85,2)="15"),TK!$E$7=TH!F85),"x","")</f>
        <v/>
      </c>
      <c r="Y85" s="52" t="str">
        <f>IF(AND(B85&lt;=NKC!$N$8,B85&gt;=NKC!$M$8),"x","")</f>
        <v/>
      </c>
      <c r="Z85" s="587">
        <v>1</v>
      </c>
      <c r="AA85" s="195"/>
      <c r="AB85" s="195"/>
    </row>
    <row r="86" spans="1:28" s="587" customFormat="1" ht="15.75" customHeight="1">
      <c r="A86" s="201" t="str">
        <f>IF(B86&lt;&gt;"",IF(AND(B86&gt;=_TM1,B86&lt;=_TM2,OR(TH!L86="1111",TH!M86="1111")),TH!D86,""),"")</f>
        <v/>
      </c>
      <c r="B86" s="36">
        <f t="shared" si="6"/>
        <v>1</v>
      </c>
      <c r="C86" s="188">
        <f t="shared" si="4"/>
        <v>41286</v>
      </c>
      <c r="D86" s="181" t="s">
        <v>410</v>
      </c>
      <c r="E86" s="188">
        <v>41286</v>
      </c>
      <c r="F86" s="189" t="s">
        <v>557</v>
      </c>
      <c r="G86" s="657" t="s">
        <v>578</v>
      </c>
      <c r="H86" s="190" t="s">
        <v>554</v>
      </c>
      <c r="I86" s="249"/>
      <c r="J86" s="249"/>
      <c r="K86" s="38">
        <v>1237998</v>
      </c>
      <c r="L86" s="191" t="s">
        <v>9</v>
      </c>
      <c r="M86" s="191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IF(OR(TH!L86=TH!$U$7,M86=TH!$U$7),"x","")</f>
        <v/>
      </c>
      <c r="V86" s="52" t="str">
        <f>IF(AND(B86&gt;='IN-NX'!$P$3,B86&lt;='IN-NX'!$Q$3,'IN-NX'!$D$7=D86,OR(LEFT(L86,2)="15",AND(LEFT(M86,2)&lt;&gt;"15",LEFT(M86,2)&lt;&gt;"33"))),"x","")</f>
        <v/>
      </c>
      <c r="W86" s="52" t="str">
        <f>IF(AND(OR(LEFT(TH!L86,2)="15",LEFT(TH!M86,2)="15"),'152-CT'!$J$8=TH!F86),"x","")</f>
        <v/>
      </c>
      <c r="X86" s="52" t="str">
        <f>IF(AND(OR(LEFT(TH!L86,2)="15",LEFT(TH!M86,2)="15"),TK!$E$7=TH!F86),"x","")</f>
        <v/>
      </c>
      <c r="Y86" s="52" t="str">
        <f>IF(AND(B86&lt;=NKC!$N$8,B86&gt;=NKC!$M$8),"x","")</f>
        <v/>
      </c>
      <c r="Z86" s="587">
        <v>1</v>
      </c>
      <c r="AA86" s="195"/>
      <c r="AB86" s="195"/>
    </row>
    <row r="87" spans="1:28" s="587" customFormat="1" ht="15.75" customHeight="1">
      <c r="A87" s="201" t="str">
        <f>IF(B87&lt;&gt;"",IF(AND(B87&gt;=_TM1,B87&lt;=_TM2,OR(TH!L87="1111",TH!M87="1111")),TH!D87,""),"")</f>
        <v/>
      </c>
      <c r="B87" s="36">
        <f t="shared" si="6"/>
        <v>1</v>
      </c>
      <c r="C87" s="188">
        <f t="shared" si="4"/>
        <v>41286</v>
      </c>
      <c r="D87" s="181" t="s">
        <v>389</v>
      </c>
      <c r="E87" s="188">
        <v>41286</v>
      </c>
      <c r="F87" s="189" t="s">
        <v>367</v>
      </c>
      <c r="G87" s="657" t="s">
        <v>578</v>
      </c>
      <c r="H87" s="190" t="s">
        <v>554</v>
      </c>
      <c r="I87" s="249"/>
      <c r="J87" s="249"/>
      <c r="K87" s="38">
        <v>13617977</v>
      </c>
      <c r="L87" s="191" t="s">
        <v>8</v>
      </c>
      <c r="M87" s="191" t="s">
        <v>47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IF(OR(TH!L87=TH!$U$7,M87=TH!$U$7),"x","")</f>
        <v/>
      </c>
      <c r="V87" s="52" t="str">
        <f>IF(AND(B87&gt;='IN-NX'!$P$3,B87&lt;='IN-NX'!$Q$3,'IN-NX'!$D$7=D87,OR(LEFT(L87,2)="15",AND(LEFT(M87,2)&lt;&gt;"15",LEFT(M87,2)&lt;&gt;"33"))),"x","")</f>
        <v/>
      </c>
      <c r="W87" s="52" t="str">
        <f>IF(AND(OR(LEFT(TH!L87,2)="15",LEFT(TH!M87,2)="15"),'152-CT'!$J$8=TH!F87),"x","")</f>
        <v/>
      </c>
      <c r="X87" s="52" t="str">
        <f>IF(AND(OR(LEFT(TH!L87,2)="15",LEFT(TH!M87,2)="15"),TK!$E$7=TH!F87),"x","")</f>
        <v/>
      </c>
      <c r="Y87" s="52" t="str">
        <f>IF(AND(B87&lt;=NKC!$N$8,B87&gt;=NKC!$M$8),"x","")</f>
        <v/>
      </c>
      <c r="Z87" s="208"/>
      <c r="AA87" s="195"/>
      <c r="AB87" s="195"/>
    </row>
    <row r="88" spans="1:28" s="587" customFormat="1" ht="15.75" customHeight="1">
      <c r="A88" s="201" t="str">
        <f>IF(B88&lt;&gt;"",IF(AND(B88&gt;=_TM1,B88&lt;=_TM2,OR(TH!L88="1111",TH!M88="1111")),TH!D88,""),"")</f>
        <v/>
      </c>
      <c r="B88" s="36">
        <f t="shared" si="6"/>
        <v>1</v>
      </c>
      <c r="C88" s="188">
        <f t="shared" ref="C88:C148" si="7">E88</f>
        <v>41288</v>
      </c>
      <c r="D88" s="181" t="s">
        <v>1018</v>
      </c>
      <c r="E88" s="188">
        <v>41288</v>
      </c>
      <c r="F88" s="189" t="s">
        <v>708</v>
      </c>
      <c r="G88" s="480" t="s">
        <v>709</v>
      </c>
      <c r="H88" s="7" t="s">
        <v>710</v>
      </c>
      <c r="I88" s="249">
        <v>820</v>
      </c>
      <c r="J88" s="249">
        <v>8000</v>
      </c>
      <c r="K88" s="38">
        <f>ROUND(I88*J88,0)</f>
        <v>6560000</v>
      </c>
      <c r="L88" s="191" t="s">
        <v>262</v>
      </c>
      <c r="M88" s="191" t="s">
        <v>172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IF(OR(TH!L88=TH!$U$7,M88=TH!$U$7),"x","")</f>
        <v/>
      </c>
      <c r="V88" s="52" t="str">
        <f>IF(AND(B88&gt;='IN-NX'!$P$3,B88&lt;='IN-NX'!$Q$3,'IN-NX'!$D$7=D88,OR(LEFT(L88,2)="15",AND(LEFT(M88,2)&lt;&gt;"15",LEFT(M88,2)&lt;&gt;"33"))),"x","")</f>
        <v/>
      </c>
      <c r="W88" s="52" t="str">
        <f>IF(AND(OR(LEFT(TH!L88,2)="15",LEFT(TH!M88,2)="15"),'152-CT'!$J$8=TH!F88),"x","")</f>
        <v/>
      </c>
      <c r="X88" s="52" t="str">
        <f>IF(AND(OR(LEFT(TH!L88,2)="15",LEFT(TH!M88,2)="15"),TK!$E$7=TH!F88),"x","")</f>
        <v/>
      </c>
      <c r="Y88" s="52" t="str">
        <f>IF(AND(B88&lt;=NKC!$N$8,B88&gt;=NKC!$M$8),"x","")</f>
        <v/>
      </c>
      <c r="Z88" s="208"/>
      <c r="AB88" s="195"/>
    </row>
    <row r="89" spans="1:28" s="587" customFormat="1" ht="15.75" customHeight="1">
      <c r="A89" s="201" t="str">
        <f>IF(B89&lt;&gt;"",IF(AND(B89&gt;=_TM1,B89&lt;=_TM2,OR(TH!L89="1111",TH!M89="1111")),TH!D89,""),"")</f>
        <v/>
      </c>
      <c r="B89" s="36">
        <f t="shared" si="6"/>
        <v>1</v>
      </c>
      <c r="C89" s="188">
        <f t="shared" si="7"/>
        <v>41288</v>
      </c>
      <c r="D89" s="181" t="s">
        <v>1018</v>
      </c>
      <c r="E89" s="181">
        <v>41288</v>
      </c>
      <c r="F89" s="186" t="s">
        <v>693</v>
      </c>
      <c r="G89" s="597" t="s">
        <v>709</v>
      </c>
      <c r="H89" s="7" t="s">
        <v>710</v>
      </c>
      <c r="I89" s="249"/>
      <c r="J89" s="249"/>
      <c r="K89" s="595">
        <v>656000</v>
      </c>
      <c r="L89" s="596" t="s">
        <v>262</v>
      </c>
      <c r="M89" s="191" t="s">
        <v>425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IF(OR(TH!L89=TH!$U$7,M89=TH!$U$7),"x","")</f>
        <v/>
      </c>
      <c r="V89" s="52" t="str">
        <f>IF(AND(B89&gt;='IN-NX'!$P$3,B89&lt;='IN-NX'!$Q$3,'IN-NX'!$D$7=D89,OR(LEFT(L89,2)="15",AND(LEFT(M89,2)&lt;&gt;"15",LEFT(M89,2)&lt;&gt;"33"))),"x","")</f>
        <v/>
      </c>
      <c r="W89" s="52" t="str">
        <f>IF(AND(OR(LEFT(TH!L89,2)="15",LEFT(TH!M89,2)="15"),'152-CT'!$J$8=TH!F89),"x","")</f>
        <v/>
      </c>
      <c r="X89" s="52" t="str">
        <f>IF(AND(OR(LEFT(TH!L89,2)="15",LEFT(TH!M89,2)="15"),TK!$E$7=TH!F89),"x","")</f>
        <v/>
      </c>
      <c r="Y89" s="52" t="str">
        <f>IF(AND(B89&lt;=NKC!$N$8,B89&gt;=NKC!$M$8),"x","")</f>
        <v/>
      </c>
      <c r="AA89" s="587" t="str">
        <f>IF(VLOOKUP(H89,DS_131,1,0)&lt;&gt;"","","x")</f>
        <v/>
      </c>
      <c r="AB89" s="195"/>
    </row>
    <row r="90" spans="1:28" s="587" customFormat="1" ht="15.75" customHeight="1">
      <c r="A90" s="201" t="str">
        <f>IF(B90&lt;&gt;"",IF(AND(B90&gt;=_TM1,B90&lt;=_TM2,OR(TH!L90="1111",TH!M90="1111")),TH!D90,""),"")</f>
        <v/>
      </c>
      <c r="B90" s="36">
        <f t="shared" si="6"/>
        <v>1</v>
      </c>
      <c r="C90" s="181">
        <f t="shared" si="7"/>
        <v>41289</v>
      </c>
      <c r="D90" s="181" t="s">
        <v>335</v>
      </c>
      <c r="E90" s="181">
        <v>41289</v>
      </c>
      <c r="F90" s="186" t="s">
        <v>337</v>
      </c>
      <c r="G90" s="597" t="s">
        <v>332</v>
      </c>
      <c r="H90" s="7" t="s">
        <v>470</v>
      </c>
      <c r="I90" s="249"/>
      <c r="J90" s="249"/>
      <c r="K90" s="595">
        <v>9537088</v>
      </c>
      <c r="L90" s="596" t="s">
        <v>24</v>
      </c>
      <c r="M90" s="596" t="s">
        <v>262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IF(OR(TH!L90=TH!$U$7,M90=TH!$U$7),"x","")</f>
        <v/>
      </c>
      <c r="V90" s="52" t="str">
        <f>IF(AND(B90&gt;='IN-NX'!$P$3,B90&lt;='IN-NX'!$Q$3,'IN-NX'!$D$7=D90,OR(LEFT(L90,2)="15",AND(LEFT(M90,2)&lt;&gt;"15",LEFT(M90,2)&lt;&gt;"33"))),"x","")</f>
        <v/>
      </c>
      <c r="W90" s="52" t="str">
        <f>IF(AND(OR(LEFT(TH!L90,2)="15",LEFT(TH!M90,2)="15"),'152-CT'!$J$8=TH!F90),"x","")</f>
        <v/>
      </c>
      <c r="X90" s="52" t="str">
        <f>IF(AND(OR(LEFT(TH!L90,2)="15",LEFT(TH!M90,2)="15"),TK!$E$7=TH!F90),"x","")</f>
        <v/>
      </c>
      <c r="Y90" s="52" t="str">
        <f>IF(AND(B90&lt;=NKC!$N$8,B90&gt;=NKC!$M$8),"x","")</f>
        <v/>
      </c>
    </row>
    <row r="91" spans="1:28" s="587" customFormat="1" ht="15.75" customHeight="1">
      <c r="A91" s="201" t="str">
        <f>IF(B91&lt;&gt;"",IF(AND(B91&gt;=_TM1,B91&lt;=_TM2,OR(TH!L91="1111",TH!M91="1111")),TH!D91,""),"")</f>
        <v/>
      </c>
      <c r="B91" s="36">
        <f t="shared" si="6"/>
        <v>1</v>
      </c>
      <c r="C91" s="188">
        <f t="shared" si="7"/>
        <v>41290</v>
      </c>
      <c r="D91" s="181" t="s">
        <v>411</v>
      </c>
      <c r="E91" s="757">
        <v>41290</v>
      </c>
      <c r="F91" s="189" t="s">
        <v>581</v>
      </c>
      <c r="G91" s="480" t="s">
        <v>582</v>
      </c>
      <c r="H91" s="190" t="s">
        <v>554</v>
      </c>
      <c r="I91" s="249">
        <v>130</v>
      </c>
      <c r="J91" s="249">
        <v>7274</v>
      </c>
      <c r="K91" s="38">
        <f t="shared" ref="K91:K97" si="8">ROUND(I91*J91,0)</f>
        <v>945620</v>
      </c>
      <c r="L91" s="191" t="s">
        <v>156</v>
      </c>
      <c r="M91" s="191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IF(OR(TH!L91=TH!$U$7,M91=TH!$U$7),"x","")</f>
        <v/>
      </c>
      <c r="V91" s="52" t="str">
        <f>IF(AND(B91&gt;='IN-NX'!$P$3,B91&lt;='IN-NX'!$Q$3,'IN-NX'!$D$7=D91,OR(LEFT(L91,2)="15",AND(LEFT(M91,2)&lt;&gt;"15",LEFT(M91,2)&lt;&gt;"33"))),"x","")</f>
        <v/>
      </c>
      <c r="W91" s="52" t="str">
        <f>IF(AND(OR(LEFT(TH!L91,2)="15",LEFT(TH!M91,2)="15"),'152-CT'!$J$8=TH!F91),"x","")</f>
        <v/>
      </c>
      <c r="X91" s="52" t="str">
        <f>IF(AND(OR(LEFT(TH!L91,2)="15",LEFT(TH!M91,2)="15"),TK!$E$7=TH!F91),"x","")</f>
        <v/>
      </c>
      <c r="Y91" s="52" t="str">
        <f>IF(AND(B91&lt;=NKC!$N$8,B91&gt;=NKC!$M$8),"x","")</f>
        <v/>
      </c>
      <c r="Z91" s="208">
        <v>1</v>
      </c>
      <c r="AA91" s="195"/>
      <c r="AB91" s="195"/>
    </row>
    <row r="92" spans="1:28" s="587" customFormat="1" ht="15.75" customHeight="1">
      <c r="A92" s="201" t="str">
        <f>IF(B92&lt;&gt;"",IF(AND(B92&gt;=_TM1,B92&lt;=_TM2,OR(TH!L92="1111",TH!M92="1111")),TH!D92,""),"")</f>
        <v/>
      </c>
      <c r="B92" s="36">
        <f t="shared" si="6"/>
        <v>1</v>
      </c>
      <c r="C92" s="188">
        <f t="shared" si="7"/>
        <v>41290</v>
      </c>
      <c r="D92" s="181" t="s">
        <v>411</v>
      </c>
      <c r="E92" s="757">
        <v>41290</v>
      </c>
      <c r="F92" s="189" t="s">
        <v>583</v>
      </c>
      <c r="G92" s="480" t="s">
        <v>582</v>
      </c>
      <c r="H92" s="190" t="s">
        <v>554</v>
      </c>
      <c r="I92" s="249">
        <v>106</v>
      </c>
      <c r="J92" s="249">
        <v>10886</v>
      </c>
      <c r="K92" s="38">
        <f t="shared" si="8"/>
        <v>1153916</v>
      </c>
      <c r="L92" s="191" t="s">
        <v>156</v>
      </c>
      <c r="M92" s="191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IF(OR(TH!L92=TH!$U$7,M92=TH!$U$7),"x","")</f>
        <v/>
      </c>
      <c r="V92" s="52" t="str">
        <f>IF(AND(B92&gt;='IN-NX'!$P$3,B92&lt;='IN-NX'!$Q$3,'IN-NX'!$D$7=D92,OR(LEFT(L92,2)="15",AND(LEFT(M92,2)&lt;&gt;"15",LEFT(M92,2)&lt;&gt;"33"))),"x","")</f>
        <v/>
      </c>
      <c r="W92" s="52" t="str">
        <f>IF(AND(OR(LEFT(TH!L92,2)="15",LEFT(TH!M92,2)="15"),'152-CT'!$J$8=TH!F92),"x","")</f>
        <v/>
      </c>
      <c r="X92" s="52" t="str">
        <f>IF(AND(OR(LEFT(TH!L92,2)="15",LEFT(TH!M92,2)="15"),TK!$E$7=TH!F92),"x","")</f>
        <v/>
      </c>
      <c r="Y92" s="52" t="str">
        <f>IF(AND(B92&lt;=NKC!$N$8,B92&gt;=NKC!$M$8),"x","")</f>
        <v/>
      </c>
      <c r="Z92" s="208">
        <v>1</v>
      </c>
      <c r="AA92" s="195"/>
      <c r="AB92" s="195"/>
    </row>
    <row r="93" spans="1:28" s="587" customFormat="1" ht="15.75" customHeight="1">
      <c r="A93" s="201" t="str">
        <f>IF(B93&lt;&gt;"",IF(AND(B93&gt;=_TM1,B93&lt;=_TM2,OR(TH!L93="1111",TH!M93="1111")),TH!D93,""),"")</f>
        <v/>
      </c>
      <c r="B93" s="36">
        <f t="shared" si="6"/>
        <v>1</v>
      </c>
      <c r="C93" s="188">
        <f t="shared" si="7"/>
        <v>41290</v>
      </c>
      <c r="D93" s="181" t="s">
        <v>411</v>
      </c>
      <c r="E93" s="757">
        <v>41290</v>
      </c>
      <c r="F93" s="189" t="s">
        <v>584</v>
      </c>
      <c r="G93" s="480" t="s">
        <v>582</v>
      </c>
      <c r="H93" s="190" t="s">
        <v>554</v>
      </c>
      <c r="I93" s="250">
        <v>101</v>
      </c>
      <c r="J93" s="250">
        <v>9324</v>
      </c>
      <c r="K93" s="38">
        <f t="shared" si="8"/>
        <v>941724</v>
      </c>
      <c r="L93" s="191" t="s">
        <v>156</v>
      </c>
      <c r="M93" s="191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IF(OR(TH!L93=TH!$U$7,M93=TH!$U$7),"x","")</f>
        <v/>
      </c>
      <c r="V93" s="52" t="str">
        <f>IF(AND(B93&gt;='IN-NX'!$P$3,B93&lt;='IN-NX'!$Q$3,'IN-NX'!$D$7=D93,OR(LEFT(L93,2)="15",AND(LEFT(M93,2)&lt;&gt;"15",LEFT(M93,2)&lt;&gt;"33"))),"x","")</f>
        <v/>
      </c>
      <c r="W93" s="52" t="str">
        <f>IF(AND(OR(LEFT(TH!L93,2)="15",LEFT(TH!M93,2)="15"),'152-CT'!$J$8=TH!F93),"x","")</f>
        <v/>
      </c>
      <c r="X93" s="52" t="str">
        <f>IF(AND(OR(LEFT(TH!L93,2)="15",LEFT(TH!M93,2)="15"),TK!$E$7=TH!F93),"x","")</f>
        <v/>
      </c>
      <c r="Y93" s="52" t="str">
        <f>IF(AND(B93&lt;=NKC!$N$8,B93&gt;=NKC!$M$8),"x","")</f>
        <v/>
      </c>
      <c r="Z93" s="208">
        <v>1</v>
      </c>
      <c r="AA93" s="195"/>
      <c r="AB93" s="195"/>
    </row>
    <row r="94" spans="1:28" s="587" customFormat="1" ht="15.75" customHeight="1">
      <c r="A94" s="201" t="str">
        <f>IF(B94&lt;&gt;"",IF(AND(B94&gt;=_TM1,B94&lt;=_TM2,OR(TH!L94="1111",TH!M94="1111")),TH!D94,""),"")</f>
        <v/>
      </c>
      <c r="B94" s="36">
        <f t="shared" si="6"/>
        <v>1</v>
      </c>
      <c r="C94" s="188">
        <f t="shared" si="7"/>
        <v>41290</v>
      </c>
      <c r="D94" s="181" t="s">
        <v>411</v>
      </c>
      <c r="E94" s="757">
        <v>41290</v>
      </c>
      <c r="F94" s="189" t="s">
        <v>585</v>
      </c>
      <c r="G94" s="480" t="s">
        <v>582</v>
      </c>
      <c r="H94" s="190" t="s">
        <v>554</v>
      </c>
      <c r="I94" s="249">
        <v>106</v>
      </c>
      <c r="J94" s="249">
        <v>12528</v>
      </c>
      <c r="K94" s="38">
        <f t="shared" si="8"/>
        <v>1327968</v>
      </c>
      <c r="L94" s="191" t="s">
        <v>156</v>
      </c>
      <c r="M94" s="191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IF(OR(TH!L94=TH!$U$7,M94=TH!$U$7),"x","")</f>
        <v/>
      </c>
      <c r="V94" s="52" t="str">
        <f>IF(AND(B94&gt;='IN-NX'!$P$3,B94&lt;='IN-NX'!$Q$3,'IN-NX'!$D$7=D94,OR(LEFT(L94,2)="15",AND(LEFT(M94,2)&lt;&gt;"15",LEFT(M94,2)&lt;&gt;"33"))),"x","")</f>
        <v/>
      </c>
      <c r="W94" s="52" t="str">
        <f>IF(AND(OR(LEFT(TH!L94,2)="15",LEFT(TH!M94,2)="15"),'152-CT'!$J$8=TH!F94),"x","")</f>
        <v/>
      </c>
      <c r="X94" s="52" t="str">
        <f>IF(AND(OR(LEFT(TH!L94,2)="15",LEFT(TH!M94,2)="15"),TK!$E$7=TH!F94),"x","")</f>
        <v/>
      </c>
      <c r="Y94" s="52" t="str">
        <f>IF(AND(B94&lt;=NKC!$N$8,B94&gt;=NKC!$M$8),"x","")</f>
        <v/>
      </c>
      <c r="Z94" s="208">
        <v>1</v>
      </c>
      <c r="AA94" s="195"/>
      <c r="AB94" s="195"/>
    </row>
    <row r="95" spans="1:28" s="587" customFormat="1" ht="15.75" customHeight="1">
      <c r="A95" s="201" t="str">
        <f>IF(B95&lt;&gt;"",IF(AND(B95&gt;=_TM1,B95&lt;=_TM2,OR(TH!L95="1111",TH!M95="1111")),TH!D95,""),"")</f>
        <v/>
      </c>
      <c r="B95" s="36">
        <f t="shared" si="6"/>
        <v>1</v>
      </c>
      <c r="C95" s="188">
        <f t="shared" si="7"/>
        <v>41290</v>
      </c>
      <c r="D95" s="181" t="s">
        <v>411</v>
      </c>
      <c r="E95" s="757">
        <v>41290</v>
      </c>
      <c r="F95" s="189" t="s">
        <v>586</v>
      </c>
      <c r="G95" s="480" t="s">
        <v>582</v>
      </c>
      <c r="H95" s="190" t="s">
        <v>554</v>
      </c>
      <c r="I95" s="249">
        <v>149</v>
      </c>
      <c r="J95" s="249">
        <v>12010</v>
      </c>
      <c r="K95" s="38">
        <f t="shared" si="8"/>
        <v>1789490</v>
      </c>
      <c r="L95" s="191" t="s">
        <v>156</v>
      </c>
      <c r="M95" s="191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IF(OR(TH!L95=TH!$U$7,M95=TH!$U$7),"x","")</f>
        <v/>
      </c>
      <c r="V95" s="52" t="str">
        <f>IF(AND(B95&gt;='IN-NX'!$P$3,B95&lt;='IN-NX'!$Q$3,'IN-NX'!$D$7=D95,OR(LEFT(L95,2)="15",AND(LEFT(M95,2)&lt;&gt;"15",LEFT(M95,2)&lt;&gt;"33"))),"x","")</f>
        <v/>
      </c>
      <c r="W95" s="52" t="str">
        <f>IF(AND(OR(LEFT(TH!L95,2)="15",LEFT(TH!M95,2)="15"),'152-CT'!$J$8=TH!F95),"x","")</f>
        <v/>
      </c>
      <c r="X95" s="52" t="str">
        <f>IF(AND(OR(LEFT(TH!L95,2)="15",LEFT(TH!M95,2)="15"),TK!$E$7=TH!F95),"x","")</f>
        <v/>
      </c>
      <c r="Y95" s="52" t="str">
        <f>IF(AND(B95&lt;=NKC!$N$8,B95&gt;=NKC!$M$8),"x","")</f>
        <v/>
      </c>
      <c r="Z95" s="208">
        <v>1</v>
      </c>
      <c r="AA95" s="195"/>
      <c r="AB95" s="195"/>
    </row>
    <row r="96" spans="1:28" s="587" customFormat="1" ht="15.75" customHeight="1">
      <c r="A96" s="201" t="str">
        <f>IF(B96&lt;&gt;"",IF(AND(B96&gt;=_TM1,B96&lt;=_TM2,OR(TH!L96="1111",TH!M96="1111")),TH!D96,""),"")</f>
        <v/>
      </c>
      <c r="B96" s="36">
        <f t="shared" si="6"/>
        <v>1</v>
      </c>
      <c r="C96" s="188">
        <f t="shared" si="7"/>
        <v>41290</v>
      </c>
      <c r="D96" s="181" t="s">
        <v>411</v>
      </c>
      <c r="E96" s="757">
        <v>41290</v>
      </c>
      <c r="F96" s="189" t="s">
        <v>587</v>
      </c>
      <c r="G96" s="480" t="s">
        <v>582</v>
      </c>
      <c r="H96" s="190" t="s">
        <v>554</v>
      </c>
      <c r="I96" s="249">
        <v>101</v>
      </c>
      <c r="J96" s="249">
        <v>22982</v>
      </c>
      <c r="K96" s="38">
        <f t="shared" si="8"/>
        <v>2321182</v>
      </c>
      <c r="L96" s="191" t="s">
        <v>156</v>
      </c>
      <c r="M96" s="191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IF(OR(TH!L96=TH!$U$7,M96=TH!$U$7),"x","")</f>
        <v/>
      </c>
      <c r="V96" s="52" t="str">
        <f>IF(AND(B96&gt;='IN-NX'!$P$3,B96&lt;='IN-NX'!$Q$3,'IN-NX'!$D$7=D96,OR(LEFT(L96,2)="15",AND(LEFT(M96,2)&lt;&gt;"15",LEFT(M96,2)&lt;&gt;"33"))),"x","")</f>
        <v/>
      </c>
      <c r="W96" s="52" t="str">
        <f>IF(AND(OR(LEFT(TH!L96,2)="15",LEFT(TH!M96,2)="15"),'152-CT'!$J$8=TH!F96),"x","")</f>
        <v/>
      </c>
      <c r="X96" s="52" t="str">
        <f>IF(AND(OR(LEFT(TH!L96,2)="15",LEFT(TH!M96,2)="15"),TK!$E$7=TH!F96),"x","")</f>
        <v/>
      </c>
      <c r="Y96" s="52" t="str">
        <f>IF(AND(B96&lt;=NKC!$N$8,B96&gt;=NKC!$M$8),"x","")</f>
        <v/>
      </c>
      <c r="Z96" s="208">
        <v>1</v>
      </c>
      <c r="AA96" s="195"/>
      <c r="AB96" s="195"/>
    </row>
    <row r="97" spans="1:28" s="587" customFormat="1" ht="15.75" customHeight="1">
      <c r="A97" s="201" t="str">
        <f>IF(B97&lt;&gt;"",IF(AND(B97&gt;=_TM1,B97&lt;=_TM2,OR(TH!L97="1111",TH!M97="1111")),TH!D97,""),"")</f>
        <v/>
      </c>
      <c r="B97" s="36">
        <f t="shared" si="6"/>
        <v>1</v>
      </c>
      <c r="C97" s="188">
        <f t="shared" si="7"/>
        <v>41290</v>
      </c>
      <c r="D97" s="181" t="s">
        <v>411</v>
      </c>
      <c r="E97" s="757">
        <v>41290</v>
      </c>
      <c r="F97" s="189" t="s">
        <v>588</v>
      </c>
      <c r="G97" s="480" t="s">
        <v>582</v>
      </c>
      <c r="H97" s="190" t="s">
        <v>554</v>
      </c>
      <c r="I97" s="249">
        <v>203</v>
      </c>
      <c r="J97" s="249">
        <v>22277</v>
      </c>
      <c r="K97" s="38">
        <f t="shared" si="8"/>
        <v>4522231</v>
      </c>
      <c r="L97" s="191" t="s">
        <v>156</v>
      </c>
      <c r="M97" s="191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IF(OR(TH!L97=TH!$U$7,M97=TH!$U$7),"x","")</f>
        <v/>
      </c>
      <c r="V97" s="52" t="str">
        <f>IF(AND(B97&gt;='IN-NX'!$P$3,B97&lt;='IN-NX'!$Q$3,'IN-NX'!$D$7=D97,OR(LEFT(L97,2)="15",AND(LEFT(M97,2)&lt;&gt;"15",LEFT(M97,2)&lt;&gt;"33"))),"x","")</f>
        <v/>
      </c>
      <c r="W97" s="52" t="str">
        <f>IF(AND(OR(LEFT(TH!L97,2)="15",LEFT(TH!M97,2)="15"),'152-CT'!$J$8=TH!F97),"x","")</f>
        <v/>
      </c>
      <c r="X97" s="52" t="str">
        <f>IF(AND(OR(LEFT(TH!L97,2)="15",LEFT(TH!M97,2)="15"),TK!$E$7=TH!F97),"x","")</f>
        <v/>
      </c>
      <c r="Y97" s="52" t="str">
        <f>IF(AND(B97&lt;=NKC!$N$8,B97&gt;=NKC!$M$8),"x","")</f>
        <v/>
      </c>
      <c r="Z97" s="208">
        <v>1</v>
      </c>
      <c r="AA97" s="195"/>
      <c r="AB97" s="195"/>
    </row>
    <row r="98" spans="1:28" s="587" customFormat="1" ht="15.75" customHeight="1">
      <c r="A98" s="201" t="str">
        <f>IF(B98&lt;&gt;"",IF(AND(B98&gt;=_TM1,B98&lt;=_TM2,OR(TH!L98="1111",TH!M98="1111")),TH!D98,""),"")</f>
        <v/>
      </c>
      <c r="B98" s="36">
        <f t="shared" si="6"/>
        <v>1</v>
      </c>
      <c r="C98" s="188">
        <f t="shared" si="7"/>
        <v>41290</v>
      </c>
      <c r="D98" s="181" t="s">
        <v>411</v>
      </c>
      <c r="E98" s="757">
        <v>41290</v>
      </c>
      <c r="F98" s="189" t="s">
        <v>557</v>
      </c>
      <c r="G98" s="480" t="s">
        <v>582</v>
      </c>
      <c r="H98" s="190" t="s">
        <v>554</v>
      </c>
      <c r="I98" s="249"/>
      <c r="J98" s="249"/>
      <c r="K98" s="38">
        <v>1300213</v>
      </c>
      <c r="L98" s="191" t="s">
        <v>9</v>
      </c>
      <c r="M98" s="191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IF(OR(TH!L98=TH!$U$7,M98=TH!$U$7),"x","")</f>
        <v/>
      </c>
      <c r="V98" s="52" t="str">
        <f>IF(AND(B98&gt;='IN-NX'!$P$3,B98&lt;='IN-NX'!$Q$3,'IN-NX'!$D$7=D98,OR(LEFT(L98,2)="15",AND(LEFT(M98,2)&lt;&gt;"15",LEFT(M98,2)&lt;&gt;"33"))),"x","")</f>
        <v/>
      </c>
      <c r="W98" s="52" t="str">
        <f>IF(AND(OR(LEFT(TH!L98,2)="15",LEFT(TH!M98,2)="15"),'152-CT'!$J$8=TH!F98),"x","")</f>
        <v/>
      </c>
      <c r="X98" s="52" t="str">
        <f>IF(AND(OR(LEFT(TH!L98,2)="15",LEFT(TH!M98,2)="15"),TK!$E$7=TH!F98),"x","")</f>
        <v/>
      </c>
      <c r="Y98" s="52" t="str">
        <f>IF(AND(B98&lt;=NKC!$N$8,B98&gt;=NKC!$M$8),"x","")</f>
        <v/>
      </c>
      <c r="Z98" s="208">
        <v>1</v>
      </c>
      <c r="AA98" s="195"/>
      <c r="AB98" s="195"/>
    </row>
    <row r="99" spans="1:28" s="587" customFormat="1" ht="15.75" customHeight="1">
      <c r="A99" s="201" t="str">
        <f>IF(B99&lt;&gt;"",IF(AND(B99&gt;=_TM1,B99&lt;=_TM2,OR(TH!L99="1111",TH!M99="1111")),TH!D99,""),"")</f>
        <v/>
      </c>
      <c r="B99" s="36">
        <f t="shared" si="6"/>
        <v>1</v>
      </c>
      <c r="C99" s="188">
        <f t="shared" si="7"/>
        <v>41290</v>
      </c>
      <c r="D99" s="181" t="s">
        <v>390</v>
      </c>
      <c r="E99" s="757">
        <v>41290</v>
      </c>
      <c r="F99" s="189" t="s">
        <v>367</v>
      </c>
      <c r="G99" s="480" t="s">
        <v>582</v>
      </c>
      <c r="H99" s="190" t="s">
        <v>554</v>
      </c>
      <c r="I99" s="249"/>
      <c r="J99" s="249"/>
      <c r="K99" s="38">
        <v>14302344</v>
      </c>
      <c r="L99" s="191" t="s">
        <v>8</v>
      </c>
      <c r="M99" s="191" t="s">
        <v>47</v>
      </c>
      <c r="N99" s="52" t="str">
        <f>IF(AND('331-CT'!$E$7=TH!H99,OR(L99="331",M99="331")),"331",IF(AND(OR(L99="131",M99="131"),H99='131-CT'!$E$7),"131",""))</f>
        <v>331</v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IF(OR(TH!L99=TH!$U$7,M99=TH!$U$7),"x","")</f>
        <v/>
      </c>
      <c r="V99" s="52" t="str">
        <f>IF(AND(B99&gt;='IN-NX'!$P$3,B99&lt;='IN-NX'!$Q$3,'IN-NX'!$D$7=D99,OR(LEFT(L99,2)="15",AND(LEFT(M99,2)&lt;&gt;"15",LEFT(M99,2)&lt;&gt;"33"))),"x","")</f>
        <v/>
      </c>
      <c r="W99" s="52" t="str">
        <f>IF(AND(OR(LEFT(TH!L99,2)="15",LEFT(TH!M99,2)="15"),'152-CT'!$J$8=TH!F99),"x","")</f>
        <v/>
      </c>
      <c r="X99" s="52" t="str">
        <f>IF(AND(OR(LEFT(TH!L99,2)="15",LEFT(TH!M99,2)="15"),TK!$E$7=TH!F99),"x","")</f>
        <v/>
      </c>
      <c r="Y99" s="52" t="str">
        <f>IF(AND(B99&lt;=NKC!$N$8,B99&gt;=NKC!$M$8),"x","")</f>
        <v/>
      </c>
      <c r="Z99" s="208"/>
      <c r="AA99" s="195"/>
      <c r="AB99" s="195"/>
    </row>
    <row r="100" spans="1:28" s="587" customFormat="1" ht="15.75" customHeight="1">
      <c r="A100" s="201" t="str">
        <f>IF(B100&lt;&gt;"",IF(AND(B100&gt;=_TM1,B100&lt;=_TM2,OR(TH!L100="1111",TH!M100="1111")),TH!D100,""),"")</f>
        <v/>
      </c>
      <c r="B100" s="36">
        <f t="shared" si="6"/>
        <v>1</v>
      </c>
      <c r="C100" s="188">
        <f t="shared" si="7"/>
        <v>41290</v>
      </c>
      <c r="D100" s="181" t="s">
        <v>1019</v>
      </c>
      <c r="E100" s="181">
        <v>41290</v>
      </c>
      <c r="F100" s="186" t="s">
        <v>711</v>
      </c>
      <c r="G100" s="597" t="s">
        <v>712</v>
      </c>
      <c r="H100" s="7" t="s">
        <v>713</v>
      </c>
      <c r="I100" s="249">
        <v>274</v>
      </c>
      <c r="J100" s="249">
        <v>25700</v>
      </c>
      <c r="K100" s="38">
        <f>ROUND(I100*J100,0)</f>
        <v>7041800</v>
      </c>
      <c r="L100" s="596" t="s">
        <v>262</v>
      </c>
      <c r="M100" s="191" t="s">
        <v>172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IF(OR(TH!L100=TH!$U$7,M100=TH!$U$7),"x","")</f>
        <v/>
      </c>
      <c r="V100" s="52" t="str">
        <f>IF(AND(B100&gt;='IN-NX'!$P$3,B100&lt;='IN-NX'!$Q$3,'IN-NX'!$D$7=D100,OR(LEFT(L100,2)="15",AND(LEFT(M100,2)&lt;&gt;"15",LEFT(M100,2)&lt;&gt;"33"))),"x","")</f>
        <v/>
      </c>
      <c r="W100" s="52" t="str">
        <f>IF(AND(OR(LEFT(TH!L100,2)="15",LEFT(TH!M100,2)="15"),'152-CT'!$J$8=TH!F100),"x","")</f>
        <v/>
      </c>
      <c r="X100" s="52" t="str">
        <f>IF(AND(OR(LEFT(TH!L100,2)="15",LEFT(TH!M100,2)="15"),TK!$E$7=TH!F100),"x","")</f>
        <v/>
      </c>
      <c r="Y100" s="52" t="str">
        <f>IF(AND(B100&lt;=NKC!$N$8,B100&gt;=NKC!$M$8),"x","")</f>
        <v/>
      </c>
      <c r="AB100" s="195"/>
    </row>
    <row r="101" spans="1:28" s="587" customFormat="1" ht="15.75" customHeight="1">
      <c r="A101" s="201" t="str">
        <f>IF(B101&lt;&gt;"",IF(AND(B101&gt;=_TM1,B101&lt;=_TM2,OR(TH!L101="1111",TH!M101="1111")),TH!D101,""),"")</f>
        <v/>
      </c>
      <c r="B101" s="36">
        <f t="shared" si="6"/>
        <v>1</v>
      </c>
      <c r="C101" s="188">
        <f t="shared" si="7"/>
        <v>41290</v>
      </c>
      <c r="D101" s="181" t="s">
        <v>1019</v>
      </c>
      <c r="E101" s="181">
        <v>41290</v>
      </c>
      <c r="F101" s="186" t="s">
        <v>693</v>
      </c>
      <c r="G101" s="597" t="s">
        <v>712</v>
      </c>
      <c r="H101" s="7" t="s">
        <v>713</v>
      </c>
      <c r="I101" s="249"/>
      <c r="J101" s="249"/>
      <c r="K101" s="595">
        <v>704180</v>
      </c>
      <c r="L101" s="596" t="s">
        <v>262</v>
      </c>
      <c r="M101" s="191" t="s">
        <v>425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IF(OR(TH!L101=TH!$U$7,M101=TH!$U$7),"x","")</f>
        <v/>
      </c>
      <c r="V101" s="52" t="str">
        <f>IF(AND(B101&gt;='IN-NX'!$P$3,B101&lt;='IN-NX'!$Q$3,'IN-NX'!$D$7=D101,OR(LEFT(L101,2)="15",AND(LEFT(M101,2)&lt;&gt;"15",LEFT(M101,2)&lt;&gt;"33"))),"x","")</f>
        <v/>
      </c>
      <c r="W101" s="52" t="str">
        <f>IF(AND(OR(LEFT(TH!L101,2)="15",LEFT(TH!M101,2)="15"),'152-CT'!$J$8=TH!F101),"x","")</f>
        <v/>
      </c>
      <c r="X101" s="52" t="str">
        <f>IF(AND(OR(LEFT(TH!L101,2)="15",LEFT(TH!M101,2)="15"),TK!$E$7=TH!F101),"x","")</f>
        <v/>
      </c>
      <c r="Y101" s="52" t="str">
        <f>IF(AND(B101&lt;=NKC!$N$8,B101&gt;=NKC!$M$8),"x","")</f>
        <v/>
      </c>
      <c r="AA101" s="587" t="str">
        <f>IF(VLOOKUP(H101,DS_131,1,0)&lt;&gt;"","","x")</f>
        <v/>
      </c>
      <c r="AB101" s="195"/>
    </row>
    <row r="102" spans="1:28" s="587" customFormat="1" ht="15.75" customHeight="1">
      <c r="A102" s="201" t="str">
        <f>IF(B102&lt;&gt;"",IF(AND(B102&gt;=_TM1,B102&lt;=_TM2,OR(TH!L102="1111",TH!M102="1111")),TH!D102,""),"")</f>
        <v/>
      </c>
      <c r="B102" s="36">
        <f t="shared" si="6"/>
        <v>1</v>
      </c>
      <c r="C102" s="188">
        <f t="shared" si="7"/>
        <v>41291</v>
      </c>
      <c r="D102" s="181" t="s">
        <v>412</v>
      </c>
      <c r="E102" s="757">
        <v>41291</v>
      </c>
      <c r="F102" s="189" t="s">
        <v>589</v>
      </c>
      <c r="G102" s="480" t="s">
        <v>590</v>
      </c>
      <c r="H102" s="190" t="s">
        <v>554</v>
      </c>
      <c r="I102" s="249">
        <v>114</v>
      </c>
      <c r="J102" s="249">
        <v>21888</v>
      </c>
      <c r="K102" s="38">
        <f>ROUND(I102*J102,0)</f>
        <v>2495232</v>
      </c>
      <c r="L102" s="191" t="s">
        <v>156</v>
      </c>
      <c r="M102" s="191" t="s">
        <v>8</v>
      </c>
      <c r="N102" s="52" t="str">
        <f>IF(AND('331-CT'!$E$7=TH!H102,OR(L102="331",M102="331")),"331",IF(AND(OR(L102="131",M102="131"),H102='131-CT'!$E$7),"131",""))</f>
        <v>331</v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IF(OR(TH!L102=TH!$U$7,M102=TH!$U$7),"x","")</f>
        <v/>
      </c>
      <c r="V102" s="52" t="str">
        <f>IF(AND(B102&gt;='IN-NX'!$P$3,B102&lt;='IN-NX'!$Q$3,'IN-NX'!$D$7=D102,OR(LEFT(L102,2)="15",AND(LEFT(M102,2)&lt;&gt;"15",LEFT(M102,2)&lt;&gt;"33"))),"x","")</f>
        <v/>
      </c>
      <c r="W102" s="52" t="str">
        <f>IF(AND(OR(LEFT(TH!L102,2)="15",LEFT(TH!M102,2)="15"),'152-CT'!$J$8=TH!F102),"x","")</f>
        <v/>
      </c>
      <c r="X102" s="52" t="str">
        <f>IF(AND(OR(LEFT(TH!L102,2)="15",LEFT(TH!M102,2)="15"),TK!$E$7=TH!F102),"x","")</f>
        <v/>
      </c>
      <c r="Y102" s="52" t="str">
        <f>IF(AND(B102&lt;=NKC!$N$8,B102&gt;=NKC!$M$8),"x","")</f>
        <v/>
      </c>
      <c r="Z102" s="208">
        <v>1</v>
      </c>
      <c r="AA102" s="195"/>
      <c r="AB102" s="195"/>
    </row>
    <row r="103" spans="1:28" s="587" customFormat="1" ht="15.75" customHeight="1">
      <c r="A103" s="201" t="str">
        <f>IF(B103&lt;&gt;"",IF(AND(B103&gt;=_TM1,B103&lt;=_TM2,OR(TH!L103="1111",TH!M103="1111")),TH!D103,""),"")</f>
        <v/>
      </c>
      <c r="B103" s="36">
        <f t="shared" si="6"/>
        <v>1</v>
      </c>
      <c r="C103" s="188">
        <f t="shared" si="7"/>
        <v>41291</v>
      </c>
      <c r="D103" s="181" t="s">
        <v>412</v>
      </c>
      <c r="E103" s="757">
        <v>41291</v>
      </c>
      <c r="F103" s="189" t="s">
        <v>591</v>
      </c>
      <c r="G103" s="480" t="s">
        <v>590</v>
      </c>
      <c r="H103" s="190" t="s">
        <v>554</v>
      </c>
      <c r="I103" s="249">
        <v>142</v>
      </c>
      <c r="J103" s="249">
        <v>18617</v>
      </c>
      <c r="K103" s="38">
        <f>ROUND(I103*J103,0)</f>
        <v>2643614</v>
      </c>
      <c r="L103" s="191" t="s">
        <v>156</v>
      </c>
      <c r="M103" s="191" t="s">
        <v>8</v>
      </c>
      <c r="N103" s="52" t="str">
        <f>IF(AND('331-CT'!$E$7=TH!H103,OR(L103="331",M103="331")),"331",IF(AND(OR(L103="131",M103="131"),H103='131-CT'!$E$7),"131",""))</f>
        <v>331</v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IF(OR(TH!L103=TH!$U$7,M103=TH!$U$7),"x","")</f>
        <v/>
      </c>
      <c r="V103" s="52" t="str">
        <f>IF(AND(B103&gt;='IN-NX'!$P$3,B103&lt;='IN-NX'!$Q$3,'IN-NX'!$D$7=D103,OR(LEFT(L103,2)="15",AND(LEFT(M103,2)&lt;&gt;"15",LEFT(M103,2)&lt;&gt;"33"))),"x","")</f>
        <v/>
      </c>
      <c r="W103" s="52" t="str">
        <f>IF(AND(OR(LEFT(TH!L103,2)="15",LEFT(TH!M103,2)="15"),'152-CT'!$J$8=TH!F103),"x","")</f>
        <v/>
      </c>
      <c r="X103" s="52" t="str">
        <f>IF(AND(OR(LEFT(TH!L103,2)="15",LEFT(TH!M103,2)="15"),TK!$E$7=TH!F103),"x","")</f>
        <v/>
      </c>
      <c r="Y103" s="52" t="str">
        <f>IF(AND(B103&lt;=NKC!$N$8,B103&gt;=NKC!$M$8),"x","")</f>
        <v/>
      </c>
      <c r="Z103" s="208">
        <v>1</v>
      </c>
      <c r="AA103" s="195"/>
      <c r="AB103" s="195"/>
    </row>
    <row r="104" spans="1:28" s="587" customFormat="1" ht="15.75" customHeight="1">
      <c r="A104" s="201" t="str">
        <f>IF(B104&lt;&gt;"",IF(AND(B104&gt;=_TM1,B104&lt;=_TM2,OR(TH!L104="1111",TH!M104="1111")),TH!D104,""),"")</f>
        <v/>
      </c>
      <c r="B104" s="36">
        <f t="shared" si="6"/>
        <v>1</v>
      </c>
      <c r="C104" s="188">
        <f t="shared" si="7"/>
        <v>41291</v>
      </c>
      <c r="D104" s="181" t="s">
        <v>412</v>
      </c>
      <c r="E104" s="757">
        <v>41291</v>
      </c>
      <c r="F104" s="189" t="s">
        <v>592</v>
      </c>
      <c r="G104" s="480" t="s">
        <v>590</v>
      </c>
      <c r="H104" s="190" t="s">
        <v>554</v>
      </c>
      <c r="I104" s="249">
        <v>497</v>
      </c>
      <c r="J104" s="249">
        <v>11416</v>
      </c>
      <c r="K104" s="38">
        <f>ROUND(I104*J104,0)</f>
        <v>5673752</v>
      </c>
      <c r="L104" s="191" t="s">
        <v>156</v>
      </c>
      <c r="M104" s="191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IF(OR(TH!L104=TH!$U$7,M104=TH!$U$7),"x","")</f>
        <v/>
      </c>
      <c r="V104" s="52" t="str">
        <f>IF(AND(B104&gt;='IN-NX'!$P$3,B104&lt;='IN-NX'!$Q$3,'IN-NX'!$D$7=D104,OR(LEFT(L104,2)="15",AND(LEFT(M104,2)&lt;&gt;"15",LEFT(M104,2)&lt;&gt;"33"))),"x","")</f>
        <v/>
      </c>
      <c r="W104" s="52" t="str">
        <f>IF(AND(OR(LEFT(TH!L104,2)="15",LEFT(TH!M104,2)="15"),'152-CT'!$J$8=TH!F104),"x","")</f>
        <v/>
      </c>
      <c r="X104" s="52" t="str">
        <f>IF(AND(OR(LEFT(TH!L104,2)="15",LEFT(TH!M104,2)="15"),TK!$E$7=TH!F104),"x","")</f>
        <v/>
      </c>
      <c r="Y104" s="52" t="str">
        <f>IF(AND(B104&lt;=NKC!$N$8,B104&gt;=NKC!$M$8),"x","")</f>
        <v/>
      </c>
      <c r="Z104" s="208">
        <v>1</v>
      </c>
      <c r="AA104" s="195"/>
      <c r="AB104" s="195"/>
    </row>
    <row r="105" spans="1:28" s="587" customFormat="1" ht="15.75" customHeight="1">
      <c r="A105" s="201" t="str">
        <f>IF(B105&lt;&gt;"",IF(AND(B105&gt;=_TM1,B105&lt;=_TM2,OR(TH!L105="1111",TH!M105="1111")),TH!D105,""),"")</f>
        <v/>
      </c>
      <c r="B105" s="36">
        <f t="shared" si="6"/>
        <v>1</v>
      </c>
      <c r="C105" s="188">
        <f t="shared" si="7"/>
        <v>41291</v>
      </c>
      <c r="D105" s="181" t="s">
        <v>412</v>
      </c>
      <c r="E105" s="757">
        <v>41291</v>
      </c>
      <c r="F105" s="189" t="s">
        <v>593</v>
      </c>
      <c r="G105" s="480" t="s">
        <v>590</v>
      </c>
      <c r="H105" s="190" t="s">
        <v>554</v>
      </c>
      <c r="I105" s="249">
        <v>50</v>
      </c>
      <c r="J105" s="249">
        <v>15713</v>
      </c>
      <c r="K105" s="38">
        <f>ROUND(I105*J105,0)</f>
        <v>785650</v>
      </c>
      <c r="L105" s="191" t="s">
        <v>156</v>
      </c>
      <c r="M105" s="191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IF(OR(TH!L105=TH!$U$7,M105=TH!$U$7),"x","")</f>
        <v/>
      </c>
      <c r="V105" s="52" t="str">
        <f>IF(AND(B105&gt;='IN-NX'!$P$3,B105&lt;='IN-NX'!$Q$3,'IN-NX'!$D$7=D105,OR(LEFT(L105,2)="15",AND(LEFT(M105,2)&lt;&gt;"15",LEFT(M105,2)&lt;&gt;"33"))),"x","")</f>
        <v/>
      </c>
      <c r="W105" s="52" t="str">
        <f>IF(AND(OR(LEFT(TH!L105,2)="15",LEFT(TH!M105,2)="15"),'152-CT'!$J$8=TH!F105),"x","")</f>
        <v/>
      </c>
      <c r="X105" s="52" t="str">
        <f>IF(AND(OR(LEFT(TH!L105,2)="15",LEFT(TH!M105,2)="15"),TK!$E$7=TH!F105),"x","")</f>
        <v/>
      </c>
      <c r="Y105" s="52" t="str">
        <f>IF(AND(B105&lt;=NKC!$N$8,B105&gt;=NKC!$M$8),"x","")</f>
        <v/>
      </c>
      <c r="Z105" s="208">
        <v>1</v>
      </c>
      <c r="AA105" s="195"/>
      <c r="AB105" s="195"/>
    </row>
    <row r="106" spans="1:28" s="587" customFormat="1" ht="15.75" customHeight="1">
      <c r="A106" s="201" t="str">
        <f>IF(B106&lt;&gt;"",IF(AND(B106&gt;=_TM1,B106&lt;=_TM2,OR(TH!L106="1111",TH!M106="1111")),TH!D106,""),"")</f>
        <v/>
      </c>
      <c r="B106" s="36">
        <f t="shared" si="6"/>
        <v>1</v>
      </c>
      <c r="C106" s="188">
        <f t="shared" si="7"/>
        <v>41291</v>
      </c>
      <c r="D106" s="181" t="s">
        <v>412</v>
      </c>
      <c r="E106" s="757">
        <v>41291</v>
      </c>
      <c r="F106" s="189" t="s">
        <v>557</v>
      </c>
      <c r="G106" s="480" t="s">
        <v>590</v>
      </c>
      <c r="H106" s="190" t="s">
        <v>554</v>
      </c>
      <c r="I106" s="249"/>
      <c r="J106" s="249"/>
      <c r="K106" s="38">
        <v>1159824</v>
      </c>
      <c r="L106" s="191" t="s">
        <v>9</v>
      </c>
      <c r="M106" s="191" t="s">
        <v>8</v>
      </c>
      <c r="N106" s="52" t="str">
        <f>IF(AND('331-CT'!$E$7=TH!H106,OR(L106="331",M106="331")),"331",IF(AND(OR(L106="131",M106="131"),H106='131-CT'!$E$7),"131",""))</f>
        <v>331</v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IF(OR(TH!L106=TH!$U$7,M106=TH!$U$7),"x","")</f>
        <v/>
      </c>
      <c r="V106" s="52" t="str">
        <f>IF(AND(B106&gt;='IN-NX'!$P$3,B106&lt;='IN-NX'!$Q$3,'IN-NX'!$D$7=D106,OR(LEFT(L106,2)="15",AND(LEFT(M106,2)&lt;&gt;"15",LEFT(M106,2)&lt;&gt;"33"))),"x","")</f>
        <v/>
      </c>
      <c r="W106" s="52" t="str">
        <f>IF(AND(OR(LEFT(TH!L106,2)="15",LEFT(TH!M106,2)="15"),'152-CT'!$J$8=TH!F106),"x","")</f>
        <v/>
      </c>
      <c r="X106" s="52" t="str">
        <f>IF(AND(OR(LEFT(TH!L106,2)="15",LEFT(TH!M106,2)="15"),TK!$E$7=TH!F106),"x","")</f>
        <v/>
      </c>
      <c r="Y106" s="52" t="str">
        <f>IF(AND(B106&lt;=NKC!$N$8,B106&gt;=NKC!$M$8),"x","")</f>
        <v/>
      </c>
      <c r="Z106" s="208">
        <v>1</v>
      </c>
      <c r="AA106" s="195"/>
      <c r="AB106" s="195"/>
    </row>
    <row r="107" spans="1:28" s="587" customFormat="1" ht="15.75" customHeight="1">
      <c r="A107" s="201" t="str">
        <f>IF(B107&lt;&gt;"",IF(AND(B107&gt;=_TM1,B107&lt;=_TM2,OR(TH!L107="1111",TH!M107="1111")),TH!D107,""),"")</f>
        <v/>
      </c>
      <c r="B107" s="36">
        <f t="shared" si="6"/>
        <v>1</v>
      </c>
      <c r="C107" s="188">
        <f t="shared" si="7"/>
        <v>41291</v>
      </c>
      <c r="D107" s="181" t="s">
        <v>391</v>
      </c>
      <c r="E107" s="757">
        <v>41291</v>
      </c>
      <c r="F107" s="189" t="s">
        <v>367</v>
      </c>
      <c r="G107" s="480" t="s">
        <v>590</v>
      </c>
      <c r="H107" s="190" t="s">
        <v>554</v>
      </c>
      <c r="I107" s="249"/>
      <c r="J107" s="249"/>
      <c r="K107" s="38">
        <v>12758072</v>
      </c>
      <c r="L107" s="191" t="s">
        <v>8</v>
      </c>
      <c r="M107" s="191" t="s">
        <v>47</v>
      </c>
      <c r="N107" s="52" t="str">
        <f>IF(AND('331-CT'!$E$7=TH!H107,OR(L107="331",M107="331")),"331",IF(AND(OR(L107="131",M107="131"),H107='131-CT'!$E$7),"131",""))</f>
        <v>331</v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IF(OR(TH!L107=TH!$U$7,M107=TH!$U$7),"x","")</f>
        <v/>
      </c>
      <c r="V107" s="52" t="str">
        <f>IF(AND(B107&gt;='IN-NX'!$P$3,B107&lt;='IN-NX'!$Q$3,'IN-NX'!$D$7=D107,OR(LEFT(L107,2)="15",AND(LEFT(M107,2)&lt;&gt;"15",LEFT(M107,2)&lt;&gt;"33"))),"x","")</f>
        <v/>
      </c>
      <c r="W107" s="52" t="str">
        <f>IF(AND(OR(LEFT(TH!L107,2)="15",LEFT(TH!M107,2)="15"),'152-CT'!$J$8=TH!F107),"x","")</f>
        <v/>
      </c>
      <c r="X107" s="52" t="str">
        <f>IF(AND(OR(LEFT(TH!L107,2)="15",LEFT(TH!M107,2)="15"),TK!$E$7=TH!F107),"x","")</f>
        <v/>
      </c>
      <c r="Y107" s="52" t="str">
        <f>IF(AND(B107&lt;=NKC!$N$8,B107&gt;=NKC!$M$8),"x","")</f>
        <v/>
      </c>
      <c r="Z107" s="208"/>
      <c r="AA107" s="195"/>
      <c r="AB107" s="195"/>
    </row>
    <row r="108" spans="1:28" s="587" customFormat="1" ht="15.75" customHeight="1">
      <c r="A108" s="201" t="str">
        <f>IF(B108&lt;&gt;"",IF(AND(B108&gt;=_TM1,B108&lt;=_TM2,OR(TH!L108="1111",TH!M108="1111")),TH!D108,""),"")</f>
        <v/>
      </c>
      <c r="B108" s="36">
        <f t="shared" si="6"/>
        <v>1</v>
      </c>
      <c r="C108" s="188">
        <f t="shared" si="7"/>
        <v>41292</v>
      </c>
      <c r="D108" s="181" t="s">
        <v>413</v>
      </c>
      <c r="E108" s="757">
        <v>41292</v>
      </c>
      <c r="F108" s="189" t="s">
        <v>594</v>
      </c>
      <c r="G108" s="480" t="s">
        <v>595</v>
      </c>
      <c r="H108" s="190" t="s">
        <v>554</v>
      </c>
      <c r="I108" s="249">
        <v>251</v>
      </c>
      <c r="J108" s="249">
        <v>19514</v>
      </c>
      <c r="K108" s="38">
        <f>ROUND(I108*J108,0)</f>
        <v>4898014</v>
      </c>
      <c r="L108" s="191" t="s">
        <v>156</v>
      </c>
      <c r="M108" s="191" t="s">
        <v>8</v>
      </c>
      <c r="N108" s="52" t="str">
        <f>IF(AND('331-CT'!$E$7=TH!H108,OR(L108="331",M108="331")),"331",IF(AND(OR(L108="131",M108="131"),H108='131-CT'!$E$7),"131",""))</f>
        <v>331</v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IF(OR(TH!L108=TH!$U$7,M108=TH!$U$7),"x","")</f>
        <v/>
      </c>
      <c r="V108" s="52" t="str">
        <f>IF(AND(B108&gt;='IN-NX'!$P$3,B108&lt;='IN-NX'!$Q$3,'IN-NX'!$D$7=D108,OR(LEFT(L108,2)="15",AND(LEFT(M108,2)&lt;&gt;"15",LEFT(M108,2)&lt;&gt;"33"))),"x","")</f>
        <v/>
      </c>
      <c r="W108" s="52" t="str">
        <f>IF(AND(OR(LEFT(TH!L108,2)="15",LEFT(TH!M108,2)="15"),'152-CT'!$J$8=TH!F108),"x","")</f>
        <v/>
      </c>
      <c r="X108" s="52" t="str">
        <f>IF(AND(OR(LEFT(TH!L108,2)="15",LEFT(TH!M108,2)="15"),TK!$E$7=TH!F108),"x","")</f>
        <v/>
      </c>
      <c r="Y108" s="52" t="str">
        <f>IF(AND(B108&lt;=NKC!$N$8,B108&gt;=NKC!$M$8),"x","")</f>
        <v/>
      </c>
      <c r="Z108" s="587">
        <v>1</v>
      </c>
      <c r="AA108" s="195"/>
      <c r="AB108" s="195"/>
    </row>
    <row r="109" spans="1:28" s="587" customFormat="1" ht="15.75" customHeight="1">
      <c r="A109" s="201" t="str">
        <f>IF(B109&lt;&gt;"",IF(AND(B109&gt;=_TM1,B109&lt;=_TM2,OR(TH!L109="1111",TH!M109="1111")),TH!D109,""),"")</f>
        <v/>
      </c>
      <c r="B109" s="36">
        <f t="shared" si="6"/>
        <v>1</v>
      </c>
      <c r="C109" s="188">
        <f t="shared" si="7"/>
        <v>41292</v>
      </c>
      <c r="D109" s="181" t="s">
        <v>413</v>
      </c>
      <c r="E109" s="757">
        <v>41292</v>
      </c>
      <c r="F109" s="189" t="s">
        <v>596</v>
      </c>
      <c r="G109" s="480" t="s">
        <v>595</v>
      </c>
      <c r="H109" s="190" t="s">
        <v>554</v>
      </c>
      <c r="I109" s="249">
        <v>250</v>
      </c>
      <c r="J109" s="249">
        <v>31288</v>
      </c>
      <c r="K109" s="38">
        <f>ROUND(I109*J109,0)</f>
        <v>7822000</v>
      </c>
      <c r="L109" s="191" t="s">
        <v>156</v>
      </c>
      <c r="M109" s="191" t="s">
        <v>8</v>
      </c>
      <c r="N109" s="52" t="str">
        <f>IF(AND('331-CT'!$E$7=TH!H109,OR(L109="331",M109="331")),"331",IF(AND(OR(L109="131",M109="131"),H109='131-CT'!$E$7),"131",""))</f>
        <v>331</v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IF(OR(TH!L109=TH!$U$7,M109=TH!$U$7),"x","")</f>
        <v/>
      </c>
      <c r="V109" s="52" t="str">
        <f>IF(AND(B109&gt;='IN-NX'!$P$3,B109&lt;='IN-NX'!$Q$3,'IN-NX'!$D$7=D109,OR(LEFT(L109,2)="15",AND(LEFT(M109,2)&lt;&gt;"15",LEFT(M109,2)&lt;&gt;"33"))),"x","")</f>
        <v/>
      </c>
      <c r="W109" s="52" t="str">
        <f>IF(AND(OR(LEFT(TH!L109,2)="15",LEFT(TH!M109,2)="15"),'152-CT'!$J$8=TH!F109),"x","")</f>
        <v/>
      </c>
      <c r="X109" s="52" t="str">
        <f>IF(AND(OR(LEFT(TH!L109,2)="15",LEFT(TH!M109,2)="15"),TK!$E$7=TH!F109),"x","")</f>
        <v/>
      </c>
      <c r="Y109" s="52" t="str">
        <f>IF(AND(B109&lt;=NKC!$N$8,B109&gt;=NKC!$M$8),"x","")</f>
        <v/>
      </c>
      <c r="Z109" s="587">
        <v>1</v>
      </c>
      <c r="AA109" s="195"/>
      <c r="AB109" s="195"/>
    </row>
    <row r="110" spans="1:28" s="587" customFormat="1" ht="15.75" customHeight="1">
      <c r="A110" s="201" t="str">
        <f>IF(B110&lt;&gt;"",IF(AND(B110&gt;=_TM1,B110&lt;=_TM2,OR(TH!L110="1111",TH!M110="1111")),TH!D110,""),"")</f>
        <v/>
      </c>
      <c r="B110" s="36">
        <f t="shared" si="6"/>
        <v>1</v>
      </c>
      <c r="C110" s="188">
        <f t="shared" si="7"/>
        <v>41292</v>
      </c>
      <c r="D110" s="181" t="s">
        <v>413</v>
      </c>
      <c r="E110" s="757">
        <v>41292</v>
      </c>
      <c r="F110" s="189" t="s">
        <v>557</v>
      </c>
      <c r="G110" s="480" t="s">
        <v>595</v>
      </c>
      <c r="H110" s="190" t="s">
        <v>554</v>
      </c>
      <c r="I110" s="249"/>
      <c r="J110" s="249"/>
      <c r="K110" s="38">
        <v>1272001</v>
      </c>
      <c r="L110" s="191" t="s">
        <v>9</v>
      </c>
      <c r="M110" s="191" t="s">
        <v>8</v>
      </c>
      <c r="N110" s="52" t="str">
        <f>IF(AND('331-CT'!$E$7=TH!H110,OR(L110="331",M110="331")),"331",IF(AND(OR(L110="131",M110="131"),H110='131-CT'!$E$7),"131",""))</f>
        <v>331</v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IF(OR(TH!L110=TH!$U$7,M110=TH!$U$7),"x","")</f>
        <v/>
      </c>
      <c r="V110" s="52" t="str">
        <f>IF(AND(B110&gt;='IN-NX'!$P$3,B110&lt;='IN-NX'!$Q$3,'IN-NX'!$D$7=D110,OR(LEFT(L110,2)="15",AND(LEFT(M110,2)&lt;&gt;"15",LEFT(M110,2)&lt;&gt;"33"))),"x","")</f>
        <v/>
      </c>
      <c r="W110" s="52" t="str">
        <f>IF(AND(OR(LEFT(TH!L110,2)="15",LEFT(TH!M110,2)="15"),'152-CT'!$J$8=TH!F110),"x","")</f>
        <v/>
      </c>
      <c r="X110" s="52" t="str">
        <f>IF(AND(OR(LEFT(TH!L110,2)="15",LEFT(TH!M110,2)="15"),TK!$E$7=TH!F110),"x","")</f>
        <v/>
      </c>
      <c r="Y110" s="52" t="str">
        <f>IF(AND(B110&lt;=NKC!$N$8,B110&gt;=NKC!$M$8),"x","")</f>
        <v/>
      </c>
      <c r="Z110" s="587">
        <v>1</v>
      </c>
      <c r="AA110" s="195"/>
      <c r="AB110" s="195"/>
    </row>
    <row r="111" spans="1:28" s="587" customFormat="1" ht="15.75" customHeight="1">
      <c r="A111" s="201" t="str">
        <f>IF(B111&lt;&gt;"",IF(AND(B111&gt;=_TM1,B111&lt;=_TM2,OR(TH!L111="1111",TH!M111="1111")),TH!D111,""),"")</f>
        <v/>
      </c>
      <c r="B111" s="36">
        <f t="shared" si="6"/>
        <v>1</v>
      </c>
      <c r="C111" s="188">
        <f t="shared" si="7"/>
        <v>41292</v>
      </c>
      <c r="D111" s="181" t="s">
        <v>393</v>
      </c>
      <c r="E111" s="757">
        <v>41292</v>
      </c>
      <c r="F111" s="189" t="s">
        <v>367</v>
      </c>
      <c r="G111" s="480" t="s">
        <v>595</v>
      </c>
      <c r="H111" s="190" t="s">
        <v>554</v>
      </c>
      <c r="I111" s="249"/>
      <c r="J111" s="249"/>
      <c r="K111" s="38">
        <v>13992015</v>
      </c>
      <c r="L111" s="191" t="s">
        <v>8</v>
      </c>
      <c r="M111" s="191" t="s">
        <v>47</v>
      </c>
      <c r="N111" s="52" t="str">
        <f>IF(AND('331-CT'!$E$7=TH!H111,OR(L111="331",M111="331")),"331",IF(AND(OR(L111="131",M111="131"),H111='131-CT'!$E$7),"131",""))</f>
        <v>331</v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IF(OR(TH!L111=TH!$U$7,M111=TH!$U$7),"x","")</f>
        <v/>
      </c>
      <c r="V111" s="52" t="str">
        <f>IF(AND(B111&gt;='IN-NX'!$P$3,B111&lt;='IN-NX'!$Q$3,'IN-NX'!$D$7=D111,OR(LEFT(L111,2)="15",AND(LEFT(M111,2)&lt;&gt;"15",LEFT(M111,2)&lt;&gt;"33"))),"x","")</f>
        <v/>
      </c>
      <c r="W111" s="52" t="str">
        <f>IF(AND(OR(LEFT(TH!L111,2)="15",LEFT(TH!M111,2)="15"),'152-CT'!$J$8=TH!F111),"x","")</f>
        <v/>
      </c>
      <c r="X111" s="52" t="str">
        <f>IF(AND(OR(LEFT(TH!L111,2)="15",LEFT(TH!M111,2)="15"),TK!$E$7=TH!F111),"x","")</f>
        <v/>
      </c>
      <c r="Y111" s="52" t="str">
        <f>IF(AND(B111&lt;=NKC!$N$8,B111&gt;=NKC!$M$8),"x","")</f>
        <v/>
      </c>
      <c r="Z111" s="208"/>
      <c r="AA111" s="195"/>
      <c r="AB111" s="195"/>
    </row>
    <row r="112" spans="1:28" s="587" customFormat="1" ht="15.75" customHeight="1">
      <c r="A112" s="201" t="str">
        <f>IF(B112&lt;&gt;"",IF(AND(B112&gt;=_TM1,B112&lt;=_TM2,OR(TH!L112="1111",TH!M112="1111")),TH!D112,""),"")</f>
        <v/>
      </c>
      <c r="B112" s="36">
        <f t="shared" si="6"/>
        <v>1</v>
      </c>
      <c r="C112" s="188">
        <f t="shared" si="7"/>
        <v>41292</v>
      </c>
      <c r="D112" s="181" t="s">
        <v>1020</v>
      </c>
      <c r="E112" s="181">
        <v>41292</v>
      </c>
      <c r="F112" s="186" t="s">
        <v>714</v>
      </c>
      <c r="G112" s="597" t="s">
        <v>715</v>
      </c>
      <c r="H112" s="7" t="s">
        <v>549</v>
      </c>
      <c r="I112" s="249">
        <v>113</v>
      </c>
      <c r="J112" s="249">
        <v>29950</v>
      </c>
      <c r="K112" s="38">
        <f>ROUND(I112*J112,0)</f>
        <v>3384350</v>
      </c>
      <c r="L112" s="596" t="s">
        <v>262</v>
      </c>
      <c r="M112" s="191" t="s">
        <v>172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IF(OR(TH!L112=TH!$U$7,M112=TH!$U$7),"x","")</f>
        <v/>
      </c>
      <c r="V112" s="52" t="str">
        <f>IF(AND(B112&gt;='IN-NX'!$P$3,B112&lt;='IN-NX'!$Q$3,'IN-NX'!$D$7=D112,OR(LEFT(L112,2)="15",AND(LEFT(M112,2)&lt;&gt;"15",LEFT(M112,2)&lt;&gt;"33"))),"x","")</f>
        <v/>
      </c>
      <c r="W112" s="52" t="str">
        <f>IF(AND(OR(LEFT(TH!L112,2)="15",LEFT(TH!M112,2)="15"),'152-CT'!$J$8=TH!F112),"x","")</f>
        <v/>
      </c>
      <c r="X112" s="52" t="str">
        <f>IF(AND(OR(LEFT(TH!L112,2)="15",LEFT(TH!M112,2)="15"),TK!$E$7=TH!F112),"x","")</f>
        <v/>
      </c>
      <c r="Y112" s="52" t="str">
        <f>IF(AND(B112&lt;=NKC!$N$8,B112&gt;=NKC!$M$8),"x","")</f>
        <v/>
      </c>
      <c r="AB112" s="195"/>
    </row>
    <row r="113" spans="1:28" s="587" customFormat="1" ht="15.75" customHeight="1">
      <c r="A113" s="201" t="str">
        <f>IF(B113&lt;&gt;"",IF(AND(B113&gt;=_TM1,B113&lt;=_TM2,OR(TH!L113="1111",TH!M113="1111")),TH!D113,""),"")</f>
        <v/>
      </c>
      <c r="B113" s="36">
        <f t="shared" si="6"/>
        <v>1</v>
      </c>
      <c r="C113" s="188">
        <f t="shared" si="7"/>
        <v>41292</v>
      </c>
      <c r="D113" s="181" t="s">
        <v>1020</v>
      </c>
      <c r="E113" s="188">
        <v>41292</v>
      </c>
      <c r="F113" s="189" t="s">
        <v>693</v>
      </c>
      <c r="G113" s="480" t="s">
        <v>715</v>
      </c>
      <c r="H113" s="7" t="s">
        <v>549</v>
      </c>
      <c r="I113" s="250"/>
      <c r="J113" s="250"/>
      <c r="K113" s="595">
        <v>338435</v>
      </c>
      <c r="L113" s="191" t="s">
        <v>262</v>
      </c>
      <c r="M113" s="191" t="s">
        <v>425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IF(OR(TH!L113=TH!$U$7,M113=TH!$U$7),"x","")</f>
        <v/>
      </c>
      <c r="V113" s="52" t="str">
        <f>IF(AND(B113&gt;='IN-NX'!$P$3,B113&lt;='IN-NX'!$Q$3,'IN-NX'!$D$7=D113,OR(LEFT(L113,2)="15",AND(LEFT(M113,2)&lt;&gt;"15",LEFT(M113,2)&lt;&gt;"33"))),"x","")</f>
        <v/>
      </c>
      <c r="W113" s="52" t="str">
        <f>IF(AND(OR(LEFT(TH!L113,2)="15",LEFT(TH!M113,2)="15"),'152-CT'!$J$8=TH!F113),"x","")</f>
        <v/>
      </c>
      <c r="X113" s="52" t="str">
        <f>IF(AND(OR(LEFT(TH!L113,2)="15",LEFT(TH!M113,2)="15"),TK!$E$7=TH!F113),"x","")</f>
        <v/>
      </c>
      <c r="Y113" s="52" t="str">
        <f>IF(AND(B113&lt;=NKC!$N$8,B113&gt;=NKC!$M$8),"x","")</f>
        <v/>
      </c>
      <c r="Z113" s="208"/>
      <c r="AA113" s="587" t="str">
        <f>IF(VLOOKUP(H113,DS_131,1,0)&lt;&gt;"","","x")</f>
        <v/>
      </c>
      <c r="AB113" s="195"/>
    </row>
    <row r="114" spans="1:28" s="694" customFormat="1" ht="15.75" customHeight="1">
      <c r="A114" s="201" t="str">
        <f>IF(B114&lt;&gt;"",IF(AND(B114&gt;=_TM1,B114&lt;=_TM2,OR(TH!L114="1111",TH!M114="1111")),TH!D114,""),"")</f>
        <v/>
      </c>
      <c r="B114" s="36">
        <f t="shared" si="6"/>
        <v>1</v>
      </c>
      <c r="C114" s="188">
        <f t="shared" si="7"/>
        <v>41292</v>
      </c>
      <c r="D114" s="181" t="s">
        <v>1021</v>
      </c>
      <c r="E114" s="188">
        <v>41292</v>
      </c>
      <c r="F114" s="189" t="s">
        <v>716</v>
      </c>
      <c r="G114" s="480" t="s">
        <v>717</v>
      </c>
      <c r="H114" s="7" t="s">
        <v>468</v>
      </c>
      <c r="I114" s="250">
        <v>1319</v>
      </c>
      <c r="J114" s="250">
        <v>5400</v>
      </c>
      <c r="K114" s="38">
        <f>ROUND(I114*J114,0)</f>
        <v>7122600</v>
      </c>
      <c r="L114" s="191" t="s">
        <v>262</v>
      </c>
      <c r="M114" s="191" t="s">
        <v>172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IF(OR(TH!L114=TH!$U$7,M114=TH!$U$7),"x","")</f>
        <v/>
      </c>
      <c r="V114" s="52" t="str">
        <f>IF(AND(B114&gt;='IN-NX'!$P$3,B114&lt;='IN-NX'!$Q$3,'IN-NX'!$D$7=D114,OR(LEFT(L114,2)="15",AND(LEFT(M114,2)&lt;&gt;"15",LEFT(M114,2)&lt;&gt;"33"))),"x","")</f>
        <v/>
      </c>
      <c r="W114" s="52" t="str">
        <f>IF(AND(OR(LEFT(TH!L114,2)="15",LEFT(TH!M114,2)="15"),'152-CT'!$J$8=TH!F114),"x","")</f>
        <v/>
      </c>
      <c r="X114" s="52" t="str">
        <f>IF(AND(OR(LEFT(TH!L114,2)="15",LEFT(TH!M114,2)="15"),TK!$E$7=TH!F114),"x","")</f>
        <v/>
      </c>
      <c r="Y114" s="52" t="str">
        <f>IF(AND(B114&lt;=NKC!$N$8,B114&gt;=NKC!$M$8),"x","")</f>
        <v/>
      </c>
      <c r="Z114" s="208"/>
      <c r="AA114" s="587"/>
      <c r="AB114" s="195"/>
    </row>
    <row r="115" spans="1:28" s="587" customFormat="1" ht="15.75" customHeight="1">
      <c r="A115" s="201" t="str">
        <f>IF(B115&lt;&gt;"",IF(AND(B115&gt;=_TM1,B115&lt;=_TM2,OR(TH!L115="1111",TH!M115="1111")),TH!D115,""),"")</f>
        <v/>
      </c>
      <c r="B115" s="36">
        <f t="shared" si="6"/>
        <v>1</v>
      </c>
      <c r="C115" s="188">
        <f t="shared" si="7"/>
        <v>41292</v>
      </c>
      <c r="D115" s="181" t="s">
        <v>1021</v>
      </c>
      <c r="E115" s="181">
        <v>41292</v>
      </c>
      <c r="F115" s="186" t="s">
        <v>718</v>
      </c>
      <c r="G115" s="597" t="s">
        <v>717</v>
      </c>
      <c r="H115" s="7" t="s">
        <v>468</v>
      </c>
      <c r="I115" s="249">
        <v>306</v>
      </c>
      <c r="J115" s="249">
        <v>6600</v>
      </c>
      <c r="K115" s="38">
        <f>ROUND(I115*J115,0)</f>
        <v>2019600</v>
      </c>
      <c r="L115" s="596" t="s">
        <v>262</v>
      </c>
      <c r="M115" s="191" t="s">
        <v>172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IF(OR(TH!L115=TH!$U$7,M115=TH!$U$7),"x","")</f>
        <v/>
      </c>
      <c r="V115" s="52" t="str">
        <f>IF(AND(B115&gt;='IN-NX'!$P$3,B115&lt;='IN-NX'!$Q$3,'IN-NX'!$D$7=D115,OR(LEFT(L115,2)="15",AND(LEFT(M115,2)&lt;&gt;"15",LEFT(M115,2)&lt;&gt;"33"))),"x","")</f>
        <v/>
      </c>
      <c r="W115" s="52" t="str">
        <f>IF(AND(OR(LEFT(TH!L115,2)="15",LEFT(TH!M115,2)="15"),'152-CT'!$J$8=TH!F115),"x","")</f>
        <v/>
      </c>
      <c r="X115" s="52" t="str">
        <f>IF(AND(OR(LEFT(TH!L115,2)="15",LEFT(TH!M115,2)="15"),TK!$E$7=TH!F115),"x","")</f>
        <v/>
      </c>
      <c r="Y115" s="52" t="str">
        <f>IF(AND(B115&lt;=NKC!$N$8,B115&gt;=NKC!$M$8),"x","")</f>
        <v/>
      </c>
      <c r="AB115" s="195"/>
    </row>
    <row r="116" spans="1:28" s="587" customFormat="1" ht="15.75" customHeight="1">
      <c r="A116" s="201" t="str">
        <f>IF(B116&lt;&gt;"",IF(AND(B116&gt;=_TM1,B116&lt;=_TM2,OR(TH!L116="1111",TH!M116="1111")),TH!D116,""),"")</f>
        <v/>
      </c>
      <c r="B116" s="36">
        <f t="shared" si="6"/>
        <v>1</v>
      </c>
      <c r="C116" s="188">
        <f t="shared" si="7"/>
        <v>41292</v>
      </c>
      <c r="D116" s="181" t="s">
        <v>1021</v>
      </c>
      <c r="E116" s="188">
        <v>41292</v>
      </c>
      <c r="F116" s="189" t="s">
        <v>693</v>
      </c>
      <c r="G116" s="480" t="s">
        <v>717</v>
      </c>
      <c r="H116" s="45" t="s">
        <v>468</v>
      </c>
      <c r="I116" s="249"/>
      <c r="J116" s="249"/>
      <c r="K116" s="38">
        <v>914220</v>
      </c>
      <c r="L116" s="191" t="s">
        <v>262</v>
      </c>
      <c r="M116" s="191" t="s">
        <v>425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IF(OR(TH!L116=TH!$U$7,M116=TH!$U$7),"x","")</f>
        <v/>
      </c>
      <c r="V116" s="52" t="str">
        <f>IF(AND(B116&gt;='IN-NX'!$P$3,B116&lt;='IN-NX'!$Q$3,'IN-NX'!$D$7=D116,OR(LEFT(L116,2)="15",AND(LEFT(M116,2)&lt;&gt;"15",LEFT(M116,2)&lt;&gt;"33"))),"x","")</f>
        <v/>
      </c>
      <c r="W116" s="52" t="str">
        <f>IF(AND(OR(LEFT(TH!L116,2)="15",LEFT(TH!M116,2)="15"),'152-CT'!$J$8=TH!F116),"x","")</f>
        <v/>
      </c>
      <c r="X116" s="52" t="str">
        <f>IF(AND(OR(LEFT(TH!L116,2)="15",LEFT(TH!M116,2)="15"),TK!$E$7=TH!F116),"x","")</f>
        <v/>
      </c>
      <c r="Y116" s="52" t="str">
        <f>IF(AND(B116&lt;=NKC!$N$8,B116&gt;=NKC!$M$8),"x","")</f>
        <v/>
      </c>
      <c r="Z116" s="208"/>
      <c r="AA116" s="587" t="str">
        <f>IF(VLOOKUP(H116,DS_131,1,0)&lt;&gt;"","","x")</f>
        <v/>
      </c>
      <c r="AB116" s="195"/>
    </row>
    <row r="117" spans="1:28" s="587" customFormat="1" ht="15.75" customHeight="1">
      <c r="A117" s="201" t="str">
        <f>IF(B117&lt;&gt;"",IF(AND(B117&gt;=_TM1,B117&lt;=_TM2,OR(TH!L117="1111",TH!M117="1111")),TH!D117,""),"")</f>
        <v/>
      </c>
      <c r="B117" s="36">
        <f t="shared" si="6"/>
        <v>1</v>
      </c>
      <c r="C117" s="188">
        <f t="shared" si="7"/>
        <v>41293</v>
      </c>
      <c r="D117" s="181" t="s">
        <v>1022</v>
      </c>
      <c r="E117" s="188">
        <v>41293</v>
      </c>
      <c r="F117" s="189" t="s">
        <v>719</v>
      </c>
      <c r="G117" s="480" t="s">
        <v>720</v>
      </c>
      <c r="H117" s="45" t="s">
        <v>472</v>
      </c>
      <c r="I117" s="249">
        <v>294</v>
      </c>
      <c r="J117" s="249">
        <v>14130</v>
      </c>
      <c r="K117" s="38">
        <f>ROUND(I117*J117,0)</f>
        <v>4154220</v>
      </c>
      <c r="L117" s="191" t="s">
        <v>262</v>
      </c>
      <c r="M117" s="191" t="s">
        <v>172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IF(OR(TH!L117=TH!$U$7,M117=TH!$U$7),"x","")</f>
        <v/>
      </c>
      <c r="V117" s="52" t="str">
        <f>IF(AND(B117&gt;='IN-NX'!$P$3,B117&lt;='IN-NX'!$Q$3,'IN-NX'!$D$7=D117,OR(LEFT(L117,2)="15",AND(LEFT(M117,2)&lt;&gt;"15",LEFT(M117,2)&lt;&gt;"33"))),"x","")</f>
        <v/>
      </c>
      <c r="W117" s="52" t="str">
        <f>IF(AND(OR(LEFT(TH!L117,2)="15",LEFT(TH!M117,2)="15"),'152-CT'!$J$8=TH!F117),"x","")</f>
        <v/>
      </c>
      <c r="X117" s="52" t="str">
        <f>IF(AND(OR(LEFT(TH!L117,2)="15",LEFT(TH!M117,2)="15"),TK!$E$7=TH!F117),"x","")</f>
        <v/>
      </c>
      <c r="Y117" s="52" t="str">
        <f>IF(AND(B117&lt;=NKC!$N$8,B117&gt;=NKC!$M$8),"x","")</f>
        <v/>
      </c>
      <c r="Z117" s="208"/>
      <c r="AB117" s="195"/>
    </row>
    <row r="118" spans="1:28" s="587" customFormat="1" ht="15.75" customHeight="1">
      <c r="A118" s="201" t="str">
        <f>IF(B118&lt;&gt;"",IF(AND(B118&gt;=_TM1,B118&lt;=_TM2,OR(TH!L118="1111",TH!M118="1111")),TH!D118,""),"")</f>
        <v/>
      </c>
      <c r="B118" s="36">
        <f t="shared" si="6"/>
        <v>1</v>
      </c>
      <c r="C118" s="188">
        <f t="shared" si="7"/>
        <v>41293</v>
      </c>
      <c r="D118" s="181" t="s">
        <v>1022</v>
      </c>
      <c r="E118" s="181">
        <v>41293</v>
      </c>
      <c r="F118" s="186" t="s">
        <v>721</v>
      </c>
      <c r="G118" s="597" t="s">
        <v>720</v>
      </c>
      <c r="H118" s="609" t="s">
        <v>472</v>
      </c>
      <c r="I118" s="249">
        <v>100</v>
      </c>
      <c r="J118" s="249">
        <v>10650</v>
      </c>
      <c r="K118" s="38">
        <f>ROUND(I118*J118,0)</f>
        <v>1065000</v>
      </c>
      <c r="L118" s="596" t="s">
        <v>262</v>
      </c>
      <c r="M118" s="191" t="s">
        <v>172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IF(OR(TH!L118=TH!$U$7,M118=TH!$U$7),"x","")</f>
        <v/>
      </c>
      <c r="V118" s="52" t="str">
        <f>IF(AND(B118&gt;='IN-NX'!$P$3,B118&lt;='IN-NX'!$Q$3,'IN-NX'!$D$7=D118,OR(LEFT(L118,2)="15",AND(LEFT(M118,2)&lt;&gt;"15",LEFT(M118,2)&lt;&gt;"33"))),"x","")</f>
        <v/>
      </c>
      <c r="W118" s="52" t="str">
        <f>IF(AND(OR(LEFT(TH!L118,2)="15",LEFT(TH!M118,2)="15"),'152-CT'!$J$8=TH!F118),"x","")</f>
        <v/>
      </c>
      <c r="X118" s="52" t="str">
        <f>IF(AND(OR(LEFT(TH!L118,2)="15",LEFT(TH!M118,2)="15"),TK!$E$7=TH!F118),"x","")</f>
        <v/>
      </c>
      <c r="Y118" s="52" t="str">
        <f>IF(AND(B118&lt;=NKC!$N$8,B118&gt;=NKC!$M$8),"x","")</f>
        <v/>
      </c>
      <c r="AB118" s="195"/>
    </row>
    <row r="119" spans="1:28" s="587" customFormat="1" ht="15.75" customHeight="1">
      <c r="A119" s="201" t="str">
        <f>IF(B119&lt;&gt;"",IF(AND(B119&gt;=_TM1,B119&lt;=_TM2,OR(TH!L119="1111",TH!M119="1111")),TH!D119,""),"")</f>
        <v/>
      </c>
      <c r="B119" s="36">
        <f t="shared" si="6"/>
        <v>1</v>
      </c>
      <c r="C119" s="188">
        <f t="shared" si="7"/>
        <v>41293</v>
      </c>
      <c r="D119" s="181" t="s">
        <v>1022</v>
      </c>
      <c r="E119" s="188">
        <v>41293</v>
      </c>
      <c r="F119" s="189" t="s">
        <v>722</v>
      </c>
      <c r="G119" s="480" t="s">
        <v>720</v>
      </c>
      <c r="H119" s="190" t="s">
        <v>472</v>
      </c>
      <c r="I119" s="249">
        <v>494</v>
      </c>
      <c r="J119" s="249">
        <v>13700</v>
      </c>
      <c r="K119" s="38">
        <f>ROUND(I119*J119,0)</f>
        <v>6767800</v>
      </c>
      <c r="L119" s="191" t="s">
        <v>262</v>
      </c>
      <c r="M119" s="191" t="s">
        <v>172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IF(OR(TH!L119=TH!$U$7,M119=TH!$U$7),"x","")</f>
        <v/>
      </c>
      <c r="V119" s="52" t="str">
        <f>IF(AND(B119&gt;='IN-NX'!$P$3,B119&lt;='IN-NX'!$Q$3,'IN-NX'!$D$7=D119,OR(LEFT(L119,2)="15",AND(LEFT(M119,2)&lt;&gt;"15",LEFT(M119,2)&lt;&gt;"33"))),"x","")</f>
        <v/>
      </c>
      <c r="W119" s="52" t="str">
        <f>IF(AND(OR(LEFT(TH!L119,2)="15",LEFT(TH!M119,2)="15"),'152-CT'!$J$8=TH!F119),"x","")</f>
        <v/>
      </c>
      <c r="X119" s="52" t="str">
        <f>IF(AND(OR(LEFT(TH!L119,2)="15",LEFT(TH!M119,2)="15"),TK!$E$7=TH!F119),"x","")</f>
        <v/>
      </c>
      <c r="Y119" s="52" t="str">
        <f>IF(AND(B119&lt;=NKC!$N$8,B119&gt;=NKC!$M$8),"x","")</f>
        <v/>
      </c>
      <c r="Z119" s="208"/>
      <c r="AB119" s="195"/>
    </row>
    <row r="120" spans="1:28" s="587" customFormat="1" ht="15.75" customHeight="1">
      <c r="A120" s="201" t="str">
        <f>IF(B120&lt;&gt;"",IF(AND(B120&gt;=_TM1,B120&lt;=_TM2,OR(TH!L120="1111",TH!M120="1111")),TH!D120,""),"")</f>
        <v/>
      </c>
      <c r="B120" s="36">
        <f t="shared" si="6"/>
        <v>1</v>
      </c>
      <c r="C120" s="188">
        <f t="shared" si="7"/>
        <v>41293</v>
      </c>
      <c r="D120" s="181" t="s">
        <v>1022</v>
      </c>
      <c r="E120" s="188">
        <v>41293</v>
      </c>
      <c r="F120" s="189" t="s">
        <v>723</v>
      </c>
      <c r="G120" s="480" t="s">
        <v>720</v>
      </c>
      <c r="H120" s="190" t="s">
        <v>472</v>
      </c>
      <c r="I120" s="249">
        <v>284</v>
      </c>
      <c r="J120" s="249">
        <v>11900</v>
      </c>
      <c r="K120" s="38">
        <f>ROUND(I120*J120,0)</f>
        <v>3379600</v>
      </c>
      <c r="L120" s="191" t="s">
        <v>262</v>
      </c>
      <c r="M120" s="191" t="s">
        <v>172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IF(OR(TH!L120=TH!$U$7,M120=TH!$U$7),"x","")</f>
        <v/>
      </c>
      <c r="V120" s="52" t="str">
        <f>IF(AND(B120&gt;='IN-NX'!$P$3,B120&lt;='IN-NX'!$Q$3,'IN-NX'!$D$7=D120,OR(LEFT(L120,2)="15",AND(LEFT(M120,2)&lt;&gt;"15",LEFT(M120,2)&lt;&gt;"33"))),"x","")</f>
        <v/>
      </c>
      <c r="W120" s="52" t="str">
        <f>IF(AND(OR(LEFT(TH!L120,2)="15",LEFT(TH!M120,2)="15"),'152-CT'!$J$8=TH!F120),"x","")</f>
        <v/>
      </c>
      <c r="X120" s="52" t="str">
        <f>IF(AND(OR(LEFT(TH!L120,2)="15",LEFT(TH!M120,2)="15"),TK!$E$7=TH!F120),"x","")</f>
        <v/>
      </c>
      <c r="Y120" s="52" t="str">
        <f>IF(AND(B120&lt;=NKC!$N$8,B120&gt;=NKC!$M$8),"x","")</f>
        <v/>
      </c>
      <c r="Z120" s="208"/>
      <c r="AB120" s="195"/>
    </row>
    <row r="121" spans="1:28" s="208" customFormat="1" ht="15.75" customHeight="1">
      <c r="A121" s="201" t="str">
        <f>IF(B121&lt;&gt;"",IF(AND(B121&gt;=_TM1,B121&lt;=_TM2,OR(TH!L121="1111",TH!M121="1111")),TH!D121,""),"")</f>
        <v/>
      </c>
      <c r="B121" s="36">
        <f t="shared" si="6"/>
        <v>1</v>
      </c>
      <c r="C121" s="188">
        <f t="shared" si="7"/>
        <v>41293</v>
      </c>
      <c r="D121" s="181" t="s">
        <v>1022</v>
      </c>
      <c r="E121" s="188">
        <v>41293</v>
      </c>
      <c r="F121" s="189" t="s">
        <v>693</v>
      </c>
      <c r="G121" s="480" t="s">
        <v>720</v>
      </c>
      <c r="H121" s="190" t="s">
        <v>472</v>
      </c>
      <c r="I121" s="249"/>
      <c r="J121" s="249"/>
      <c r="K121" s="38">
        <v>1536662</v>
      </c>
      <c r="L121" s="191" t="s">
        <v>262</v>
      </c>
      <c r="M121" s="191" t="s">
        <v>425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IF(OR(TH!L121=TH!$U$7,M121=TH!$U$7),"x","")</f>
        <v/>
      </c>
      <c r="V121" s="52" t="str">
        <f>IF(AND(B121&gt;='IN-NX'!$P$3,B121&lt;='IN-NX'!$Q$3,'IN-NX'!$D$7=D121,OR(LEFT(L121,2)="15",AND(LEFT(M121,2)&lt;&gt;"15",LEFT(M121,2)&lt;&gt;"33"))),"x","")</f>
        <v/>
      </c>
      <c r="W121" s="52" t="str">
        <f>IF(AND(OR(LEFT(TH!L121,2)="15",LEFT(TH!M121,2)="15"),'152-CT'!$J$8=TH!F121),"x","")</f>
        <v/>
      </c>
      <c r="X121" s="52" t="str">
        <f>IF(AND(OR(LEFT(TH!L121,2)="15",LEFT(TH!M121,2)="15"),TK!$E$7=TH!F121),"x","")</f>
        <v/>
      </c>
      <c r="Y121" s="52" t="str">
        <f>IF(AND(B121&lt;=NKC!$N$8,B121&gt;=NKC!$M$8),"x","")</f>
        <v/>
      </c>
      <c r="AA121" s="587" t="str">
        <f>IF(VLOOKUP(H121,DS_131,1,0)&lt;&gt;"","","x")</f>
        <v/>
      </c>
      <c r="AB121" s="195"/>
    </row>
    <row r="122" spans="1:28" s="208" customFormat="1" ht="15.75" customHeight="1">
      <c r="A122" s="201" t="str">
        <f>IF(B122&lt;&gt;"",IF(AND(B122&gt;=_TM1,B122&lt;=_TM2,OR(TH!L122="1111",TH!M122="1111")),TH!D122,""),"")</f>
        <v/>
      </c>
      <c r="B122" s="36">
        <f t="shared" si="6"/>
        <v>1</v>
      </c>
      <c r="C122" s="181">
        <f t="shared" si="7"/>
        <v>41295</v>
      </c>
      <c r="D122" s="181" t="s">
        <v>392</v>
      </c>
      <c r="E122" s="181">
        <v>41295</v>
      </c>
      <c r="F122" s="186" t="s">
        <v>469</v>
      </c>
      <c r="G122" s="597" t="s">
        <v>332</v>
      </c>
      <c r="H122" s="7" t="s">
        <v>464</v>
      </c>
      <c r="I122" s="249"/>
      <c r="J122" s="249"/>
      <c r="K122" s="595">
        <v>9500000</v>
      </c>
      <c r="L122" s="596" t="s">
        <v>47</v>
      </c>
      <c r="M122" s="596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IF(OR(TH!L122=TH!$U$7,M122=TH!$U$7),"x","")</f>
        <v/>
      </c>
      <c r="V122" s="52" t="str">
        <f>IF(AND(B122&gt;='IN-NX'!$P$3,B122&lt;='IN-NX'!$Q$3,'IN-NX'!$D$7=D122,OR(LEFT(L122,2)="15",AND(LEFT(M122,2)&lt;&gt;"15",LEFT(M122,2)&lt;&gt;"33"))),"x","")</f>
        <v/>
      </c>
      <c r="W122" s="52" t="str">
        <f>IF(AND(OR(LEFT(TH!L122,2)="15",LEFT(TH!M122,2)="15"),'152-CT'!$J$8=TH!F122),"x","")</f>
        <v/>
      </c>
      <c r="X122" s="52" t="str">
        <f>IF(AND(OR(LEFT(TH!L122,2)="15",LEFT(TH!M122,2)="15"),TK!$E$7=TH!F122),"x","")</f>
        <v/>
      </c>
      <c r="Y122" s="52" t="str">
        <f>IF(AND(B122&lt;=NKC!$N$8,B122&gt;=NKC!$M$8),"x","")</f>
        <v/>
      </c>
      <c r="AA122" s="587"/>
      <c r="AB122" s="587"/>
    </row>
    <row r="123" spans="1:28" s="208" customFormat="1" ht="15.75" customHeight="1">
      <c r="A123" s="201" t="str">
        <f>IF(B123&lt;&gt;"",IF(AND(B123&gt;=_TM1,B123&lt;=_TM2,OR(TH!L123="1111",TH!M123="1111")),TH!D123,""),"")</f>
        <v/>
      </c>
      <c r="B123" s="36">
        <f t="shared" si="6"/>
        <v>1</v>
      </c>
      <c r="C123" s="188">
        <f t="shared" si="7"/>
        <v>41295</v>
      </c>
      <c r="D123" s="181" t="s">
        <v>414</v>
      </c>
      <c r="E123" s="181">
        <v>41295</v>
      </c>
      <c r="F123" s="189" t="s">
        <v>597</v>
      </c>
      <c r="G123" s="480" t="s">
        <v>598</v>
      </c>
      <c r="H123" s="190" t="s">
        <v>554</v>
      </c>
      <c r="I123" s="249">
        <v>685</v>
      </c>
      <c r="J123" s="249">
        <v>8385</v>
      </c>
      <c r="K123" s="38">
        <f>ROUND(I123*J123,0)</f>
        <v>5743725</v>
      </c>
      <c r="L123" s="191" t="s">
        <v>156</v>
      </c>
      <c r="M123" s="191" t="s">
        <v>8</v>
      </c>
      <c r="N123" s="52" t="str">
        <f>IF(AND('331-CT'!$E$7=TH!H123,OR(L123="331",M123="331")),"331",IF(AND(OR(L123="131",M123="131"),H123='131-CT'!$E$7),"131",""))</f>
        <v>331</v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IF(OR(TH!L123=TH!$U$7,M123=TH!$U$7),"x","")</f>
        <v/>
      </c>
      <c r="V123" s="52" t="str">
        <f>IF(AND(B123&gt;='IN-NX'!$P$3,B123&lt;='IN-NX'!$Q$3,'IN-NX'!$D$7=D123,OR(LEFT(L123,2)="15",AND(LEFT(M123,2)&lt;&gt;"15",LEFT(M123,2)&lt;&gt;"33"))),"x","")</f>
        <v/>
      </c>
      <c r="W123" s="52" t="str">
        <f>IF(AND(OR(LEFT(TH!L123,2)="15",LEFT(TH!M123,2)="15"),'152-CT'!$J$8=TH!F123),"x","")</f>
        <v/>
      </c>
      <c r="X123" s="52" t="str">
        <f>IF(AND(OR(LEFT(TH!L123,2)="15",LEFT(TH!M123,2)="15"),TK!$E$7=TH!F123),"x","")</f>
        <v/>
      </c>
      <c r="Y123" s="52" t="str">
        <f>IF(AND(B123&lt;=NKC!$N$8,B123&gt;=NKC!$M$8),"x","")</f>
        <v/>
      </c>
      <c r="Z123" s="208">
        <v>1</v>
      </c>
      <c r="AA123" s="195"/>
      <c r="AB123" s="195"/>
    </row>
    <row r="124" spans="1:28" s="798" customFormat="1" ht="15.75" customHeight="1">
      <c r="A124" s="201" t="str">
        <f>IF(B124&lt;&gt;"",IF(AND(B124&gt;=_TM1,B124&lt;=_TM2,OR(TH!L124="1111",TH!M124="1111")),TH!D124,""),"")</f>
        <v/>
      </c>
      <c r="B124" s="36">
        <f t="shared" si="6"/>
        <v>1</v>
      </c>
      <c r="C124" s="188">
        <f t="shared" si="7"/>
        <v>41295</v>
      </c>
      <c r="D124" s="181" t="s">
        <v>414</v>
      </c>
      <c r="E124" s="181">
        <v>41295</v>
      </c>
      <c r="F124" s="189" t="s">
        <v>599</v>
      </c>
      <c r="G124" s="480" t="s">
        <v>598</v>
      </c>
      <c r="H124" s="190" t="s">
        <v>554</v>
      </c>
      <c r="I124" s="249">
        <v>241</v>
      </c>
      <c r="J124" s="249">
        <v>14784</v>
      </c>
      <c r="K124" s="38">
        <f>ROUND(I124*J124,0)</f>
        <v>3562944</v>
      </c>
      <c r="L124" s="191" t="s">
        <v>156</v>
      </c>
      <c r="M124" s="191" t="s">
        <v>8</v>
      </c>
      <c r="N124" s="52" t="str">
        <f>IF(AND('331-CT'!$E$7=TH!H124,OR(L124="331",M124="331")),"331",IF(AND(OR(L124="131",M124="131"),H124='131-CT'!$E$7),"131",""))</f>
        <v>331</v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IF(OR(TH!L124=TH!$U$7,M124=TH!$U$7),"x","")</f>
        <v/>
      </c>
      <c r="V124" s="52" t="str">
        <f>IF(AND(B124&gt;='IN-NX'!$P$3,B124&lt;='IN-NX'!$Q$3,'IN-NX'!$D$7=D124,OR(LEFT(L124,2)="15",AND(LEFT(M124,2)&lt;&gt;"15",LEFT(M124,2)&lt;&gt;"33"))),"x","")</f>
        <v/>
      </c>
      <c r="W124" s="52" t="str">
        <f>IF(AND(OR(LEFT(TH!L124,2)="15",LEFT(TH!M124,2)="15"),'152-CT'!$J$8=TH!F124),"x","")</f>
        <v/>
      </c>
      <c r="X124" s="52" t="str">
        <f>IF(AND(OR(LEFT(TH!L124,2)="15",LEFT(TH!M124,2)="15"),TK!$E$7=TH!F124),"x","")</f>
        <v/>
      </c>
      <c r="Y124" s="52" t="str">
        <f>IF(AND(B124&lt;=NKC!$N$8,B124&gt;=NKC!$M$8),"x","")</f>
        <v/>
      </c>
      <c r="Z124" s="208">
        <v>1</v>
      </c>
      <c r="AA124" s="195"/>
      <c r="AB124" s="195"/>
    </row>
    <row r="125" spans="1:28" s="208" customFormat="1" ht="15.75" customHeight="1">
      <c r="A125" s="201" t="str">
        <f>IF(B125&lt;&gt;"",IF(AND(B125&gt;=_TM1,B125&lt;=_TM2,OR(TH!L125="1111",TH!M125="1111")),TH!D125,""),"")</f>
        <v/>
      </c>
      <c r="B125" s="36">
        <f t="shared" si="6"/>
        <v>1</v>
      </c>
      <c r="C125" s="188">
        <f t="shared" si="7"/>
        <v>41295</v>
      </c>
      <c r="D125" s="181" t="s">
        <v>414</v>
      </c>
      <c r="E125" s="181">
        <v>41295</v>
      </c>
      <c r="F125" s="189" t="s">
        <v>557</v>
      </c>
      <c r="G125" s="480" t="s">
        <v>598</v>
      </c>
      <c r="H125" s="190" t="s">
        <v>554</v>
      </c>
      <c r="I125" s="249"/>
      <c r="J125" s="249"/>
      <c r="K125" s="38">
        <v>930667</v>
      </c>
      <c r="L125" s="191" t="s">
        <v>9</v>
      </c>
      <c r="M125" s="191" t="s">
        <v>8</v>
      </c>
      <c r="N125" s="52" t="str">
        <f>IF(AND('331-CT'!$E$7=TH!H125,OR(L125="331",M125="331")),"331",IF(AND(OR(L125="131",M125="131"),H125='131-CT'!$E$7),"131",""))</f>
        <v>331</v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IF(OR(TH!L125=TH!$U$7,M125=TH!$U$7),"x","")</f>
        <v/>
      </c>
      <c r="V125" s="52" t="str">
        <f>IF(AND(B125&gt;='IN-NX'!$P$3,B125&lt;='IN-NX'!$Q$3,'IN-NX'!$D$7=D125,OR(LEFT(L125,2)="15",AND(LEFT(M125,2)&lt;&gt;"15",LEFT(M125,2)&lt;&gt;"33"))),"x","")</f>
        <v/>
      </c>
      <c r="W125" s="52" t="str">
        <f>IF(AND(OR(LEFT(TH!L125,2)="15",LEFT(TH!M125,2)="15"),'152-CT'!$J$8=TH!F125),"x","")</f>
        <v/>
      </c>
      <c r="X125" s="52" t="str">
        <f>IF(AND(OR(LEFT(TH!L125,2)="15",LEFT(TH!M125,2)="15"),TK!$E$7=TH!F125),"x","")</f>
        <v/>
      </c>
      <c r="Y125" s="52" t="str">
        <f>IF(AND(B125&lt;=NKC!$N$8,B125&gt;=NKC!$M$8),"x","")</f>
        <v/>
      </c>
      <c r="Z125" s="208">
        <v>1</v>
      </c>
      <c r="AA125" s="195"/>
      <c r="AB125" s="195"/>
    </row>
    <row r="126" spans="1:28" s="587" customFormat="1" ht="15.75" customHeight="1">
      <c r="A126" s="201" t="str">
        <f>IF(B126&lt;&gt;"",IF(AND(B126&gt;=_TM1,B126&lt;=_TM2,OR(TH!L126="1111",TH!M126="1111")),TH!D126,""),"")</f>
        <v/>
      </c>
      <c r="B126" s="36">
        <f t="shared" si="6"/>
        <v>1</v>
      </c>
      <c r="C126" s="188">
        <f t="shared" si="7"/>
        <v>41295</v>
      </c>
      <c r="D126" s="181" t="s">
        <v>394</v>
      </c>
      <c r="E126" s="181">
        <v>41295</v>
      </c>
      <c r="F126" s="189" t="s">
        <v>367</v>
      </c>
      <c r="G126" s="480" t="s">
        <v>598</v>
      </c>
      <c r="H126" s="190" t="s">
        <v>554</v>
      </c>
      <c r="I126" s="249"/>
      <c r="J126" s="249"/>
      <c r="K126" s="38">
        <v>10237336</v>
      </c>
      <c r="L126" s="191" t="s">
        <v>8</v>
      </c>
      <c r="M126" s="191" t="s">
        <v>47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IF(OR(TH!L126=TH!$U$7,M126=TH!$U$7),"x","")</f>
        <v/>
      </c>
      <c r="V126" s="52" t="str">
        <f>IF(AND(B126&gt;='IN-NX'!$P$3,B126&lt;='IN-NX'!$Q$3,'IN-NX'!$D$7=D126,OR(LEFT(L126,2)="15",AND(LEFT(M126,2)&lt;&gt;"15",LEFT(M126,2)&lt;&gt;"33"))),"x","")</f>
        <v/>
      </c>
      <c r="W126" s="52" t="str">
        <f>IF(AND(OR(LEFT(TH!L126,2)="15",LEFT(TH!M126,2)="15"),'152-CT'!$J$8=TH!F126),"x","")</f>
        <v/>
      </c>
      <c r="X126" s="52" t="str">
        <f>IF(AND(OR(LEFT(TH!L126,2)="15",LEFT(TH!M126,2)="15"),TK!$E$7=TH!F126),"x","")</f>
        <v/>
      </c>
      <c r="Y126" s="52" t="str">
        <f>IF(AND(B126&lt;=NKC!$N$8,B126&gt;=NKC!$M$8),"x","")</f>
        <v/>
      </c>
      <c r="Z126" s="208"/>
      <c r="AA126" s="195"/>
      <c r="AB126" s="195"/>
    </row>
    <row r="127" spans="1:28" s="587" customFormat="1" ht="15.75" customHeight="1">
      <c r="A127" s="201" t="str">
        <f>IF(B127&lt;&gt;"",IF(AND(B127&gt;=_TM1,B127&lt;=_TM2,OR(TH!L127="1111",TH!M127="1111")),TH!D127,""),"")</f>
        <v/>
      </c>
      <c r="B127" s="36">
        <f t="shared" si="6"/>
        <v>1</v>
      </c>
      <c r="C127" s="188">
        <f t="shared" si="7"/>
        <v>41297</v>
      </c>
      <c r="D127" s="181" t="s">
        <v>1023</v>
      </c>
      <c r="E127" s="188">
        <v>41297</v>
      </c>
      <c r="F127" s="189" t="s">
        <v>724</v>
      </c>
      <c r="G127" s="189" t="s">
        <v>725</v>
      </c>
      <c r="H127" s="190" t="s">
        <v>1078</v>
      </c>
      <c r="I127" s="249">
        <v>707</v>
      </c>
      <c r="J127" s="249">
        <v>7500</v>
      </c>
      <c r="K127" s="38">
        <f>ROUND(I127*J127,0)</f>
        <v>5302500</v>
      </c>
      <c r="L127" s="191" t="s">
        <v>262</v>
      </c>
      <c r="M127" s="191" t="s">
        <v>172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IF(OR(TH!L127=TH!$U$7,M127=TH!$U$7),"x","")</f>
        <v/>
      </c>
      <c r="V127" s="52" t="str">
        <f>IF(AND(B127&gt;='IN-NX'!$P$3,B127&lt;='IN-NX'!$Q$3,'IN-NX'!$D$7=D127,OR(LEFT(L127,2)="15",AND(LEFT(M127,2)&lt;&gt;"15",LEFT(M127,2)&lt;&gt;"33"))),"x","")</f>
        <v/>
      </c>
      <c r="W127" s="52" t="str">
        <f>IF(AND(OR(LEFT(TH!L127,2)="15",LEFT(TH!M127,2)="15"),'152-CT'!$J$8=TH!F127),"x","")</f>
        <v/>
      </c>
      <c r="X127" s="52" t="str">
        <f>IF(AND(OR(LEFT(TH!L127,2)="15",LEFT(TH!M127,2)="15"),TK!$E$7=TH!F127),"x","")</f>
        <v/>
      </c>
      <c r="Y127" s="52" t="str">
        <f>IF(AND(B127&lt;=NKC!$N$8,B127&gt;=NKC!$M$8),"x","")</f>
        <v/>
      </c>
      <c r="Z127" s="208"/>
      <c r="AB127" s="195"/>
    </row>
    <row r="128" spans="1:28" s="587" customFormat="1" ht="15.75" customHeight="1">
      <c r="A128" s="201" t="str">
        <f>IF(B128&lt;&gt;"",IF(AND(B128&gt;=_TM1,B128&lt;=_TM2,OR(TH!L128="1111",TH!M128="1111")),TH!D128,""),"")</f>
        <v/>
      </c>
      <c r="B128" s="36">
        <f t="shared" si="6"/>
        <v>1</v>
      </c>
      <c r="C128" s="188">
        <f t="shared" si="7"/>
        <v>41297</v>
      </c>
      <c r="D128" s="181" t="s">
        <v>1023</v>
      </c>
      <c r="E128" s="188">
        <v>41297</v>
      </c>
      <c r="F128" s="189" t="s">
        <v>693</v>
      </c>
      <c r="G128" s="189" t="s">
        <v>725</v>
      </c>
      <c r="H128" s="190" t="s">
        <v>1078</v>
      </c>
      <c r="I128" s="249"/>
      <c r="J128" s="249"/>
      <c r="K128" s="38">
        <v>530250</v>
      </c>
      <c r="L128" s="191" t="s">
        <v>262</v>
      </c>
      <c r="M128" s="191" t="s">
        <v>425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IF(OR(TH!L128=TH!$U$7,M128=TH!$U$7),"x","")</f>
        <v/>
      </c>
      <c r="V128" s="52" t="str">
        <f>IF(AND(B128&gt;='IN-NX'!$P$3,B128&lt;='IN-NX'!$Q$3,'IN-NX'!$D$7=D128,OR(LEFT(L128,2)="15",AND(LEFT(M128,2)&lt;&gt;"15",LEFT(M128,2)&lt;&gt;"33"))),"x","")</f>
        <v/>
      </c>
      <c r="W128" s="52" t="str">
        <f>IF(AND(OR(LEFT(TH!L128,2)="15",LEFT(TH!M128,2)="15"),'152-CT'!$J$8=TH!F128),"x","")</f>
        <v/>
      </c>
      <c r="X128" s="52" t="str">
        <f>IF(AND(OR(LEFT(TH!L128,2)="15",LEFT(TH!M128,2)="15"),TK!$E$7=TH!F128),"x","")</f>
        <v/>
      </c>
      <c r="Y128" s="52" t="str">
        <f>IF(AND(B128&lt;=NKC!$N$8,B128&gt;=NKC!$M$8),"x","")</f>
        <v/>
      </c>
      <c r="Z128" s="208"/>
      <c r="AA128" s="587" t="str">
        <f>IF(VLOOKUP(H128,DS_131,1,0)&lt;&gt;"","","x")</f>
        <v/>
      </c>
      <c r="AB128" s="195"/>
    </row>
    <row r="129" spans="1:28" s="587" customFormat="1" ht="15.75" customHeight="1">
      <c r="A129" s="201" t="str">
        <f>IF(B129&lt;&gt;"",IF(AND(B129&gt;=_TM1,B129&lt;=_TM2,OR(TH!L129="1111",TH!M129="1111")),TH!D129,""),"")</f>
        <v/>
      </c>
      <c r="B129" s="36">
        <f t="shared" si="6"/>
        <v>1</v>
      </c>
      <c r="C129" s="188">
        <f t="shared" si="7"/>
        <v>41297</v>
      </c>
      <c r="D129" s="181" t="s">
        <v>397</v>
      </c>
      <c r="E129" s="188">
        <v>41297</v>
      </c>
      <c r="F129" s="186" t="s">
        <v>337</v>
      </c>
      <c r="G129" s="189" t="s">
        <v>1316</v>
      </c>
      <c r="H129" s="190" t="s">
        <v>1078</v>
      </c>
      <c r="I129" s="249"/>
      <c r="J129" s="249"/>
      <c r="K129" s="38">
        <v>10960136</v>
      </c>
      <c r="L129" s="191" t="s">
        <v>47</v>
      </c>
      <c r="M129" s="191" t="s">
        <v>262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IF(OR(TH!L129=TH!$U$7,M129=TH!$U$7),"x","")</f>
        <v/>
      </c>
      <c r="V129" s="52" t="str">
        <f>IF(AND(B129&gt;='IN-NX'!$P$3,B129&lt;='IN-NX'!$Q$3,'IN-NX'!$D$7=D129,OR(LEFT(L129,2)="15",AND(LEFT(M129,2)&lt;&gt;"15",LEFT(M129,2)&lt;&gt;"33"))),"x","")</f>
        <v/>
      </c>
      <c r="W129" s="52" t="str">
        <f>IF(AND(OR(LEFT(TH!L129,2)="15",LEFT(TH!M129,2)="15"),'152-CT'!$J$8=TH!F129),"x","")</f>
        <v/>
      </c>
      <c r="X129" s="52" t="str">
        <f>IF(AND(OR(LEFT(TH!L129,2)="15",LEFT(TH!M129,2)="15"),TK!$E$7=TH!F129),"x","")</f>
        <v/>
      </c>
      <c r="Y129" s="52" t="str">
        <f>IF(AND(B129&lt;=NKC!$N$8,B129&gt;=NKC!$M$8),"x","")</f>
        <v/>
      </c>
      <c r="Z129" s="208"/>
      <c r="AA129" s="587" t="str">
        <f>IF(VLOOKUP(H129,DS_131,1,0)&lt;&gt;"","","x")</f>
        <v/>
      </c>
      <c r="AB129" s="195"/>
    </row>
    <row r="130" spans="1:28" s="587" customFormat="1" ht="15.75" customHeight="1">
      <c r="A130" s="201" t="str">
        <f>IF(B130&lt;&gt;"",IF(AND(B130&gt;=_TM1,B130&lt;=_TM2,OR(TH!L130="1111",TH!M130="1111")),TH!D130,""),"")</f>
        <v/>
      </c>
      <c r="B130" s="36">
        <f t="shared" si="6"/>
        <v>1</v>
      </c>
      <c r="C130" s="188">
        <f t="shared" si="7"/>
        <v>41298</v>
      </c>
      <c r="D130" s="181" t="s">
        <v>415</v>
      </c>
      <c r="E130" s="188">
        <v>41298</v>
      </c>
      <c r="F130" s="189" t="s">
        <v>577</v>
      </c>
      <c r="G130" s="480" t="s">
        <v>600</v>
      </c>
      <c r="H130" s="190" t="s">
        <v>554</v>
      </c>
      <c r="I130" s="249">
        <v>199</v>
      </c>
      <c r="J130" s="249">
        <v>19270</v>
      </c>
      <c r="K130" s="38">
        <f>ROUND(I130*J130,0)</f>
        <v>3834730</v>
      </c>
      <c r="L130" s="191" t="s">
        <v>156</v>
      </c>
      <c r="M130" s="191" t="s">
        <v>8</v>
      </c>
      <c r="N130" s="52" t="str">
        <f>IF(AND('331-CT'!$E$7=TH!H130,OR(L130="331",M130="331")),"331",IF(AND(OR(L130="131",M130="131"),H130='131-CT'!$E$7),"131",""))</f>
        <v>331</v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IF(OR(TH!L130=TH!$U$7,M130=TH!$U$7),"x","")</f>
        <v/>
      </c>
      <c r="V130" s="52" t="str">
        <f>IF(AND(B130&gt;='IN-NX'!$P$3,B130&lt;='IN-NX'!$Q$3,'IN-NX'!$D$7=D130,OR(LEFT(L130,2)="15",AND(LEFT(M130,2)&lt;&gt;"15",LEFT(M130,2)&lt;&gt;"33"))),"x","")</f>
        <v/>
      </c>
      <c r="W130" s="52" t="str">
        <f>IF(AND(OR(LEFT(TH!L130,2)="15",LEFT(TH!M130,2)="15"),'152-CT'!$J$8=TH!F130),"x","")</f>
        <v/>
      </c>
      <c r="X130" s="52" t="str">
        <f>IF(AND(OR(LEFT(TH!L130,2)="15",LEFT(TH!M130,2)="15"),TK!$E$7=TH!F130),"x","")</f>
        <v/>
      </c>
      <c r="Y130" s="52" t="str">
        <f>IF(AND(B130&lt;=NKC!$N$8,B130&gt;=NKC!$M$8),"x","")</f>
        <v/>
      </c>
      <c r="Z130" s="587">
        <v>1</v>
      </c>
      <c r="AA130" s="195"/>
      <c r="AB130" s="195"/>
    </row>
    <row r="131" spans="1:28" s="587" customFormat="1" ht="15.75" customHeight="1">
      <c r="A131" s="201" t="str">
        <f>IF(B131&lt;&gt;"",IF(AND(B131&gt;=_TM1,B131&lt;=_TM2,OR(TH!L131="1111",TH!M131="1111")),TH!D131,""),"")</f>
        <v/>
      </c>
      <c r="B131" s="36">
        <f t="shared" si="6"/>
        <v>1</v>
      </c>
      <c r="C131" s="188">
        <f t="shared" si="7"/>
        <v>41298</v>
      </c>
      <c r="D131" s="181" t="s">
        <v>415</v>
      </c>
      <c r="E131" s="188">
        <v>41298</v>
      </c>
      <c r="F131" s="189" t="s">
        <v>561</v>
      </c>
      <c r="G131" s="480" t="s">
        <v>600</v>
      </c>
      <c r="H131" s="190" t="s">
        <v>554</v>
      </c>
      <c r="I131" s="249">
        <v>500</v>
      </c>
      <c r="J131" s="249">
        <v>8505</v>
      </c>
      <c r="K131" s="38">
        <f>ROUND(I131*J131,0)</f>
        <v>4252500</v>
      </c>
      <c r="L131" s="191" t="s">
        <v>156</v>
      </c>
      <c r="M131" s="191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IF(OR(TH!L131=TH!$U$7,M131=TH!$U$7),"x","")</f>
        <v/>
      </c>
      <c r="V131" s="52" t="str">
        <f>IF(AND(B131&gt;='IN-NX'!$P$3,B131&lt;='IN-NX'!$Q$3,'IN-NX'!$D$7=D131,OR(LEFT(L131,2)="15",AND(LEFT(M131,2)&lt;&gt;"15",LEFT(M131,2)&lt;&gt;"33"))),"x","")</f>
        <v/>
      </c>
      <c r="W131" s="52" t="str">
        <f>IF(AND(OR(LEFT(TH!L131,2)="15",LEFT(TH!M131,2)="15"),'152-CT'!$J$8=TH!F131),"x","")</f>
        <v/>
      </c>
      <c r="X131" s="52" t="str">
        <f>IF(AND(OR(LEFT(TH!L131,2)="15",LEFT(TH!M131,2)="15"),TK!$E$7=TH!F131),"x","")</f>
        <v/>
      </c>
      <c r="Y131" s="52" t="str">
        <f>IF(AND(B131&lt;=NKC!$N$8,B131&gt;=NKC!$M$8),"x","")</f>
        <v/>
      </c>
      <c r="Z131" s="587">
        <v>1</v>
      </c>
      <c r="AA131" s="195"/>
      <c r="AB131" s="195"/>
    </row>
    <row r="132" spans="1:28" s="587" customFormat="1" ht="15.75" customHeight="1">
      <c r="A132" s="201" t="str">
        <f>IF(B132&lt;&gt;"",IF(AND(B132&gt;=_TM1,B132&lt;=_TM2,OR(TH!L132="1111",TH!M132="1111")),TH!D132,""),"")</f>
        <v/>
      </c>
      <c r="B132" s="36">
        <f t="shared" si="6"/>
        <v>1</v>
      </c>
      <c r="C132" s="188">
        <f t="shared" si="7"/>
        <v>41298</v>
      </c>
      <c r="D132" s="181" t="s">
        <v>415</v>
      </c>
      <c r="E132" s="188">
        <v>41298</v>
      </c>
      <c r="F132" s="189" t="s">
        <v>557</v>
      </c>
      <c r="G132" s="480" t="s">
        <v>600</v>
      </c>
      <c r="H132" s="190" t="s">
        <v>554</v>
      </c>
      <c r="I132" s="249"/>
      <c r="J132" s="249"/>
      <c r="K132" s="38">
        <v>808723</v>
      </c>
      <c r="L132" s="191" t="s">
        <v>9</v>
      </c>
      <c r="M132" s="191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IF(OR(TH!L132=TH!$U$7,M132=TH!$U$7),"x","")</f>
        <v/>
      </c>
      <c r="V132" s="52" t="str">
        <f>IF(AND(B132&gt;='IN-NX'!$P$3,B132&lt;='IN-NX'!$Q$3,'IN-NX'!$D$7=D132,OR(LEFT(L132,2)="15",AND(LEFT(M132,2)&lt;&gt;"15",LEFT(M132,2)&lt;&gt;"33"))),"x","")</f>
        <v/>
      </c>
      <c r="W132" s="52" t="str">
        <f>IF(AND(OR(LEFT(TH!L132,2)="15",LEFT(TH!M132,2)="15"),'152-CT'!$J$8=TH!F132),"x","")</f>
        <v/>
      </c>
      <c r="X132" s="52" t="str">
        <f>IF(AND(OR(LEFT(TH!L132,2)="15",LEFT(TH!M132,2)="15"),TK!$E$7=TH!F132),"x","")</f>
        <v/>
      </c>
      <c r="Y132" s="52" t="str">
        <f>IF(AND(B132&lt;=NKC!$N$8,B132&gt;=NKC!$M$8),"x","")</f>
        <v/>
      </c>
      <c r="Z132" s="587">
        <v>1</v>
      </c>
      <c r="AA132" s="195"/>
      <c r="AB132" s="195"/>
    </row>
    <row r="133" spans="1:28" s="587" customFormat="1" ht="15.75" customHeight="1">
      <c r="A133" s="201" t="str">
        <f>IF(B133&lt;&gt;"",IF(AND(B133&gt;=_TM1,B133&lt;=_TM2,OR(TH!L133="1111",TH!M133="1111")),TH!D133,""),"")</f>
        <v/>
      </c>
      <c r="B133" s="36">
        <f t="shared" si="6"/>
        <v>1</v>
      </c>
      <c r="C133" s="188">
        <f t="shared" si="7"/>
        <v>41298</v>
      </c>
      <c r="D133" s="181" t="s">
        <v>395</v>
      </c>
      <c r="E133" s="188">
        <v>41298</v>
      </c>
      <c r="F133" s="189" t="s">
        <v>367</v>
      </c>
      <c r="G133" s="480" t="s">
        <v>600</v>
      </c>
      <c r="H133" s="190" t="s">
        <v>554</v>
      </c>
      <c r="I133" s="249"/>
      <c r="J133" s="249"/>
      <c r="K133" s="38">
        <v>8895953</v>
      </c>
      <c r="L133" s="191" t="s">
        <v>8</v>
      </c>
      <c r="M133" s="191" t="s">
        <v>47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IF(OR(TH!L133=TH!$U$7,M133=TH!$U$7),"x","")</f>
        <v/>
      </c>
      <c r="V133" s="52" t="str">
        <f>IF(AND(B133&gt;='IN-NX'!$P$3,B133&lt;='IN-NX'!$Q$3,'IN-NX'!$D$7=D133,OR(LEFT(L133,2)="15",AND(LEFT(M133,2)&lt;&gt;"15",LEFT(M133,2)&lt;&gt;"33"))),"x","")</f>
        <v/>
      </c>
      <c r="W133" s="52" t="str">
        <f>IF(AND(OR(LEFT(TH!L133,2)="15",LEFT(TH!M133,2)="15"),'152-CT'!$J$8=TH!F133),"x","")</f>
        <v/>
      </c>
      <c r="X133" s="52" t="str">
        <f>IF(AND(OR(LEFT(TH!L133,2)="15",LEFT(TH!M133,2)="15"),TK!$E$7=TH!F133),"x","")</f>
        <v/>
      </c>
      <c r="Y133" s="52" t="str">
        <f>IF(AND(B133&lt;=NKC!$N$8,B133&gt;=NKC!$M$8),"x","")</f>
        <v/>
      </c>
      <c r="Z133" s="208"/>
      <c r="AA133" s="195"/>
      <c r="AB133" s="195"/>
    </row>
    <row r="134" spans="1:28" s="587" customFormat="1" ht="15.75" customHeight="1">
      <c r="A134" s="201" t="str">
        <f>IF(B134&lt;&gt;"",IF(AND(B134&gt;=_TM1,B134&lt;=_TM2,OR(TH!L134="1111",TH!M134="1111")),TH!D134,""),"")</f>
        <v/>
      </c>
      <c r="B134" s="36">
        <f t="shared" si="6"/>
        <v>1</v>
      </c>
      <c r="C134" s="181">
        <f t="shared" si="7"/>
        <v>41299</v>
      </c>
      <c r="D134" s="181" t="s">
        <v>396</v>
      </c>
      <c r="E134" s="188">
        <v>41299</v>
      </c>
      <c r="F134" s="186" t="s">
        <v>363</v>
      </c>
      <c r="G134" s="597" t="s">
        <v>332</v>
      </c>
      <c r="H134" s="7" t="s">
        <v>464</v>
      </c>
      <c r="I134" s="250"/>
      <c r="J134" s="251"/>
      <c r="K134" s="38">
        <v>6500000</v>
      </c>
      <c r="L134" s="596" t="s">
        <v>24</v>
      </c>
      <c r="M134" s="596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IF(OR(TH!L134=TH!$U$7,M134=TH!$U$7),"x","")</f>
        <v/>
      </c>
      <c r="V134" s="52" t="str">
        <f>IF(AND(B134&gt;='IN-NX'!$P$3,B134&lt;='IN-NX'!$Q$3,'IN-NX'!$D$7=D134,OR(LEFT(L134,2)="15",AND(LEFT(M134,2)&lt;&gt;"15",LEFT(M134,2)&lt;&gt;"33"))),"x","")</f>
        <v/>
      </c>
      <c r="W134" s="52" t="str">
        <f>IF(AND(OR(LEFT(TH!L134,2)="15",LEFT(TH!M134,2)="15"),'152-CT'!$J$8=TH!F134),"x","")</f>
        <v/>
      </c>
      <c r="X134" s="52" t="str">
        <f>IF(AND(OR(LEFT(TH!L134,2)="15",LEFT(TH!M134,2)="15"),TK!$E$7=TH!F134),"x","")</f>
        <v/>
      </c>
      <c r="Y134" s="52" t="str">
        <f>IF(AND(B134&lt;=NKC!$N$8,B134&gt;=NKC!$M$8),"x","")</f>
        <v/>
      </c>
      <c r="AA134" s="208"/>
    </row>
    <row r="135" spans="1:28" s="587" customFormat="1" ht="15.75" customHeight="1">
      <c r="A135" s="201" t="str">
        <f>IF(B135&lt;&gt;"",IF(AND(B135&gt;=_TM1,B135&lt;=_TM2,OR(TH!L135="1111",TH!M135="1111")),TH!D135,""),"")</f>
        <v/>
      </c>
      <c r="B135" s="36">
        <f t="shared" si="6"/>
        <v>1</v>
      </c>
      <c r="C135" s="181">
        <f t="shared" si="7"/>
        <v>41299</v>
      </c>
      <c r="D135" s="181" t="s">
        <v>335</v>
      </c>
      <c r="E135" s="188">
        <v>41299</v>
      </c>
      <c r="F135" s="186" t="s">
        <v>365</v>
      </c>
      <c r="G135" s="597" t="s">
        <v>332</v>
      </c>
      <c r="H135" s="7"/>
      <c r="I135" s="250"/>
      <c r="J135" s="251"/>
      <c r="K135" s="38">
        <v>4047</v>
      </c>
      <c r="L135" s="596" t="s">
        <v>24</v>
      </c>
      <c r="M135" s="596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IF(OR(TH!L135=TH!$U$7,M135=TH!$U$7),"x","")</f>
        <v/>
      </c>
      <c r="V135" s="52" t="str">
        <f>IF(AND(B135&gt;='IN-NX'!$P$3,B135&lt;='IN-NX'!$Q$3,'IN-NX'!$D$7=D135,OR(LEFT(L135,2)="15",AND(LEFT(M135,2)&lt;&gt;"15",LEFT(M135,2)&lt;&gt;"33"))),"x","")</f>
        <v/>
      </c>
      <c r="W135" s="52" t="str">
        <f>IF(AND(OR(LEFT(TH!L135,2)="15",LEFT(TH!M135,2)="15"),'152-CT'!$J$8=TH!F135),"x","")</f>
        <v/>
      </c>
      <c r="X135" s="52" t="str">
        <f>IF(AND(OR(LEFT(TH!L135,2)="15",LEFT(TH!M135,2)="15"),TK!$E$7=TH!F135),"x","")</f>
        <v/>
      </c>
      <c r="Y135" s="52" t="str">
        <f>IF(AND(B135&lt;=NKC!$N$8,B135&gt;=NKC!$M$8),"x","")</f>
        <v/>
      </c>
      <c r="AA135" s="208"/>
    </row>
    <row r="136" spans="1:28" s="587" customFormat="1" ht="15.75" customHeight="1">
      <c r="A136" s="201" t="str">
        <f>IF(B136&lt;&gt;"",IF(AND(B136&gt;=_TM1,B136&lt;=_TM2,OR(TH!L136="1111",TH!M136="1111")),TH!D136,""),"")</f>
        <v/>
      </c>
      <c r="B136" s="36">
        <f t="shared" si="6"/>
        <v>1</v>
      </c>
      <c r="C136" s="181">
        <f t="shared" si="7"/>
        <v>41299</v>
      </c>
      <c r="D136" s="181" t="s">
        <v>336</v>
      </c>
      <c r="E136" s="181">
        <v>41299</v>
      </c>
      <c r="F136" s="186" t="s">
        <v>367</v>
      </c>
      <c r="G136" s="597" t="s">
        <v>332</v>
      </c>
      <c r="H136" s="190" t="s">
        <v>1080</v>
      </c>
      <c r="I136" s="249"/>
      <c r="J136" s="249"/>
      <c r="K136" s="595">
        <v>6512000</v>
      </c>
      <c r="L136" s="596" t="s">
        <v>8</v>
      </c>
      <c r="M136" s="596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IF(OR(TH!L136=TH!$U$7,M136=TH!$U$7),"x","")</f>
        <v/>
      </c>
      <c r="V136" s="52" t="str">
        <f>IF(AND(B136&gt;='IN-NX'!$P$3,B136&lt;='IN-NX'!$Q$3,'IN-NX'!$D$7=D136,OR(LEFT(L136,2)="15",AND(LEFT(M136,2)&lt;&gt;"15",LEFT(M136,2)&lt;&gt;"33"))),"x","")</f>
        <v/>
      </c>
      <c r="W136" s="52" t="str">
        <f>IF(AND(OR(LEFT(TH!L136,2)="15",LEFT(TH!M136,2)="15"),'152-CT'!$J$8=TH!F136),"x","")</f>
        <v/>
      </c>
      <c r="X136" s="52" t="str">
        <f>IF(AND(OR(LEFT(TH!L136,2)="15",LEFT(TH!M136,2)="15"),TK!$E$7=TH!F136),"x","")</f>
        <v/>
      </c>
      <c r="Y136" s="52" t="str">
        <f>IF(AND(B136&lt;=NKC!$N$8,B136&gt;=NKC!$M$8),"x","")</f>
        <v/>
      </c>
      <c r="Z136" s="208"/>
    </row>
    <row r="137" spans="1:28" s="587" customFormat="1" ht="15.75" customHeight="1">
      <c r="A137" s="201" t="str">
        <f>IF(B137&lt;&gt;"",IF(AND(B137&gt;=_TM1,B137&lt;=_TM2,OR(TH!L137="1111",TH!M137="1111")),TH!D137,""),"")</f>
        <v/>
      </c>
      <c r="B137" s="36">
        <f t="shared" si="6"/>
        <v>1</v>
      </c>
      <c r="C137" s="181">
        <f t="shared" si="7"/>
        <v>41299</v>
      </c>
      <c r="D137" s="181" t="s">
        <v>336</v>
      </c>
      <c r="E137" s="181">
        <v>41299</v>
      </c>
      <c r="F137" s="186" t="s">
        <v>338</v>
      </c>
      <c r="G137" s="597" t="s">
        <v>332</v>
      </c>
      <c r="H137" s="45"/>
      <c r="I137" s="249"/>
      <c r="J137" s="249"/>
      <c r="K137" s="38">
        <v>10000</v>
      </c>
      <c r="L137" s="596" t="s">
        <v>83</v>
      </c>
      <c r="M137" s="596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IF(OR(TH!L137=TH!$U$7,M137=TH!$U$7),"x","")</f>
        <v>x</v>
      </c>
      <c r="V137" s="52" t="str">
        <f>IF(AND(B137&gt;='IN-NX'!$P$3,B137&lt;='IN-NX'!$Q$3,'IN-NX'!$D$7=D137,OR(LEFT(L137,2)="15",AND(LEFT(M137,2)&lt;&gt;"15",LEFT(M137,2)&lt;&gt;"33"))),"x","")</f>
        <v/>
      </c>
      <c r="W137" s="52" t="str">
        <f>IF(AND(OR(LEFT(TH!L137,2)="15",LEFT(TH!M137,2)="15"),'152-CT'!$J$8=TH!F137),"x","")</f>
        <v/>
      </c>
      <c r="X137" s="52" t="str">
        <f>IF(AND(OR(LEFT(TH!L137,2)="15",LEFT(TH!M137,2)="15"),TK!$E$7=TH!F137),"x","")</f>
        <v/>
      </c>
      <c r="Y137" s="52" t="str">
        <f>IF(AND(B137&lt;=NKC!$N$8,B137&gt;=NKC!$M$8),"x","")</f>
        <v/>
      </c>
      <c r="Z137" s="208"/>
    </row>
    <row r="138" spans="1:28" s="587" customFormat="1" ht="15.75" customHeight="1">
      <c r="A138" s="201" t="str">
        <f>IF(B138&lt;&gt;"",IF(AND(B138&gt;=_TM1,B138&lt;=_TM2,OR(TH!L138="1111",TH!M138="1111")),TH!D138,""),"")</f>
        <v/>
      </c>
      <c r="B138" s="36">
        <f t="shared" si="6"/>
        <v>1</v>
      </c>
      <c r="C138" s="181">
        <f t="shared" si="7"/>
        <v>41299</v>
      </c>
      <c r="D138" s="181" t="s">
        <v>336</v>
      </c>
      <c r="E138" s="181">
        <v>41299</v>
      </c>
      <c r="F138" s="186" t="s">
        <v>465</v>
      </c>
      <c r="G138" s="597" t="s">
        <v>332</v>
      </c>
      <c r="H138" s="7"/>
      <c r="I138" s="250"/>
      <c r="J138" s="251"/>
      <c r="K138" s="38">
        <v>10000</v>
      </c>
      <c r="L138" s="596" t="s">
        <v>83</v>
      </c>
      <c r="M138" s="5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IF(OR(TH!L138=TH!$U$7,M138=TH!$U$7),"x","")</f>
        <v>x</v>
      </c>
      <c r="V138" s="52" t="str">
        <f>IF(AND(B138&gt;='IN-NX'!$P$3,B138&lt;='IN-NX'!$Q$3,'IN-NX'!$D$7=D138,OR(LEFT(L138,2)="15",AND(LEFT(M138,2)&lt;&gt;"15",LEFT(M138,2)&lt;&gt;"33"))),"x","")</f>
        <v/>
      </c>
      <c r="W138" s="52" t="str">
        <f>IF(AND(OR(LEFT(TH!L138,2)="15",LEFT(TH!M138,2)="15"),'152-CT'!$J$8=TH!F138),"x","")</f>
        <v/>
      </c>
      <c r="X138" s="52" t="str">
        <f>IF(AND(OR(LEFT(TH!L138,2)="15",LEFT(TH!M138,2)="15"),TK!$E$7=TH!F138),"x","")</f>
        <v/>
      </c>
      <c r="Y138" s="52" t="str">
        <f>IF(AND(B138&lt;=NKC!$N$8,B138&gt;=NKC!$M$8),"x","")</f>
        <v/>
      </c>
    </row>
    <row r="139" spans="1:28" s="587" customFormat="1" ht="15.75" customHeight="1">
      <c r="A139" s="201" t="str">
        <f>IF(B139&lt;&gt;"",IF(AND(B139&gt;=_TM1,B139&lt;=_TM2,OR(TH!L139="1111",TH!M139="1111")),TH!D139,""),"")</f>
        <v/>
      </c>
      <c r="B139" s="36">
        <f t="shared" si="6"/>
        <v>1</v>
      </c>
      <c r="C139" s="181">
        <f t="shared" si="7"/>
        <v>41302</v>
      </c>
      <c r="D139" s="181" t="s">
        <v>335</v>
      </c>
      <c r="E139" s="188">
        <v>41302</v>
      </c>
      <c r="F139" s="186" t="s">
        <v>337</v>
      </c>
      <c r="G139" s="597" t="s">
        <v>332</v>
      </c>
      <c r="H139" s="7" t="s">
        <v>468</v>
      </c>
      <c r="I139" s="250"/>
      <c r="J139" s="251"/>
      <c r="K139" s="38">
        <v>17874670</v>
      </c>
      <c r="L139" s="596" t="s">
        <v>24</v>
      </c>
      <c r="M139" s="596" t="s">
        <v>262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>x</v>
      </c>
      <c r="T139" s="52" t="str">
        <f>IF(ISERROR(FIND('112'!$M$9,G139,1)),"",IF((AND(RIGHT(G139,2)=RIGHT('112'!$M$9,2),B139&lt;'112'!$N$8,$M139='112'!$I$6)),"x",""))</f>
        <v/>
      </c>
      <c r="U139" s="52" t="str">
        <f>IF(OR(TH!L139=TH!$U$7,M139=TH!$U$7),"x","")</f>
        <v/>
      </c>
      <c r="V139" s="52" t="str">
        <f>IF(AND(B139&gt;='IN-NX'!$P$3,B139&lt;='IN-NX'!$Q$3,'IN-NX'!$D$7=D139,OR(LEFT(L139,2)="15",AND(LEFT(M139,2)&lt;&gt;"15",LEFT(M139,2)&lt;&gt;"33"))),"x","")</f>
        <v/>
      </c>
      <c r="W139" s="52" t="str">
        <f>IF(AND(OR(LEFT(TH!L139,2)="15",LEFT(TH!M139,2)="15"),'152-CT'!$J$8=TH!F139),"x","")</f>
        <v/>
      </c>
      <c r="X139" s="52" t="str">
        <f>IF(AND(OR(LEFT(TH!L139,2)="15",LEFT(TH!M139,2)="15"),TK!$E$7=TH!F139),"x","")</f>
        <v/>
      </c>
      <c r="Y139" s="52" t="str">
        <f>IF(AND(B139&lt;=NKC!$N$8,B139&gt;=NKC!$M$8),"x","")</f>
        <v/>
      </c>
    </row>
    <row r="140" spans="1:28" s="587" customFormat="1" ht="15.75" customHeight="1">
      <c r="A140" s="201" t="str">
        <f>IF(B140&lt;&gt;"",IF(AND(B140&gt;=_TM1,B140&lt;=_TM2,OR(TH!L140="1111",TH!M140="1111")),TH!D140,""),"")</f>
        <v/>
      </c>
      <c r="B140" s="36">
        <f t="shared" si="6"/>
        <v>1</v>
      </c>
      <c r="C140" s="188">
        <f t="shared" si="7"/>
        <v>41302</v>
      </c>
      <c r="D140" s="181" t="s">
        <v>416</v>
      </c>
      <c r="E140" s="181">
        <v>41302</v>
      </c>
      <c r="F140" s="189" t="s">
        <v>601</v>
      </c>
      <c r="G140" s="657" t="s">
        <v>602</v>
      </c>
      <c r="H140" s="190" t="s">
        <v>554</v>
      </c>
      <c r="I140" s="249">
        <v>201</v>
      </c>
      <c r="J140" s="249">
        <v>13517</v>
      </c>
      <c r="K140" s="38">
        <f>ROUND(I140*J140,0)</f>
        <v>2716917</v>
      </c>
      <c r="L140" s="191" t="s">
        <v>156</v>
      </c>
      <c r="M140" s="191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IF(OR(TH!L140=TH!$U$7,M140=TH!$U$7),"x","")</f>
        <v/>
      </c>
      <c r="V140" s="52" t="str">
        <f>IF(AND(B140&gt;='IN-NX'!$P$3,B140&lt;='IN-NX'!$Q$3,'IN-NX'!$D$7=D140,OR(LEFT(L140,2)="15",AND(LEFT(M140,2)&lt;&gt;"15",LEFT(M140,2)&lt;&gt;"33"))),"x","")</f>
        <v/>
      </c>
      <c r="W140" s="52" t="str">
        <f>IF(AND(OR(LEFT(TH!L140,2)="15",LEFT(TH!M140,2)="15"),'152-CT'!$J$8=TH!F140),"x","")</f>
        <v/>
      </c>
      <c r="X140" s="52" t="str">
        <f>IF(AND(OR(LEFT(TH!L140,2)="15",LEFT(TH!M140,2)="15"),TK!$E$7=TH!F140),"x","")</f>
        <v/>
      </c>
      <c r="Y140" s="52" t="str">
        <f>IF(AND(B140&lt;=NKC!$N$8,B140&gt;=NKC!$M$8),"x","")</f>
        <v/>
      </c>
      <c r="Z140" s="587">
        <v>1</v>
      </c>
      <c r="AA140" s="195"/>
      <c r="AB140" s="195"/>
    </row>
    <row r="141" spans="1:28" s="587" customFormat="1" ht="15.75" customHeight="1">
      <c r="A141" s="201" t="str">
        <f>IF(B141&lt;&gt;"",IF(AND(B141&gt;=_TM1,B141&lt;=_TM2,OR(TH!L141="1111",TH!M141="1111")),TH!D141,""),"")</f>
        <v/>
      </c>
      <c r="B141" s="36">
        <f t="shared" si="6"/>
        <v>1</v>
      </c>
      <c r="C141" s="188">
        <f t="shared" si="7"/>
        <v>41302</v>
      </c>
      <c r="D141" s="181" t="s">
        <v>416</v>
      </c>
      <c r="E141" s="181">
        <v>41302</v>
      </c>
      <c r="F141" s="189" t="s">
        <v>603</v>
      </c>
      <c r="G141" s="657" t="s">
        <v>602</v>
      </c>
      <c r="H141" s="190" t="s">
        <v>554</v>
      </c>
      <c r="I141" s="249">
        <v>192</v>
      </c>
      <c r="J141" s="249">
        <v>11126</v>
      </c>
      <c r="K141" s="38">
        <f>ROUND(I141*J141,0)</f>
        <v>2136192</v>
      </c>
      <c r="L141" s="191" t="s">
        <v>156</v>
      </c>
      <c r="M141" s="191" t="s">
        <v>8</v>
      </c>
      <c r="N141" s="52" t="str">
        <f>IF(AND('331-CT'!$E$7=TH!H141,OR(L141="331",M141="331")),"331",IF(AND(OR(L141="131",M141="131"),H141='131-CT'!$E$7),"131",""))</f>
        <v>331</v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IF(OR(TH!L141=TH!$U$7,M141=TH!$U$7),"x","")</f>
        <v/>
      </c>
      <c r="V141" s="52" t="str">
        <f>IF(AND(B141&gt;='IN-NX'!$P$3,B141&lt;='IN-NX'!$Q$3,'IN-NX'!$D$7=D141,OR(LEFT(L141,2)="15",AND(LEFT(M141,2)&lt;&gt;"15",LEFT(M141,2)&lt;&gt;"33"))),"x","")</f>
        <v/>
      </c>
      <c r="W141" s="52" t="str">
        <f>IF(AND(OR(LEFT(TH!L141,2)="15",LEFT(TH!M141,2)="15"),'152-CT'!$J$8=TH!F141),"x","")</f>
        <v/>
      </c>
      <c r="X141" s="52" t="str">
        <f>IF(AND(OR(LEFT(TH!L141,2)="15",LEFT(TH!M141,2)="15"),TK!$E$7=TH!F141),"x","")</f>
        <v/>
      </c>
      <c r="Y141" s="52" t="str">
        <f>IF(AND(B141&lt;=NKC!$N$8,B141&gt;=NKC!$M$8),"x","")</f>
        <v/>
      </c>
      <c r="Z141" s="587">
        <v>1</v>
      </c>
      <c r="AA141" s="195"/>
      <c r="AB141" s="195"/>
    </row>
    <row r="142" spans="1:28" s="587" customFormat="1" ht="15.75" customHeight="1">
      <c r="A142" s="201" t="str">
        <f>IF(B142&lt;&gt;"",IF(AND(B142&gt;=_TM1,B142&lt;=_TM2,OR(TH!L142="1111",TH!M142="1111")),TH!D142,""),"")</f>
        <v/>
      </c>
      <c r="B142" s="36">
        <f t="shared" si="6"/>
        <v>1</v>
      </c>
      <c r="C142" s="188">
        <f t="shared" si="7"/>
        <v>41302</v>
      </c>
      <c r="D142" s="181" t="s">
        <v>416</v>
      </c>
      <c r="E142" s="181">
        <v>41302</v>
      </c>
      <c r="F142" s="189" t="s">
        <v>599</v>
      </c>
      <c r="G142" s="657" t="s">
        <v>602</v>
      </c>
      <c r="H142" s="190" t="s">
        <v>554</v>
      </c>
      <c r="I142" s="249">
        <v>378</v>
      </c>
      <c r="J142" s="249">
        <v>14784</v>
      </c>
      <c r="K142" s="38">
        <f>ROUND(I142*J142,0)</f>
        <v>5588352</v>
      </c>
      <c r="L142" s="191" t="s">
        <v>156</v>
      </c>
      <c r="M142" s="191" t="s">
        <v>8</v>
      </c>
      <c r="N142" s="52" t="str">
        <f>IF(AND('331-CT'!$E$7=TH!H142,OR(L142="331",M142="331")),"331",IF(AND(OR(L142="131",M142="131"),H142='131-CT'!$E$7),"131",""))</f>
        <v>331</v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IF(OR(TH!L142=TH!$U$7,M142=TH!$U$7),"x","")</f>
        <v/>
      </c>
      <c r="V142" s="52" t="str">
        <f>IF(AND(B142&gt;='IN-NX'!$P$3,B142&lt;='IN-NX'!$Q$3,'IN-NX'!$D$7=D142,OR(LEFT(L142,2)="15",AND(LEFT(M142,2)&lt;&gt;"15",LEFT(M142,2)&lt;&gt;"33"))),"x","")</f>
        <v/>
      </c>
      <c r="W142" s="52" t="str">
        <f>IF(AND(OR(LEFT(TH!L142,2)="15",LEFT(TH!M142,2)="15"),'152-CT'!$J$8=TH!F142),"x","")</f>
        <v/>
      </c>
      <c r="X142" s="52" t="str">
        <f>IF(AND(OR(LEFT(TH!L142,2)="15",LEFT(TH!M142,2)="15"),TK!$E$7=TH!F142),"x","")</f>
        <v/>
      </c>
      <c r="Y142" s="52" t="str">
        <f>IF(AND(B142&lt;=NKC!$N$8,B142&gt;=NKC!$M$8),"x","")</f>
        <v/>
      </c>
      <c r="Z142" s="587">
        <v>1</v>
      </c>
      <c r="AA142" s="195"/>
      <c r="AB142" s="195"/>
    </row>
    <row r="143" spans="1:28" s="587" customFormat="1" ht="15.75" customHeight="1">
      <c r="A143" s="201" t="str">
        <f>IF(B143&lt;&gt;"",IF(AND(B143&gt;=_TM1,B143&lt;=_TM2,OR(TH!L143="1111",TH!M143="1111")),TH!D143,""),"")</f>
        <v/>
      </c>
      <c r="B143" s="36">
        <f t="shared" si="6"/>
        <v>1</v>
      </c>
      <c r="C143" s="188">
        <f t="shared" si="7"/>
        <v>41302</v>
      </c>
      <c r="D143" s="181" t="s">
        <v>416</v>
      </c>
      <c r="E143" s="181">
        <v>41302</v>
      </c>
      <c r="F143" s="189" t="s">
        <v>604</v>
      </c>
      <c r="G143" s="657" t="s">
        <v>602</v>
      </c>
      <c r="H143" s="190" t="s">
        <v>554</v>
      </c>
      <c r="I143" s="249">
        <v>505</v>
      </c>
      <c r="J143" s="249">
        <v>13465</v>
      </c>
      <c r="K143" s="38">
        <f>ROUND(I143*J143,0)</f>
        <v>6799825</v>
      </c>
      <c r="L143" s="191" t="s">
        <v>156</v>
      </c>
      <c r="M143" s="191" t="s">
        <v>8</v>
      </c>
      <c r="N143" s="52" t="str">
        <f>IF(AND('331-CT'!$E$7=TH!H143,OR(L143="331",M143="331")),"331",IF(AND(OR(L143="131",M143="131"),H143='131-CT'!$E$7),"131",""))</f>
        <v>331</v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IF(OR(TH!L143=TH!$U$7,M143=TH!$U$7),"x","")</f>
        <v/>
      </c>
      <c r="V143" s="52" t="str">
        <f>IF(AND(B143&gt;='IN-NX'!$P$3,B143&lt;='IN-NX'!$Q$3,'IN-NX'!$D$7=D143,OR(LEFT(L143,2)="15",AND(LEFT(M143,2)&lt;&gt;"15",LEFT(M143,2)&lt;&gt;"33"))),"x","")</f>
        <v/>
      </c>
      <c r="W143" s="52" t="str">
        <f>IF(AND(OR(LEFT(TH!L143,2)="15",LEFT(TH!M143,2)="15"),'152-CT'!$J$8=TH!F143),"x","")</f>
        <v/>
      </c>
      <c r="X143" s="52" t="str">
        <f>IF(AND(OR(LEFT(TH!L143,2)="15",LEFT(TH!M143,2)="15"),TK!$E$7=TH!F143),"x","")</f>
        <v/>
      </c>
      <c r="Y143" s="52" t="str">
        <f>IF(AND(B143&lt;=NKC!$N$8,B143&gt;=NKC!$M$8),"x","")</f>
        <v/>
      </c>
      <c r="Z143" s="587">
        <v>1</v>
      </c>
      <c r="AA143" s="195"/>
      <c r="AB143" s="195"/>
    </row>
    <row r="144" spans="1:28" ht="15.75" customHeight="1">
      <c r="A144" s="201" t="str">
        <f>IF(B144&lt;&gt;"",IF(AND(B144&gt;=_TM1,B144&lt;=_TM2,OR(TH!L144="1111",TH!M144="1111")),TH!D144,""),"")</f>
        <v/>
      </c>
      <c r="B144" s="36">
        <f t="shared" si="6"/>
        <v>1</v>
      </c>
      <c r="C144" s="188">
        <f t="shared" si="7"/>
        <v>41302</v>
      </c>
      <c r="D144" s="181" t="s">
        <v>416</v>
      </c>
      <c r="E144" s="181">
        <v>41302</v>
      </c>
      <c r="F144" s="189" t="s">
        <v>557</v>
      </c>
      <c r="G144" s="657" t="s">
        <v>602</v>
      </c>
      <c r="H144" s="190" t="s">
        <v>554</v>
      </c>
      <c r="I144" s="249"/>
      <c r="J144" s="249"/>
      <c r="K144" s="38">
        <v>1724129</v>
      </c>
      <c r="L144" s="191" t="s">
        <v>9</v>
      </c>
      <c r="M144" s="191" t="s">
        <v>8</v>
      </c>
      <c r="N144" s="52" t="str">
        <f>IF(AND('331-CT'!$E$7=TH!H144,OR(L144="331",M144="331")),"331",IF(AND(OR(L144="131",M144="131"),H144='131-CT'!$E$7),"131",""))</f>
        <v>331</v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IF(OR(TH!L144=TH!$U$7,M144=TH!$U$7),"x","")</f>
        <v/>
      </c>
      <c r="V144" s="52" t="str">
        <f>IF(AND(B144&gt;='IN-NX'!$P$3,B144&lt;='IN-NX'!$Q$3,'IN-NX'!$D$7=D144,OR(LEFT(L144,2)="15",AND(LEFT(M144,2)&lt;&gt;"15",LEFT(M144,2)&lt;&gt;"33"))),"x","")</f>
        <v/>
      </c>
      <c r="W144" s="52" t="str">
        <f>IF(AND(OR(LEFT(TH!L144,2)="15",LEFT(TH!M144,2)="15"),'152-CT'!$J$8=TH!F144),"x","")</f>
        <v/>
      </c>
      <c r="X144" s="52" t="str">
        <f>IF(AND(OR(LEFT(TH!L144,2)="15",LEFT(TH!M144,2)="15"),TK!$E$7=TH!F144),"x","")</f>
        <v/>
      </c>
      <c r="Y144" s="52" t="str">
        <f>IF(AND(B144&lt;=NKC!$N$8,B144&gt;=NKC!$M$8),"x","")</f>
        <v/>
      </c>
      <c r="Z144" s="587">
        <v>1</v>
      </c>
    </row>
    <row r="145" spans="1:28" ht="15.75" customHeight="1">
      <c r="A145" s="201" t="str">
        <f>IF(B145&lt;&gt;"",IF(AND(B145&gt;=_TM1,B145&lt;=_TM2,OR(TH!L145="1111",TH!M145="1111")),TH!D145,""),"")</f>
        <v/>
      </c>
      <c r="B145" s="36">
        <f t="shared" ref="B145:B206" si="9">IF(C145&lt;&gt;"",MONTH(C145),"")</f>
        <v>1</v>
      </c>
      <c r="C145" s="188">
        <f t="shared" si="7"/>
        <v>41302</v>
      </c>
      <c r="D145" s="181" t="s">
        <v>398</v>
      </c>
      <c r="E145" s="181">
        <v>41302</v>
      </c>
      <c r="F145" s="189" t="s">
        <v>367</v>
      </c>
      <c r="G145" s="657" t="s">
        <v>602</v>
      </c>
      <c r="H145" s="190" t="s">
        <v>554</v>
      </c>
      <c r="I145" s="249"/>
      <c r="J145" s="249"/>
      <c r="K145" s="38">
        <v>18965415</v>
      </c>
      <c r="L145" s="191" t="s">
        <v>8</v>
      </c>
      <c r="M145" s="191" t="s">
        <v>47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IF(OR(TH!L145=TH!$U$7,M145=TH!$U$7),"x","")</f>
        <v/>
      </c>
      <c r="V145" s="52" t="str">
        <f>IF(AND(B145&gt;='IN-NX'!$P$3,B145&lt;='IN-NX'!$Q$3,'IN-NX'!$D$7=D145,OR(LEFT(L145,2)="15",AND(LEFT(M145,2)&lt;&gt;"15",LEFT(M145,2)&lt;&gt;"33"))),"x","")</f>
        <v/>
      </c>
      <c r="W145" s="52" t="str">
        <f>IF(AND(OR(LEFT(TH!L145,2)="15",LEFT(TH!M145,2)="15"),'152-CT'!$J$8=TH!F145),"x","")</f>
        <v/>
      </c>
      <c r="X145" s="52" t="str">
        <f>IF(AND(OR(LEFT(TH!L145,2)="15",LEFT(TH!M145,2)="15"),TK!$E$7=TH!F145),"x","")</f>
        <v/>
      </c>
      <c r="Y145" s="52" t="str">
        <f>IF(AND(B145&lt;=NKC!$N$8,B145&gt;=NKC!$M$8),"x","")</f>
        <v/>
      </c>
      <c r="Z145" s="208"/>
    </row>
    <row r="146" spans="1:28" ht="15.75" customHeight="1">
      <c r="A146" s="201" t="str">
        <f>IF(B146&lt;&gt;"",IF(AND(B146&gt;=_TM1,B146&lt;=_TM2,OR(TH!L146="1111",TH!M146="1111")),TH!D146,""),"")</f>
        <v/>
      </c>
      <c r="B146" s="36">
        <f t="shared" si="9"/>
        <v>1</v>
      </c>
      <c r="C146" s="181">
        <f t="shared" si="7"/>
        <v>41303</v>
      </c>
      <c r="D146" s="181" t="s">
        <v>335</v>
      </c>
      <c r="E146" s="181">
        <v>41303</v>
      </c>
      <c r="F146" s="186" t="s">
        <v>337</v>
      </c>
      <c r="G146" s="597" t="s">
        <v>332</v>
      </c>
      <c r="H146" s="7" t="s">
        <v>427</v>
      </c>
      <c r="I146" s="249"/>
      <c r="J146" s="249"/>
      <c r="K146" s="38">
        <v>15292860</v>
      </c>
      <c r="L146" s="596" t="s">
        <v>24</v>
      </c>
      <c r="M146" s="596" t="s">
        <v>262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52" t="str">
        <f>IF(OR(TH!L146=TH!$U$7,M146=TH!$U$7),"x","")</f>
        <v/>
      </c>
      <c r="V146" s="52" t="str">
        <f>IF(AND(B146&gt;='IN-NX'!$P$3,B146&lt;='IN-NX'!$Q$3,'IN-NX'!$D$7=D146,OR(LEFT(L146,2)="15",AND(LEFT(M146,2)&lt;&gt;"15",LEFT(M146,2)&lt;&gt;"33"))),"x","")</f>
        <v/>
      </c>
      <c r="W146" s="52" t="str">
        <f>IF(AND(OR(LEFT(TH!L146,2)="15",LEFT(TH!M146,2)="15"),'152-CT'!$J$8=TH!F146),"x","")</f>
        <v/>
      </c>
      <c r="X146" s="52" t="str">
        <f>IF(AND(OR(LEFT(TH!L146,2)="15",LEFT(TH!M146,2)="15"),TK!$E$7=TH!F146),"x","")</f>
        <v/>
      </c>
      <c r="Y146" s="52" t="str">
        <f>IF(AND(B146&lt;=NKC!$N$8,B146&gt;=NKC!$M$8),"x","")</f>
        <v/>
      </c>
      <c r="Z146" s="587"/>
      <c r="AA146" s="587"/>
      <c r="AB146" s="587"/>
    </row>
    <row r="147" spans="1:28" ht="15.75" customHeight="1">
      <c r="A147" s="201" t="str">
        <f>IF(B147&lt;&gt;"",IF(AND(B147&gt;=_TM1,B147&lt;=_TM2,OR(TH!L147="1111",TH!M147="1111")),TH!D147,""),"")</f>
        <v/>
      </c>
      <c r="B147" s="36">
        <f t="shared" si="9"/>
        <v>1</v>
      </c>
      <c r="C147" s="181">
        <f t="shared" si="7"/>
        <v>41303</v>
      </c>
      <c r="D147" s="181" t="s">
        <v>1262</v>
      </c>
      <c r="E147" s="188">
        <v>41303</v>
      </c>
      <c r="F147" s="186" t="s">
        <v>431</v>
      </c>
      <c r="G147" s="480" t="s">
        <v>471</v>
      </c>
      <c r="H147" s="7" t="s">
        <v>368</v>
      </c>
      <c r="I147" s="249"/>
      <c r="J147" s="249"/>
      <c r="K147" s="595">
        <v>2600000</v>
      </c>
      <c r="L147" s="596" t="s">
        <v>162</v>
      </c>
      <c r="M147" s="596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IF(OR(TH!L147=TH!$U$7,M147=TH!$U$7),"x","")</f>
        <v/>
      </c>
      <c r="V147" s="52" t="str">
        <f>IF(AND(B147&gt;='IN-NX'!$P$3,B147&lt;='IN-NX'!$Q$3,'IN-NX'!$D$7=D147,OR(LEFT(L147,2)="15",AND(LEFT(M147,2)&lt;&gt;"15",LEFT(M147,2)&lt;&gt;"33"))),"x","")</f>
        <v/>
      </c>
      <c r="W147" s="52" t="str">
        <f>IF(AND(OR(LEFT(TH!L147,2)="15",LEFT(TH!M147,2)="15"),'152-CT'!$J$8=TH!F147),"x","")</f>
        <v/>
      </c>
      <c r="X147" s="52" t="str">
        <f>IF(AND(OR(LEFT(TH!L147,2)="15",LEFT(TH!M147,2)="15"),TK!$E$7=TH!F147),"x","")</f>
        <v/>
      </c>
      <c r="Y147" s="52" t="str">
        <f>IF(AND(B147&lt;=NKC!$N$8,B147&gt;=NKC!$M$8),"x","")</f>
        <v/>
      </c>
      <c r="Z147" s="208">
        <v>1</v>
      </c>
      <c r="AA147" s="587"/>
      <c r="AB147" s="587"/>
    </row>
    <row r="148" spans="1:28" ht="15.75" customHeight="1">
      <c r="A148" s="201" t="str">
        <f>IF(B148&lt;&gt;"",IF(AND(B148&gt;=_TM1,B148&lt;=_TM2,OR(TH!L148="1111",TH!M148="1111")),TH!D148,""),"")</f>
        <v/>
      </c>
      <c r="B148" s="36">
        <f t="shared" si="9"/>
        <v>1</v>
      </c>
      <c r="C148" s="181">
        <f t="shared" si="7"/>
        <v>41303</v>
      </c>
      <c r="D148" s="181" t="s">
        <v>1262</v>
      </c>
      <c r="E148" s="188">
        <v>41303</v>
      </c>
      <c r="F148" s="186" t="s">
        <v>344</v>
      </c>
      <c r="G148" s="480" t="s">
        <v>471</v>
      </c>
      <c r="H148" s="7" t="s">
        <v>368</v>
      </c>
      <c r="I148" s="249"/>
      <c r="J148" s="249"/>
      <c r="K148" s="595">
        <v>260000</v>
      </c>
      <c r="L148" s="596" t="s">
        <v>9</v>
      </c>
      <c r="M148" s="5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IF(OR(TH!L148=TH!$U$7,M148=TH!$U$7),"x","")</f>
        <v/>
      </c>
      <c r="V148" s="52" t="str">
        <f>IF(AND(B148&gt;='IN-NX'!$P$3,B148&lt;='IN-NX'!$Q$3,'IN-NX'!$D$7=D148,OR(LEFT(L148,2)="15",AND(LEFT(M148,2)&lt;&gt;"15",LEFT(M148,2)&lt;&gt;"33"))),"x","")</f>
        <v/>
      </c>
      <c r="W148" s="52" t="str">
        <f>IF(AND(OR(LEFT(TH!L148,2)="15",LEFT(TH!M148,2)="15"),'152-CT'!$J$8=TH!F148),"x","")</f>
        <v/>
      </c>
      <c r="X148" s="52" t="str">
        <f>IF(AND(OR(LEFT(TH!L148,2)="15",LEFT(TH!M148,2)="15"),TK!$E$7=TH!F148),"x","")</f>
        <v/>
      </c>
      <c r="Y148" s="52" t="str">
        <f>IF(AND(B148&lt;=NKC!$N$8,B148&gt;=NKC!$M$8),"x","")</f>
        <v/>
      </c>
      <c r="Z148" s="208">
        <v>1</v>
      </c>
      <c r="AA148" s="208"/>
      <c r="AB148" s="587"/>
    </row>
    <row r="149" spans="1:28" ht="15.75" customHeight="1">
      <c r="A149" s="201" t="str">
        <f>IF(B149&lt;&gt;"",IF(AND(B149&gt;=_TM1,B149&lt;=_TM2,OR(TH!L149="1111",TH!M149="1111")),TH!D149,""),"")</f>
        <v/>
      </c>
      <c r="B149" s="36">
        <f t="shared" si="9"/>
        <v>1</v>
      </c>
      <c r="C149" s="188">
        <f t="shared" ref="C149:C210" si="10">E149</f>
        <v>41303</v>
      </c>
      <c r="D149" s="181" t="s">
        <v>417</v>
      </c>
      <c r="E149" s="181">
        <v>41303</v>
      </c>
      <c r="F149" s="189" t="s">
        <v>605</v>
      </c>
      <c r="G149" s="657" t="s">
        <v>606</v>
      </c>
      <c r="H149" s="190" t="s">
        <v>554</v>
      </c>
      <c r="I149" s="249">
        <v>235</v>
      </c>
      <c r="J149" s="249">
        <v>36234</v>
      </c>
      <c r="K149" s="38">
        <f>ROUND(I149*J149,0)</f>
        <v>8514990</v>
      </c>
      <c r="L149" s="191" t="s">
        <v>156</v>
      </c>
      <c r="M149" s="191" t="s">
        <v>8</v>
      </c>
      <c r="N149" s="52" t="str">
        <f>IF(AND('331-CT'!$E$7=TH!H149,OR(L149="331",M149="331")),"331",IF(AND(OR(L149="131",M149="131"),H149='131-CT'!$E$7),"131",""))</f>
        <v>331</v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IF(OR(TH!L149=TH!$U$7,M149=TH!$U$7),"x","")</f>
        <v/>
      </c>
      <c r="V149" s="52" t="str">
        <f>IF(AND(B149&gt;='IN-NX'!$P$3,B149&lt;='IN-NX'!$Q$3,'IN-NX'!$D$7=D149,OR(LEFT(L149,2)="15",AND(LEFT(M149,2)&lt;&gt;"15",LEFT(M149,2)&lt;&gt;"33"))),"x","")</f>
        <v/>
      </c>
      <c r="W149" s="52" t="str">
        <f>IF(AND(OR(LEFT(TH!L149,2)="15",LEFT(TH!M149,2)="15"),'152-CT'!$J$8=TH!F149),"x","")</f>
        <v/>
      </c>
      <c r="X149" s="52" t="str">
        <f>IF(AND(OR(LEFT(TH!L149,2)="15",LEFT(TH!M149,2)="15"),TK!$E$7=TH!F149),"x","")</f>
        <v/>
      </c>
      <c r="Y149" s="52" t="str">
        <f>IF(AND(B149&lt;=NKC!$N$8,B149&gt;=NKC!$M$8),"x","")</f>
        <v/>
      </c>
      <c r="Z149" s="208">
        <v>1</v>
      </c>
    </row>
    <row r="150" spans="1:28" ht="15.75" customHeight="1">
      <c r="A150" s="201" t="str">
        <f>IF(B150&lt;&gt;"",IF(AND(B150&gt;=_TM1,B150&lt;=_TM2,OR(TH!L150="1111",TH!M150="1111")),TH!D150,""),"")</f>
        <v/>
      </c>
      <c r="B150" s="36">
        <f t="shared" si="9"/>
        <v>1</v>
      </c>
      <c r="C150" s="188">
        <f t="shared" si="10"/>
        <v>41303</v>
      </c>
      <c r="D150" s="181" t="s">
        <v>417</v>
      </c>
      <c r="E150" s="181">
        <v>41303</v>
      </c>
      <c r="F150" s="189" t="s">
        <v>557</v>
      </c>
      <c r="G150" s="657" t="s">
        <v>606</v>
      </c>
      <c r="H150" s="190" t="s">
        <v>554</v>
      </c>
      <c r="I150" s="249"/>
      <c r="J150" s="249"/>
      <c r="K150" s="38">
        <v>851499</v>
      </c>
      <c r="L150" s="191" t="s">
        <v>9</v>
      </c>
      <c r="M150" s="191" t="s">
        <v>8</v>
      </c>
      <c r="N150" s="52" t="str">
        <f>IF(AND('331-CT'!$E$7=TH!H150,OR(L150="331",M150="331")),"331",IF(AND(OR(L150="131",M150="131"),H150='131-CT'!$E$7),"131",""))</f>
        <v>331</v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IF(OR(TH!L150=TH!$U$7,M150=TH!$U$7),"x","")</f>
        <v/>
      </c>
      <c r="V150" s="52" t="str">
        <f>IF(AND(B150&gt;='IN-NX'!$P$3,B150&lt;='IN-NX'!$Q$3,'IN-NX'!$D$7=D150,OR(LEFT(L150,2)="15",AND(LEFT(M150,2)&lt;&gt;"15",LEFT(M150,2)&lt;&gt;"33"))),"x","")</f>
        <v/>
      </c>
      <c r="W150" s="52" t="str">
        <f>IF(AND(OR(LEFT(TH!L150,2)="15",LEFT(TH!M150,2)="15"),'152-CT'!$J$8=TH!F150),"x","")</f>
        <v/>
      </c>
      <c r="X150" s="52" t="str">
        <f>IF(AND(OR(LEFT(TH!L150,2)="15",LEFT(TH!M150,2)="15"),TK!$E$7=TH!F150),"x","")</f>
        <v/>
      </c>
      <c r="Y150" s="52" t="str">
        <f>IF(AND(B150&lt;=NKC!$N$8,B150&gt;=NKC!$M$8),"x","")</f>
        <v/>
      </c>
      <c r="Z150" s="587">
        <v>1</v>
      </c>
    </row>
    <row r="151" spans="1:28" ht="15.75" customHeight="1">
      <c r="A151" s="201" t="str">
        <f>IF(B151&lt;&gt;"",IF(AND(B151&gt;=_TM1,B151&lt;=_TM2,OR(TH!L151="1111",TH!M151="1111")),TH!D151,""),"")</f>
        <v/>
      </c>
      <c r="B151" s="36">
        <f t="shared" si="9"/>
        <v>1</v>
      </c>
      <c r="C151" s="188">
        <f t="shared" si="10"/>
        <v>41303</v>
      </c>
      <c r="D151" s="181" t="s">
        <v>1263</v>
      </c>
      <c r="E151" s="181">
        <v>41303</v>
      </c>
      <c r="F151" s="189" t="s">
        <v>367</v>
      </c>
      <c r="G151" s="657" t="s">
        <v>606</v>
      </c>
      <c r="H151" s="190" t="s">
        <v>554</v>
      </c>
      <c r="I151" s="249"/>
      <c r="J151" s="249"/>
      <c r="K151" s="38">
        <v>9366489</v>
      </c>
      <c r="L151" s="191" t="s">
        <v>8</v>
      </c>
      <c r="M151" s="191" t="s">
        <v>47</v>
      </c>
      <c r="N151" s="52" t="str">
        <f>IF(AND('331-CT'!$E$7=TH!H151,OR(L151="331",M151="331")),"331",IF(AND(OR(L151="131",M151="131"),H151='131-CT'!$E$7),"131",""))</f>
        <v>331</v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IF(OR(TH!L151=TH!$U$7,M151=TH!$U$7),"x","")</f>
        <v/>
      </c>
      <c r="V151" s="52" t="str">
        <f>IF(AND(B151&gt;='IN-NX'!$P$3,B151&lt;='IN-NX'!$Q$3,'IN-NX'!$D$7=D151,OR(LEFT(L151,2)="15",AND(LEFT(M151,2)&lt;&gt;"15",LEFT(M151,2)&lt;&gt;"33"))),"x","")</f>
        <v/>
      </c>
      <c r="W151" s="52" t="str">
        <f>IF(AND(OR(LEFT(TH!L151,2)="15",LEFT(TH!M151,2)="15"),'152-CT'!$J$8=TH!F151),"x","")</f>
        <v/>
      </c>
      <c r="X151" s="52" t="str">
        <f>IF(AND(OR(LEFT(TH!L151,2)="15",LEFT(TH!M151,2)="15"),TK!$E$7=TH!F151),"x","")</f>
        <v/>
      </c>
      <c r="Y151" s="52" t="str">
        <f>IF(AND(B151&lt;=NKC!$N$8,B151&gt;=NKC!$M$8),"x","")</f>
        <v/>
      </c>
      <c r="Z151" s="208"/>
    </row>
    <row r="152" spans="1:28" ht="15.75" customHeight="1">
      <c r="A152" s="201" t="str">
        <f>IF(B152&lt;&gt;"",IF(AND(B152&gt;=_TM1,B152&lt;=_TM2,OR(TH!L152="1111",TH!M152="1111")),TH!D152,""),"")</f>
        <v/>
      </c>
      <c r="B152" s="36">
        <f t="shared" si="9"/>
        <v>1</v>
      </c>
      <c r="C152" s="188">
        <f t="shared" si="10"/>
        <v>41303</v>
      </c>
      <c r="D152" s="181" t="s">
        <v>418</v>
      </c>
      <c r="E152" s="181">
        <v>41303</v>
      </c>
      <c r="F152" s="189" t="s">
        <v>580</v>
      </c>
      <c r="G152" s="657" t="s">
        <v>607</v>
      </c>
      <c r="H152" s="190" t="s">
        <v>554</v>
      </c>
      <c r="I152" s="249">
        <v>410</v>
      </c>
      <c r="J152" s="249">
        <v>8461</v>
      </c>
      <c r="K152" s="38">
        <f>ROUND(I152*J152,0)</f>
        <v>3469010</v>
      </c>
      <c r="L152" s="191" t="s">
        <v>156</v>
      </c>
      <c r="M152" s="191" t="s">
        <v>8</v>
      </c>
      <c r="N152" s="52" t="str">
        <f>IF(AND('331-CT'!$E$7=TH!H152,OR(L152="331",M152="331")),"331",IF(AND(OR(L152="131",M152="131"),H152='131-CT'!$E$7),"131",""))</f>
        <v>331</v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IF(OR(TH!L152=TH!$U$7,M152=TH!$U$7),"x","")</f>
        <v/>
      </c>
      <c r="V152" s="52" t="str">
        <f>IF(AND(B152&gt;='IN-NX'!$P$3,B152&lt;='IN-NX'!$Q$3,'IN-NX'!$D$7=D152,OR(LEFT(L152,2)="15",AND(LEFT(M152,2)&lt;&gt;"15",LEFT(M152,2)&lt;&gt;"33"))),"x","")</f>
        <v/>
      </c>
      <c r="W152" s="52" t="str">
        <f>IF(AND(OR(LEFT(TH!L152,2)="15",LEFT(TH!M152,2)="15"),'152-CT'!$J$8=TH!F152),"x","")</f>
        <v/>
      </c>
      <c r="X152" s="52" t="str">
        <f>IF(AND(OR(LEFT(TH!L152,2)="15",LEFT(TH!M152,2)="15"),TK!$E$7=TH!F152),"x","")</f>
        <v/>
      </c>
      <c r="Y152" s="52" t="str">
        <f>IF(AND(B152&lt;=NKC!$N$8,B152&gt;=NKC!$M$8),"x","")</f>
        <v/>
      </c>
      <c r="Z152" s="208">
        <v>1</v>
      </c>
    </row>
    <row r="153" spans="1:28" ht="15.75" customHeight="1">
      <c r="A153" s="201" t="str">
        <f>IF(B153&lt;&gt;"",IF(AND(B153&gt;=_TM1,B153&lt;=_TM2,OR(TH!L153="1111",TH!M153="1111")),TH!D153,""),"")</f>
        <v/>
      </c>
      <c r="B153" s="36">
        <f t="shared" si="9"/>
        <v>1</v>
      </c>
      <c r="C153" s="188">
        <f t="shared" si="10"/>
        <v>41303</v>
      </c>
      <c r="D153" s="181" t="s">
        <v>418</v>
      </c>
      <c r="E153" s="181">
        <v>41303</v>
      </c>
      <c r="F153" s="189" t="s">
        <v>608</v>
      </c>
      <c r="G153" s="657" t="s">
        <v>607</v>
      </c>
      <c r="H153" s="190" t="s">
        <v>554</v>
      </c>
      <c r="I153" s="249">
        <v>308</v>
      </c>
      <c r="J153" s="249">
        <v>20420</v>
      </c>
      <c r="K153" s="38">
        <f>ROUND(I153*J153,0)</f>
        <v>6289360</v>
      </c>
      <c r="L153" s="191" t="s">
        <v>156</v>
      </c>
      <c r="M153" s="191" t="s">
        <v>8</v>
      </c>
      <c r="N153" s="52" t="str">
        <f>IF(AND('331-CT'!$E$7=TH!H153,OR(L153="331",M153="331")),"331",IF(AND(OR(L153="131",M153="131"),H153='131-CT'!$E$7),"131",""))</f>
        <v>331</v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IF(OR(TH!L153=TH!$U$7,M153=TH!$U$7),"x","")</f>
        <v/>
      </c>
      <c r="V153" s="52" t="str">
        <f>IF(AND(B153&gt;='IN-NX'!$P$3,B153&lt;='IN-NX'!$Q$3,'IN-NX'!$D$7=D153,OR(LEFT(L153,2)="15",AND(LEFT(M153,2)&lt;&gt;"15",LEFT(M153,2)&lt;&gt;"33"))),"x","")</f>
        <v/>
      </c>
      <c r="W153" s="52" t="str">
        <f>IF(AND(OR(LEFT(TH!L153,2)="15",LEFT(TH!M153,2)="15"),'152-CT'!$J$8=TH!F153),"x","")</f>
        <v/>
      </c>
      <c r="X153" s="52" t="str">
        <f>IF(AND(OR(LEFT(TH!L153,2)="15",LEFT(TH!M153,2)="15"),TK!$E$7=TH!F153),"x","")</f>
        <v/>
      </c>
      <c r="Y153" s="52" t="str">
        <f>IF(AND(B153&lt;=NKC!$N$8,B153&gt;=NKC!$M$8),"x","")</f>
        <v/>
      </c>
      <c r="Z153" s="208">
        <v>1</v>
      </c>
    </row>
    <row r="154" spans="1:28" ht="15.75" customHeight="1">
      <c r="A154" s="201" t="str">
        <f>IF(B154&lt;&gt;"",IF(AND(B154&gt;=_TM1,B154&lt;=_TM2,OR(TH!L154="1111",TH!M154="1111")),TH!D154,""),"")</f>
        <v/>
      </c>
      <c r="B154" s="36">
        <f t="shared" si="9"/>
        <v>1</v>
      </c>
      <c r="C154" s="188">
        <f t="shared" si="10"/>
        <v>41303</v>
      </c>
      <c r="D154" s="181" t="s">
        <v>418</v>
      </c>
      <c r="E154" s="181">
        <v>41303</v>
      </c>
      <c r="F154" s="189" t="s">
        <v>557</v>
      </c>
      <c r="G154" s="657" t="s">
        <v>607</v>
      </c>
      <c r="H154" s="190" t="s">
        <v>554</v>
      </c>
      <c r="I154" s="249"/>
      <c r="J154" s="249"/>
      <c r="K154" s="38">
        <v>975837</v>
      </c>
      <c r="L154" s="191" t="s">
        <v>9</v>
      </c>
      <c r="M154" s="191" t="s">
        <v>8</v>
      </c>
      <c r="N154" s="52" t="str">
        <f>IF(AND('331-CT'!$E$7=TH!H154,OR(L154="331",M154="331")),"331",IF(AND(OR(L154="131",M154="131"),H154='131-CT'!$E$7),"131",""))</f>
        <v>331</v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IF(OR(TH!L154=TH!$U$7,M154=TH!$U$7),"x","")</f>
        <v/>
      </c>
      <c r="V154" s="52" t="str">
        <f>IF(AND(B154&gt;='IN-NX'!$P$3,B154&lt;='IN-NX'!$Q$3,'IN-NX'!$D$7=D154,OR(LEFT(L154,2)="15",AND(LEFT(M154,2)&lt;&gt;"15",LEFT(M154,2)&lt;&gt;"33"))),"x","")</f>
        <v/>
      </c>
      <c r="W154" s="52" t="str">
        <f>IF(AND(OR(LEFT(TH!L154,2)="15",LEFT(TH!M154,2)="15"),'152-CT'!$J$8=TH!F154),"x","")</f>
        <v/>
      </c>
      <c r="X154" s="52" t="str">
        <f>IF(AND(OR(LEFT(TH!L154,2)="15",LEFT(TH!M154,2)="15"),TK!$E$7=TH!F154),"x","")</f>
        <v/>
      </c>
      <c r="Y154" s="52" t="str">
        <f>IF(AND(B154&lt;=NKC!$N$8,B154&gt;=NKC!$M$8),"x","")</f>
        <v/>
      </c>
      <c r="Z154" s="208">
        <v>1</v>
      </c>
    </row>
    <row r="155" spans="1:28" ht="15.75" customHeight="1">
      <c r="A155" s="201" t="str">
        <f>IF(B155&lt;&gt;"",IF(AND(B155&gt;=_TM1,B155&lt;=_TM2,OR(TH!L155="1111",TH!M155="1111")),TH!D155,""),"")</f>
        <v/>
      </c>
      <c r="B155" s="36">
        <f t="shared" si="9"/>
        <v>1</v>
      </c>
      <c r="C155" s="188">
        <f t="shared" si="10"/>
        <v>41303</v>
      </c>
      <c r="D155" s="181" t="s">
        <v>1264</v>
      </c>
      <c r="E155" s="181">
        <v>41303</v>
      </c>
      <c r="F155" s="189" t="s">
        <v>367</v>
      </c>
      <c r="G155" s="657" t="s">
        <v>607</v>
      </c>
      <c r="H155" s="190" t="s">
        <v>554</v>
      </c>
      <c r="I155" s="249"/>
      <c r="J155" s="249"/>
      <c r="K155" s="38">
        <v>10734207</v>
      </c>
      <c r="L155" s="191" t="s">
        <v>8</v>
      </c>
      <c r="M155" s="191" t="s">
        <v>47</v>
      </c>
      <c r="N155" s="52" t="str">
        <f>IF(AND('331-CT'!$E$7=TH!H155,OR(L155="331",M155="331")),"331",IF(AND(OR(L155="131",M155="131"),H155='131-CT'!$E$7),"131",""))</f>
        <v>331</v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IF(OR(TH!L155=TH!$U$7,M155=TH!$U$7),"x","")</f>
        <v/>
      </c>
      <c r="V155" s="52" t="str">
        <f>IF(AND(B155&gt;='IN-NX'!$P$3,B155&lt;='IN-NX'!$Q$3,'IN-NX'!$D$7=D155,OR(LEFT(L155,2)="15",AND(LEFT(M155,2)&lt;&gt;"15",LEFT(M155,2)&lt;&gt;"33"))),"x","")</f>
        <v/>
      </c>
      <c r="W155" s="52" t="str">
        <f>IF(AND(OR(LEFT(TH!L155,2)="15",LEFT(TH!M155,2)="15"),'152-CT'!$J$8=TH!F155),"x","")</f>
        <v/>
      </c>
      <c r="X155" s="52" t="str">
        <f>IF(AND(OR(LEFT(TH!L155,2)="15",LEFT(TH!M155,2)="15"),TK!$E$7=TH!F155),"x","")</f>
        <v/>
      </c>
      <c r="Y155" s="52" t="str">
        <f>IF(AND(B155&lt;=NKC!$N$8,B155&gt;=NKC!$M$8),"x","")</f>
        <v/>
      </c>
      <c r="Z155" s="208"/>
    </row>
    <row r="156" spans="1:28" ht="15.75" customHeight="1">
      <c r="A156" s="201" t="str">
        <f>IF(B156&lt;&gt;"",IF(AND(B156&gt;=_TM1,B156&lt;=_TM2,OR(TH!L156="1111",TH!M156="1111")),TH!D156,""),"")</f>
        <v/>
      </c>
      <c r="B156" s="36">
        <f t="shared" si="9"/>
        <v>1</v>
      </c>
      <c r="C156" s="188">
        <f t="shared" si="10"/>
        <v>41303</v>
      </c>
      <c r="D156" s="181" t="s">
        <v>1024</v>
      </c>
      <c r="E156" s="188">
        <v>41303</v>
      </c>
      <c r="F156" s="189" t="s">
        <v>708</v>
      </c>
      <c r="G156" s="189" t="s">
        <v>726</v>
      </c>
      <c r="H156" s="190" t="s">
        <v>710</v>
      </c>
      <c r="I156" s="249">
        <v>593</v>
      </c>
      <c r="J156" s="249">
        <v>8000</v>
      </c>
      <c r="K156" s="38">
        <f>ROUND(I156*J156,0)</f>
        <v>4744000</v>
      </c>
      <c r="L156" s="191" t="s">
        <v>262</v>
      </c>
      <c r="M156" s="191" t="s">
        <v>172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IF(OR(TH!L156=TH!$U$7,M156=TH!$U$7),"x","")</f>
        <v/>
      </c>
      <c r="V156" s="52" t="str">
        <f>IF(AND(B156&gt;='IN-NX'!$P$3,B156&lt;='IN-NX'!$Q$3,'IN-NX'!$D$7=D156,OR(LEFT(L156,2)="15",AND(LEFT(M156,2)&lt;&gt;"15",LEFT(M156,2)&lt;&gt;"33"))),"x","")</f>
        <v/>
      </c>
      <c r="W156" s="52" t="str">
        <f>IF(AND(OR(LEFT(TH!L156,2)="15",LEFT(TH!M156,2)="15"),'152-CT'!$J$8=TH!F156),"x","")</f>
        <v/>
      </c>
      <c r="X156" s="52" t="str">
        <f>IF(AND(OR(LEFT(TH!L156,2)="15",LEFT(TH!M156,2)="15"),TK!$E$7=TH!F156),"x","")</f>
        <v/>
      </c>
      <c r="Y156" s="52" t="str">
        <f>IF(AND(B156&lt;=NKC!$N$8,B156&gt;=NKC!$M$8),"x","")</f>
        <v/>
      </c>
      <c r="Z156" s="208"/>
      <c r="AA156" s="587"/>
    </row>
    <row r="157" spans="1:28" ht="15.75" customHeight="1">
      <c r="A157" s="201" t="str">
        <f>IF(B157&lt;&gt;"",IF(AND(B157&gt;=_TM1,B157&lt;=_TM2,OR(TH!L157="1111",TH!M157="1111")),TH!D157,""),"")</f>
        <v/>
      </c>
      <c r="B157" s="36">
        <f t="shared" si="9"/>
        <v>1</v>
      </c>
      <c r="C157" s="188">
        <f t="shared" si="10"/>
        <v>41303</v>
      </c>
      <c r="D157" s="181" t="s">
        <v>1024</v>
      </c>
      <c r="E157" s="188">
        <v>41303</v>
      </c>
      <c r="F157" s="189" t="s">
        <v>727</v>
      </c>
      <c r="G157" s="189" t="s">
        <v>726</v>
      </c>
      <c r="H157" s="190" t="s">
        <v>710</v>
      </c>
      <c r="I157" s="249">
        <v>398</v>
      </c>
      <c r="J157" s="249">
        <v>8360</v>
      </c>
      <c r="K157" s="38">
        <f>ROUND(I157*J157,0)</f>
        <v>3327280</v>
      </c>
      <c r="L157" s="191" t="s">
        <v>262</v>
      </c>
      <c r="M157" s="191" t="s">
        <v>172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IF(OR(TH!L157=TH!$U$7,M157=TH!$U$7),"x","")</f>
        <v/>
      </c>
      <c r="V157" s="52" t="str">
        <f>IF(AND(B157&gt;='IN-NX'!$P$3,B157&lt;='IN-NX'!$Q$3,'IN-NX'!$D$7=D157,OR(LEFT(L157,2)="15",AND(LEFT(M157,2)&lt;&gt;"15",LEFT(M157,2)&lt;&gt;"33"))),"x","")</f>
        <v/>
      </c>
      <c r="W157" s="52" t="str">
        <f>IF(AND(OR(LEFT(TH!L157,2)="15",LEFT(TH!M157,2)="15"),'152-CT'!$J$8=TH!F157),"x","")</f>
        <v/>
      </c>
      <c r="X157" s="52" t="str">
        <f>IF(AND(OR(LEFT(TH!L157,2)="15",LEFT(TH!M157,2)="15"),TK!$E$7=TH!F157),"x","")</f>
        <v/>
      </c>
      <c r="Y157" s="52" t="str">
        <f>IF(AND(B157&lt;=NKC!$N$8,B157&gt;=NKC!$M$8),"x","")</f>
        <v/>
      </c>
      <c r="Z157" s="208"/>
      <c r="AA157" s="587"/>
    </row>
    <row r="158" spans="1:28" ht="15.75" customHeight="1">
      <c r="A158" s="201" t="str">
        <f>IF(B158&lt;&gt;"",IF(AND(B158&gt;=_TM1,B158&lt;=_TM2,OR(TH!L158="1111",TH!M158="1111")),TH!D158,""),"")</f>
        <v/>
      </c>
      <c r="B158" s="36">
        <f t="shared" si="9"/>
        <v>1</v>
      </c>
      <c r="C158" s="188">
        <f t="shared" si="10"/>
        <v>41303</v>
      </c>
      <c r="D158" s="181" t="s">
        <v>1024</v>
      </c>
      <c r="E158" s="188">
        <v>41303</v>
      </c>
      <c r="F158" s="189" t="s">
        <v>693</v>
      </c>
      <c r="G158" s="189" t="s">
        <v>726</v>
      </c>
      <c r="H158" s="190" t="s">
        <v>710</v>
      </c>
      <c r="I158" s="249"/>
      <c r="J158" s="249"/>
      <c r="K158" s="38">
        <v>807128</v>
      </c>
      <c r="L158" s="191" t="s">
        <v>262</v>
      </c>
      <c r="M158" s="191" t="s">
        <v>425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IF(OR(TH!L158=TH!$U$7,M158=TH!$U$7),"x","")</f>
        <v/>
      </c>
      <c r="V158" s="52" t="str">
        <f>IF(AND(B158&gt;='IN-NX'!$P$3,B158&lt;='IN-NX'!$Q$3,'IN-NX'!$D$7=D158,OR(LEFT(L158,2)="15",AND(LEFT(M158,2)&lt;&gt;"15",LEFT(M158,2)&lt;&gt;"33"))),"x","")</f>
        <v/>
      </c>
      <c r="W158" s="52" t="str">
        <f>IF(AND(OR(LEFT(TH!L158,2)="15",LEFT(TH!M158,2)="15"),'152-CT'!$J$8=TH!F158),"x","")</f>
        <v/>
      </c>
      <c r="X158" s="52" t="str">
        <f>IF(AND(OR(LEFT(TH!L158,2)="15",LEFT(TH!M158,2)="15"),TK!$E$7=TH!F158),"x","")</f>
        <v/>
      </c>
      <c r="Y158" s="52" t="str">
        <f>IF(AND(B158&lt;=NKC!$N$8,B158&gt;=NKC!$M$8),"x","")</f>
        <v/>
      </c>
      <c r="Z158" s="208"/>
      <c r="AA158" s="587" t="str">
        <f>IF(VLOOKUP(H158,DS_131,1,0)&lt;&gt;"","","x")</f>
        <v/>
      </c>
    </row>
    <row r="159" spans="1:28" ht="15.75" customHeight="1">
      <c r="A159" s="201" t="str">
        <f>IF(B159&lt;&gt;"",IF(AND(B159&gt;=_TM1,B159&lt;=_TM2,OR(TH!L159="1111",TH!M159="1111")),TH!D159,""),"")</f>
        <v/>
      </c>
      <c r="B159" s="36">
        <f t="shared" si="9"/>
        <v>1</v>
      </c>
      <c r="C159" s="188">
        <f t="shared" si="10"/>
        <v>41303</v>
      </c>
      <c r="D159" s="181" t="s">
        <v>439</v>
      </c>
      <c r="E159" s="188">
        <v>41303</v>
      </c>
      <c r="F159" s="186" t="s">
        <v>337</v>
      </c>
      <c r="G159" s="189" t="s">
        <v>1318</v>
      </c>
      <c r="H159" s="190" t="s">
        <v>710</v>
      </c>
      <c r="I159" s="249"/>
      <c r="J159" s="249"/>
      <c r="K159" s="38">
        <v>16094408</v>
      </c>
      <c r="L159" s="191" t="s">
        <v>47</v>
      </c>
      <c r="M159" s="191" t="s">
        <v>262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>x</v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IF(OR(TH!L159=TH!$U$7,M159=TH!$U$7),"x","")</f>
        <v/>
      </c>
      <c r="V159" s="52" t="str">
        <f>IF(AND(B159&gt;='IN-NX'!$P$3,B159&lt;='IN-NX'!$Q$3,'IN-NX'!$D$7=D159,OR(LEFT(L159,2)="15",AND(LEFT(M159,2)&lt;&gt;"15",LEFT(M159,2)&lt;&gt;"33"))),"x","")</f>
        <v/>
      </c>
      <c r="W159" s="52" t="str">
        <f>IF(AND(OR(LEFT(TH!L159,2)="15",LEFT(TH!M159,2)="15"),'152-CT'!$J$8=TH!F159),"x","")</f>
        <v/>
      </c>
      <c r="X159" s="52" t="str">
        <f>IF(AND(OR(LEFT(TH!L159,2)="15",LEFT(TH!M159,2)="15"),TK!$E$7=TH!F159),"x","")</f>
        <v/>
      </c>
      <c r="Y159" s="52" t="str">
        <f>IF(AND(B159&lt;=NKC!$N$8,B159&gt;=NKC!$M$8),"x","")</f>
        <v/>
      </c>
      <c r="Z159" s="208"/>
      <c r="AA159" s="587" t="str">
        <f>IF(VLOOKUP(H159,DS_131,1,0)&lt;&gt;"","","x")</f>
        <v/>
      </c>
    </row>
    <row r="160" spans="1:28" ht="15.75" customHeight="1">
      <c r="A160" s="201" t="str">
        <f>IF(B160&lt;&gt;"",IF(AND(B160&gt;=_TM1,B160&lt;=_TM2,OR(TH!L160="1111",TH!M160="1111")),TH!D160,""),"")</f>
        <v/>
      </c>
      <c r="B160" s="36">
        <f t="shared" si="9"/>
        <v>1</v>
      </c>
      <c r="C160" s="188">
        <f t="shared" si="10"/>
        <v>41303</v>
      </c>
      <c r="D160" s="181" t="s">
        <v>1025</v>
      </c>
      <c r="E160" s="188">
        <v>41303</v>
      </c>
      <c r="F160" s="189" t="s">
        <v>719</v>
      </c>
      <c r="G160" s="189" t="s">
        <v>728</v>
      </c>
      <c r="H160" s="190" t="s">
        <v>472</v>
      </c>
      <c r="I160" s="249">
        <v>410</v>
      </c>
      <c r="J160" s="249">
        <v>13698</v>
      </c>
      <c r="K160" s="38">
        <f>ROUND(I160*J160,0)</f>
        <v>5616180</v>
      </c>
      <c r="L160" s="191" t="s">
        <v>262</v>
      </c>
      <c r="M160" s="191" t="s">
        <v>172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IF(OR(TH!L160=TH!$U$7,M160=TH!$U$7),"x","")</f>
        <v/>
      </c>
      <c r="V160" s="52" t="str">
        <f>IF(AND(B160&gt;='IN-NX'!$P$3,B160&lt;='IN-NX'!$Q$3,'IN-NX'!$D$7=D160,OR(LEFT(L160,2)="15",AND(LEFT(M160,2)&lt;&gt;"15",LEFT(M160,2)&lt;&gt;"33"))),"x","")</f>
        <v/>
      </c>
      <c r="W160" s="52" t="str">
        <f>IF(AND(OR(LEFT(TH!L160,2)="15",LEFT(TH!M160,2)="15"),'152-CT'!$J$8=TH!F160),"x","")</f>
        <v/>
      </c>
      <c r="X160" s="52" t="str">
        <f>IF(AND(OR(LEFT(TH!L160,2)="15",LEFT(TH!M160,2)="15"),TK!$E$7=TH!F160),"x","")</f>
        <v/>
      </c>
      <c r="Y160" s="52" t="str">
        <f>IF(AND(B160&lt;=NKC!$N$8,B160&gt;=NKC!$M$8),"x","")</f>
        <v/>
      </c>
      <c r="Z160" s="208"/>
      <c r="AA160" s="587"/>
    </row>
    <row r="161" spans="1:28" ht="15.75" customHeight="1">
      <c r="A161" s="201" t="str">
        <f>IF(B161&lt;&gt;"",IF(AND(B161&gt;=_TM1,B161&lt;=_TM2,OR(TH!L161="1111",TH!M161="1111")),TH!D161,""),"")</f>
        <v/>
      </c>
      <c r="B161" s="36">
        <f t="shared" si="9"/>
        <v>1</v>
      </c>
      <c r="C161" s="188">
        <f t="shared" si="10"/>
        <v>41303</v>
      </c>
      <c r="D161" s="181" t="s">
        <v>1025</v>
      </c>
      <c r="E161" s="188">
        <v>41303</v>
      </c>
      <c r="F161" s="189" t="s">
        <v>693</v>
      </c>
      <c r="G161" s="189" t="s">
        <v>728</v>
      </c>
      <c r="H161" s="190" t="s">
        <v>472</v>
      </c>
      <c r="I161" s="249"/>
      <c r="J161" s="249"/>
      <c r="K161" s="38">
        <v>561618</v>
      </c>
      <c r="L161" s="191" t="s">
        <v>262</v>
      </c>
      <c r="M161" s="191" t="s">
        <v>425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IF(OR(TH!L161=TH!$U$7,M161=TH!$U$7),"x","")</f>
        <v/>
      </c>
      <c r="V161" s="52" t="str">
        <f>IF(AND(B161&gt;='IN-NX'!$P$3,B161&lt;='IN-NX'!$Q$3,'IN-NX'!$D$7=D161,OR(LEFT(L161,2)="15",AND(LEFT(M161,2)&lt;&gt;"15",LEFT(M161,2)&lt;&gt;"33"))),"x","")</f>
        <v/>
      </c>
      <c r="W161" s="52" t="str">
        <f>IF(AND(OR(LEFT(TH!L161,2)="15",LEFT(TH!M161,2)="15"),'152-CT'!$J$8=TH!F161),"x","")</f>
        <v/>
      </c>
      <c r="X161" s="52" t="str">
        <f>IF(AND(OR(LEFT(TH!L161,2)="15",LEFT(TH!M161,2)="15"),TK!$E$7=TH!F161),"x","")</f>
        <v/>
      </c>
      <c r="Y161" s="52" t="str">
        <f>IF(AND(B161&lt;=NKC!$N$8,B161&gt;=NKC!$M$8),"x","")</f>
        <v/>
      </c>
      <c r="Z161" s="208"/>
      <c r="AA161" s="587" t="str">
        <f>IF(VLOOKUP(H161,DS_131,1,0)&lt;&gt;"","","x")</f>
        <v/>
      </c>
    </row>
    <row r="162" spans="1:28" ht="15.75" customHeight="1">
      <c r="A162" s="201" t="str">
        <f>IF(B162&lt;&gt;"",IF(AND(B162&gt;=_TM1,B162&lt;=_TM2,OR(TH!L162="1111",TH!M162="1111")),TH!D162,""),"")</f>
        <v/>
      </c>
      <c r="B162" s="36">
        <f t="shared" si="9"/>
        <v>1</v>
      </c>
      <c r="C162" s="188">
        <f t="shared" si="10"/>
        <v>41303</v>
      </c>
      <c r="D162" s="181" t="s">
        <v>449</v>
      </c>
      <c r="E162" s="188">
        <v>41303</v>
      </c>
      <c r="F162" s="186" t="s">
        <v>337</v>
      </c>
      <c r="G162" s="189" t="s">
        <v>728</v>
      </c>
      <c r="H162" s="190" t="s">
        <v>472</v>
      </c>
      <c r="I162" s="249"/>
      <c r="J162" s="249"/>
      <c r="K162" s="38">
        <v>6177798</v>
      </c>
      <c r="L162" s="191" t="s">
        <v>47</v>
      </c>
      <c r="M162" s="191" t="s">
        <v>262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>x</v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IF(OR(TH!L162=TH!$U$7,M162=TH!$U$7),"x","")</f>
        <v/>
      </c>
      <c r="V162" s="52" t="str">
        <f>IF(AND(B162&gt;='IN-NX'!$P$3,B162&lt;='IN-NX'!$Q$3,'IN-NX'!$D$7=D162,OR(LEFT(L162,2)="15",AND(LEFT(M162,2)&lt;&gt;"15",LEFT(M162,2)&lt;&gt;"33"))),"x","")</f>
        <v/>
      </c>
      <c r="W162" s="52" t="str">
        <f>IF(AND(OR(LEFT(TH!L162,2)="15",LEFT(TH!M162,2)="15"),'152-CT'!$J$8=TH!F162),"x","")</f>
        <v/>
      </c>
      <c r="X162" s="52" t="str">
        <f>IF(AND(OR(LEFT(TH!L162,2)="15",LEFT(TH!M162,2)="15"),TK!$E$7=TH!F162),"x","")</f>
        <v/>
      </c>
      <c r="Y162" s="52" t="str">
        <f>IF(AND(B162&lt;=NKC!$N$8,B162&gt;=NKC!$M$8),"x","")</f>
        <v/>
      </c>
      <c r="Z162" s="208"/>
      <c r="AA162" s="587" t="str">
        <f>IF(VLOOKUP(H162,DS_131,1,0)&lt;&gt;"","","x")</f>
        <v/>
      </c>
    </row>
    <row r="163" spans="1:28" ht="15.75" customHeight="1">
      <c r="A163" s="201" t="str">
        <f>IF(B163&lt;&gt;"",IF(AND(B163&gt;=_TM1,B163&lt;=_TM2,OR(TH!L163="1111",TH!M163="1111")),TH!D163,""),"")</f>
        <v/>
      </c>
      <c r="B163" s="36">
        <f t="shared" si="9"/>
        <v>1</v>
      </c>
      <c r="C163" s="188">
        <f t="shared" si="10"/>
        <v>41303</v>
      </c>
      <c r="D163" s="181" t="s">
        <v>1026</v>
      </c>
      <c r="E163" s="188">
        <v>41303</v>
      </c>
      <c r="F163" s="189" t="s">
        <v>724</v>
      </c>
      <c r="G163" s="189" t="s">
        <v>729</v>
      </c>
      <c r="H163" s="190" t="s">
        <v>1078</v>
      </c>
      <c r="I163" s="252">
        <v>1106</v>
      </c>
      <c r="J163" s="252">
        <v>7500</v>
      </c>
      <c r="K163" s="38">
        <f>ROUND(I163*J163,0)</f>
        <v>8295000</v>
      </c>
      <c r="L163" s="191" t="s">
        <v>262</v>
      </c>
      <c r="M163" s="191" t="s">
        <v>172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IF(OR(TH!L163=TH!$U$7,M163=TH!$U$7),"x","")</f>
        <v/>
      </c>
      <c r="V163" s="52" t="str">
        <f>IF(AND(B163&gt;='IN-NX'!$P$3,B163&lt;='IN-NX'!$Q$3,'IN-NX'!$D$7=D163,OR(LEFT(L163,2)="15",AND(LEFT(M163,2)&lt;&gt;"15",LEFT(M163,2)&lt;&gt;"33"))),"x","")</f>
        <v/>
      </c>
      <c r="W163" s="52" t="str">
        <f>IF(AND(OR(LEFT(TH!L163,2)="15",LEFT(TH!M163,2)="15"),'152-CT'!$J$8=TH!F163),"x","")</f>
        <v/>
      </c>
      <c r="X163" s="52" t="str">
        <f>IF(AND(OR(LEFT(TH!L163,2)="15",LEFT(TH!M163,2)="15"),TK!$E$7=TH!F163),"x","")</f>
        <v/>
      </c>
      <c r="Y163" s="52" t="str">
        <f>IF(AND(B163&lt;=NKC!$N$8,B163&gt;=NKC!$M$8),"x","")</f>
        <v/>
      </c>
      <c r="Z163" s="836"/>
      <c r="AA163" s="587"/>
    </row>
    <row r="164" spans="1:28" ht="15.75" customHeight="1">
      <c r="A164" s="201" t="str">
        <f>IF(B164&lt;&gt;"",IF(AND(B164&gt;=_TM1,B164&lt;=_TM2,OR(TH!L164="1111",TH!M164="1111")),TH!D164,""),"")</f>
        <v/>
      </c>
      <c r="B164" s="36">
        <f t="shared" si="9"/>
        <v>1</v>
      </c>
      <c r="C164" s="188">
        <f t="shared" si="10"/>
        <v>41303</v>
      </c>
      <c r="D164" s="181" t="s">
        <v>1026</v>
      </c>
      <c r="E164" s="188">
        <v>41303</v>
      </c>
      <c r="F164" s="189" t="s">
        <v>693</v>
      </c>
      <c r="G164" s="189" t="s">
        <v>729</v>
      </c>
      <c r="H164" s="190" t="s">
        <v>1078</v>
      </c>
      <c r="I164" s="252"/>
      <c r="J164" s="252"/>
      <c r="K164" s="38">
        <v>829500</v>
      </c>
      <c r="L164" s="191" t="s">
        <v>262</v>
      </c>
      <c r="M164" s="191" t="s">
        <v>425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IF(OR(TH!L164=TH!$U$7,M164=TH!$U$7),"x","")</f>
        <v/>
      </c>
      <c r="V164" s="52" t="str">
        <f>IF(AND(B164&gt;='IN-NX'!$P$3,B164&lt;='IN-NX'!$Q$3,'IN-NX'!$D$7=D164,OR(LEFT(L164,2)="15",AND(LEFT(M164,2)&lt;&gt;"15",LEFT(M164,2)&lt;&gt;"33"))),"x","")</f>
        <v/>
      </c>
      <c r="W164" s="52" t="str">
        <f>IF(AND(OR(LEFT(TH!L164,2)="15",LEFT(TH!M164,2)="15"),'152-CT'!$J$8=TH!F164),"x","")</f>
        <v/>
      </c>
      <c r="X164" s="52" t="str">
        <f>IF(AND(OR(LEFT(TH!L164,2)="15",LEFT(TH!M164,2)="15"),TK!$E$7=TH!F164),"x","")</f>
        <v/>
      </c>
      <c r="Y164" s="52" t="str">
        <f>IF(AND(B164&lt;=NKC!$N$8,B164&gt;=NKC!$M$8),"x","")</f>
        <v/>
      </c>
      <c r="Z164" s="836"/>
      <c r="AA164" s="587" t="str">
        <f>IF(VLOOKUP(H164,DS_131,1,0)&lt;&gt;"","","x")</f>
        <v/>
      </c>
    </row>
    <row r="165" spans="1:28" ht="15.75" customHeight="1">
      <c r="A165" s="201" t="str">
        <f>IF(B165&lt;&gt;"",IF(AND(B165&gt;=_TM1,B165&lt;=_TM2,OR(TH!L165="1111",TH!M165="1111")),TH!D165,""),"")</f>
        <v/>
      </c>
      <c r="B165" s="36">
        <f t="shared" si="9"/>
        <v>1</v>
      </c>
      <c r="C165" s="188">
        <f t="shared" si="10"/>
        <v>41304</v>
      </c>
      <c r="D165" s="181" t="s">
        <v>419</v>
      </c>
      <c r="E165" s="181">
        <v>41304</v>
      </c>
      <c r="F165" s="189" t="s">
        <v>608</v>
      </c>
      <c r="G165" s="480" t="s">
        <v>609</v>
      </c>
      <c r="H165" s="190" t="s">
        <v>554</v>
      </c>
      <c r="I165" s="249">
        <v>270</v>
      </c>
      <c r="J165" s="249">
        <v>20420</v>
      </c>
      <c r="K165" s="38">
        <f>ROUND(I165*J165,0)</f>
        <v>5513400</v>
      </c>
      <c r="L165" s="191" t="s">
        <v>156</v>
      </c>
      <c r="M165" s="191" t="s">
        <v>8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IF(OR(TH!L165=TH!$U$7,M165=TH!$U$7),"x","")</f>
        <v/>
      </c>
      <c r="V165" s="52" t="str">
        <f>IF(AND(B165&gt;='IN-NX'!$P$3,B165&lt;='IN-NX'!$Q$3,'IN-NX'!$D$7=D165,OR(LEFT(L165,2)="15",AND(LEFT(M165,2)&lt;&gt;"15",LEFT(M165,2)&lt;&gt;"33"))),"x","")</f>
        <v/>
      </c>
      <c r="W165" s="52" t="str">
        <f>IF(AND(OR(LEFT(TH!L165,2)="15",LEFT(TH!M165,2)="15"),'152-CT'!$J$8=TH!F165),"x","")</f>
        <v/>
      </c>
      <c r="X165" s="52" t="str">
        <f>IF(AND(OR(LEFT(TH!L165,2)="15",LEFT(TH!M165,2)="15"),TK!$E$7=TH!F165),"x","")</f>
        <v/>
      </c>
      <c r="Y165" s="52" t="str">
        <f>IF(AND(B165&lt;=NKC!$N$8,B165&gt;=NKC!$M$8),"x","")</f>
        <v/>
      </c>
      <c r="Z165" s="208">
        <v>1</v>
      </c>
    </row>
    <row r="166" spans="1:28" ht="15.75" customHeight="1">
      <c r="A166" s="201" t="str">
        <f>IF(B166&lt;&gt;"",IF(AND(B166&gt;=_TM1,B166&lt;=_TM2,OR(TH!L166="1111",TH!M166="1111")),TH!D166,""),"")</f>
        <v/>
      </c>
      <c r="B166" s="36">
        <f t="shared" si="9"/>
        <v>1</v>
      </c>
      <c r="C166" s="188">
        <f t="shared" si="10"/>
        <v>41304</v>
      </c>
      <c r="D166" s="181" t="s">
        <v>419</v>
      </c>
      <c r="E166" s="181">
        <v>41304</v>
      </c>
      <c r="F166" s="189" t="s">
        <v>557</v>
      </c>
      <c r="G166" s="480" t="s">
        <v>609</v>
      </c>
      <c r="H166" s="190" t="s">
        <v>554</v>
      </c>
      <c r="I166" s="249"/>
      <c r="J166" s="249"/>
      <c r="K166" s="38">
        <v>551340</v>
      </c>
      <c r="L166" s="191" t="s">
        <v>9</v>
      </c>
      <c r="M166" s="191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IF(OR(TH!L166=TH!$U$7,M166=TH!$U$7),"x","")</f>
        <v/>
      </c>
      <c r="V166" s="52" t="str">
        <f>IF(AND(B166&gt;='IN-NX'!$P$3,B166&lt;='IN-NX'!$Q$3,'IN-NX'!$D$7=D166,OR(LEFT(L166,2)="15",AND(LEFT(M166,2)&lt;&gt;"15",LEFT(M166,2)&lt;&gt;"33"))),"x","")</f>
        <v/>
      </c>
      <c r="W166" s="52" t="str">
        <f>IF(AND(OR(LEFT(TH!L166,2)="15",LEFT(TH!M166,2)="15"),'152-CT'!$J$8=TH!F166),"x","")</f>
        <v/>
      </c>
      <c r="X166" s="52" t="str">
        <f>IF(AND(OR(LEFT(TH!L166,2)="15",LEFT(TH!M166,2)="15"),TK!$E$7=TH!F166),"x","")</f>
        <v/>
      </c>
      <c r="Y166" s="52" t="str">
        <f>IF(AND(B166&lt;=NKC!$N$8,B166&gt;=NKC!$M$8),"x","")</f>
        <v/>
      </c>
      <c r="Z166" s="208">
        <v>1</v>
      </c>
    </row>
    <row r="167" spans="1:28" ht="15.75" customHeight="1">
      <c r="A167" s="201" t="str">
        <f>IF(B167&lt;&gt;"",IF(AND(B167&gt;=_TM1,B167&lt;=_TM2,OR(TH!L167="1111",TH!M167="1111")),TH!D167,""),"")</f>
        <v/>
      </c>
      <c r="B167" s="36">
        <f t="shared" si="9"/>
        <v>1</v>
      </c>
      <c r="C167" s="188">
        <f t="shared" si="10"/>
        <v>41304</v>
      </c>
      <c r="D167" s="181" t="s">
        <v>399</v>
      </c>
      <c r="E167" s="181">
        <v>41304</v>
      </c>
      <c r="F167" s="189" t="s">
        <v>367</v>
      </c>
      <c r="G167" s="480" t="s">
        <v>609</v>
      </c>
      <c r="H167" s="190" t="s">
        <v>554</v>
      </c>
      <c r="I167" s="249"/>
      <c r="J167" s="249"/>
      <c r="K167" s="38">
        <v>6064740</v>
      </c>
      <c r="L167" s="191" t="s">
        <v>8</v>
      </c>
      <c r="M167" s="191" t="s">
        <v>47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IF(OR(TH!L167=TH!$U$7,M167=TH!$U$7),"x","")</f>
        <v/>
      </c>
      <c r="V167" s="52" t="str">
        <f>IF(AND(B167&gt;='IN-NX'!$P$3,B167&lt;='IN-NX'!$Q$3,'IN-NX'!$D$7=D167,OR(LEFT(L167,2)="15",AND(LEFT(M167,2)&lt;&gt;"15",LEFT(M167,2)&lt;&gt;"33"))),"x","")</f>
        <v/>
      </c>
      <c r="W167" s="52" t="str">
        <f>IF(AND(OR(LEFT(TH!L167,2)="15",LEFT(TH!M167,2)="15"),'152-CT'!$J$8=TH!F167),"x","")</f>
        <v/>
      </c>
      <c r="X167" s="52" t="str">
        <f>IF(AND(OR(LEFT(TH!L167,2)="15",LEFT(TH!M167,2)="15"),TK!$E$7=TH!F167),"x","")</f>
        <v/>
      </c>
      <c r="Y167" s="52" t="str">
        <f>IF(AND(B167&lt;=NKC!$N$8,B167&gt;=NKC!$M$8),"x","")</f>
        <v/>
      </c>
      <c r="Z167" s="208"/>
    </row>
    <row r="168" spans="1:28" ht="15.75" customHeight="1">
      <c r="A168" s="201" t="str">
        <f>IF(B168&lt;&gt;"",IF(AND(B168&gt;=_TM1,B168&lt;=_TM2,OR(TH!L168="1111",TH!M168="1111")),TH!D168,""),"")</f>
        <v/>
      </c>
      <c r="B168" s="850">
        <f t="shared" si="9"/>
        <v>1</v>
      </c>
      <c r="C168" s="771">
        <f t="shared" si="10"/>
        <v>41305</v>
      </c>
      <c r="D168" s="771" t="s">
        <v>339</v>
      </c>
      <c r="E168" s="771">
        <v>41305</v>
      </c>
      <c r="F168" s="696" t="s">
        <v>1255</v>
      </c>
      <c r="G168" s="697"/>
      <c r="H168" s="609"/>
      <c r="I168" s="477"/>
      <c r="J168" s="477"/>
      <c r="K168" s="698">
        <v>5880000</v>
      </c>
      <c r="L168" s="699" t="s">
        <v>83</v>
      </c>
      <c r="M168" s="699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IF(OR(TH!L168=TH!$U$7,M168=TH!$U$7),"x","")</f>
        <v>x</v>
      </c>
      <c r="V168" s="52" t="str">
        <f>IF(AND(B168&gt;='IN-NX'!$P$3,B168&lt;='IN-NX'!$Q$3,'IN-NX'!$D$7=D168,OR(LEFT(L168,2)="15",AND(LEFT(M168,2)&lt;&gt;"15",LEFT(M168,2)&lt;&gt;"33"))),"x","")</f>
        <v/>
      </c>
      <c r="W168" s="52" t="str">
        <f>IF(AND(OR(LEFT(TH!L168,2)="15",LEFT(TH!M168,2)="15"),'152-CT'!$J$8=TH!F168),"x","")</f>
        <v/>
      </c>
      <c r="X168" s="52" t="str">
        <f>IF(AND(OR(LEFT(TH!L168,2)="15",LEFT(TH!M168,2)="15"),TK!$E$7=TH!F168),"x","")</f>
        <v/>
      </c>
      <c r="Y168" s="52" t="str">
        <f>IF(AND(B168&lt;=NKC!$N$8,B168&gt;=NKC!$M$8),"x","")</f>
        <v/>
      </c>
      <c r="Z168" s="851"/>
      <c r="AA168" s="851"/>
      <c r="AB168" s="851"/>
    </row>
    <row r="169" spans="1:28" ht="15.75" customHeight="1">
      <c r="A169" s="201" t="str">
        <f>IF(B169&lt;&gt;"",IF(AND(B169&gt;=_TM1,B169&lt;=_TM2,OR(TH!L169="1111",TH!M169="1111")),TH!D169,""),"")</f>
        <v/>
      </c>
      <c r="B169" s="850">
        <f t="shared" si="9"/>
        <v>1</v>
      </c>
      <c r="C169" s="771">
        <f t="shared" si="10"/>
        <v>41305</v>
      </c>
      <c r="D169" s="771" t="s">
        <v>339</v>
      </c>
      <c r="E169" s="771">
        <v>41305</v>
      </c>
      <c r="F169" s="696" t="s">
        <v>1256</v>
      </c>
      <c r="G169" s="697"/>
      <c r="H169" s="609"/>
      <c r="I169" s="477"/>
      <c r="J169" s="477"/>
      <c r="K169" s="698">
        <v>7570000</v>
      </c>
      <c r="L169" s="699" t="s">
        <v>162</v>
      </c>
      <c r="M169" s="699" t="s">
        <v>265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IF(OR(TH!L169=TH!$U$7,M169=TH!$U$7),"x","")</f>
        <v/>
      </c>
      <c r="V169" s="52" t="str">
        <f>IF(AND(B169&gt;='IN-NX'!$P$3,B169&lt;='IN-NX'!$Q$3,'IN-NX'!$D$7=D169,OR(LEFT(L169,2)="15",AND(LEFT(M169,2)&lt;&gt;"15",LEFT(M169,2)&lt;&gt;"33"))),"x","")</f>
        <v/>
      </c>
      <c r="W169" s="52" t="str">
        <f>IF(AND(OR(LEFT(TH!L169,2)="15",LEFT(TH!M169,2)="15"),'152-CT'!$J$8=TH!F169),"x","")</f>
        <v/>
      </c>
      <c r="X169" s="52" t="str">
        <f>IF(AND(OR(LEFT(TH!L169,2)="15",LEFT(TH!M169,2)="15"),TK!$E$7=TH!F169),"x","")</f>
        <v/>
      </c>
      <c r="Y169" s="52" t="str">
        <f>IF(AND(B169&lt;=NKC!$N$8,B169&gt;=NKC!$M$8),"x","")</f>
        <v/>
      </c>
      <c r="Z169" s="851"/>
      <c r="AA169" s="851"/>
      <c r="AB169" s="851"/>
    </row>
    <row r="170" spans="1:28" ht="15.75" customHeight="1">
      <c r="A170" s="201" t="str">
        <f>IF(B170&lt;&gt;"",IF(AND(B170&gt;=_TM1,B170&lt;=_TM2,OR(TH!L170="1111",TH!M170="1111")),TH!D170,""),"")</f>
        <v/>
      </c>
      <c r="B170" s="850">
        <f t="shared" si="9"/>
        <v>1</v>
      </c>
      <c r="C170" s="771">
        <f t="shared" si="10"/>
        <v>41305</v>
      </c>
      <c r="D170" s="771" t="s">
        <v>1265</v>
      </c>
      <c r="E170" s="771">
        <v>41305</v>
      </c>
      <c r="F170" s="696" t="str">
        <f>"Thanh toán tiền lương tháng "&amp;MONTH(E170)&amp;"/"&amp;YEAR(E170)</f>
        <v>Thanh toán tiền lương tháng 1/2013</v>
      </c>
      <c r="G170" s="697"/>
      <c r="H170" s="609" t="s">
        <v>364</v>
      </c>
      <c r="I170" s="477"/>
      <c r="J170" s="477"/>
      <c r="K170" s="698">
        <f>K168+K169</f>
        <v>13450000</v>
      </c>
      <c r="L170" s="699" t="s">
        <v>265</v>
      </c>
      <c r="M170" s="699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IF(OR(TH!L170=TH!$U$7,M170=TH!$U$7),"x","")</f>
        <v/>
      </c>
      <c r="V170" s="52" t="str">
        <f>IF(AND(B170&gt;='IN-NX'!$P$3,B170&lt;='IN-NX'!$Q$3,'IN-NX'!$D$7=D170,OR(LEFT(L170,2)="15",AND(LEFT(M170,2)&lt;&gt;"15",LEFT(M170,2)&lt;&gt;"33"))),"x","")</f>
        <v/>
      </c>
      <c r="W170" s="52" t="str">
        <f>IF(AND(OR(LEFT(TH!L170,2)="15",LEFT(TH!M170,2)="15"),'152-CT'!$J$8=TH!F170),"x","")</f>
        <v/>
      </c>
      <c r="X170" s="52" t="str">
        <f>IF(AND(OR(LEFT(TH!L170,2)="15",LEFT(TH!M170,2)="15"),TK!$E$7=TH!F170),"x","")</f>
        <v/>
      </c>
      <c r="Y170" s="52" t="str">
        <f>IF(AND(B170&lt;=NKC!$N$8,B170&gt;=NKC!$M$8),"x","")</f>
        <v/>
      </c>
      <c r="Z170" s="851"/>
      <c r="AA170" s="851"/>
      <c r="AB170" s="851"/>
    </row>
    <row r="171" spans="1:28" ht="15.75" customHeight="1">
      <c r="A171" s="201" t="str">
        <f>IF(B171&lt;&gt;"",IF(AND(B171&gt;=_TM1,B171&lt;=_TM2,OR(TH!L171="1111",TH!M171="1111")),TH!D171,""),"")</f>
        <v/>
      </c>
      <c r="B171" s="36">
        <f t="shared" si="9"/>
        <v>1</v>
      </c>
      <c r="C171" s="188">
        <f t="shared" si="10"/>
        <v>41305</v>
      </c>
      <c r="D171" s="181" t="s">
        <v>1027</v>
      </c>
      <c r="E171" s="188">
        <v>41305</v>
      </c>
      <c r="F171" s="189" t="s">
        <v>698</v>
      </c>
      <c r="G171" s="189" t="s">
        <v>730</v>
      </c>
      <c r="H171" s="7" t="s">
        <v>470</v>
      </c>
      <c r="I171" s="249">
        <v>1693</v>
      </c>
      <c r="J171" s="249">
        <v>8740</v>
      </c>
      <c r="K171" s="38">
        <f>ROUND(I171*J171,0)</f>
        <v>14796820</v>
      </c>
      <c r="L171" s="191" t="s">
        <v>262</v>
      </c>
      <c r="M171" s="191" t="s">
        <v>172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IF(OR(TH!L171=TH!$U$7,M171=TH!$U$7),"x","")</f>
        <v/>
      </c>
      <c r="V171" s="52" t="str">
        <f>IF(AND(B171&gt;='IN-NX'!$P$3,B171&lt;='IN-NX'!$Q$3,'IN-NX'!$D$7=D171,OR(LEFT(L171,2)="15",AND(LEFT(M171,2)&lt;&gt;"15",LEFT(M171,2)&lt;&gt;"33"))),"x","")</f>
        <v/>
      </c>
      <c r="W171" s="52" t="str">
        <f>IF(AND(OR(LEFT(TH!L171,2)="15",LEFT(TH!M171,2)="15"),'152-CT'!$J$8=TH!F171),"x","")</f>
        <v/>
      </c>
      <c r="X171" s="52" t="str">
        <f>IF(AND(OR(LEFT(TH!L171,2)="15",LEFT(TH!M171,2)="15"),TK!$E$7=TH!F171),"x","")</f>
        <v/>
      </c>
      <c r="Y171" s="52" t="str">
        <f>IF(AND(B171&lt;=NKC!$N$8,B171&gt;=NKC!$M$8),"x","")</f>
        <v/>
      </c>
      <c r="Z171" s="836"/>
      <c r="AA171" s="587"/>
    </row>
    <row r="172" spans="1:28" ht="15.75" customHeight="1">
      <c r="A172" s="201" t="str">
        <f>IF(B172&lt;&gt;"",IF(AND(B172&gt;=_TM1,B172&lt;=_TM2,OR(TH!L172="1111",TH!M172="1111")),TH!D172,""),"")</f>
        <v/>
      </c>
      <c r="B172" s="36">
        <f t="shared" si="9"/>
        <v>1</v>
      </c>
      <c r="C172" s="188">
        <f t="shared" si="10"/>
        <v>41305</v>
      </c>
      <c r="D172" s="181" t="s">
        <v>1027</v>
      </c>
      <c r="E172" s="188">
        <v>41305</v>
      </c>
      <c r="F172" s="189" t="s">
        <v>693</v>
      </c>
      <c r="G172" s="189" t="s">
        <v>730</v>
      </c>
      <c r="H172" s="7" t="s">
        <v>470</v>
      </c>
      <c r="I172" s="250"/>
      <c r="J172" s="250"/>
      <c r="K172" s="38">
        <v>1479682</v>
      </c>
      <c r="L172" s="191" t="s">
        <v>262</v>
      </c>
      <c r="M172" s="191" t="s">
        <v>425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IF(OR(TH!L172=TH!$U$7,M172=TH!$U$7),"x","")</f>
        <v/>
      </c>
      <c r="V172" s="52" t="str">
        <f>IF(AND(B172&gt;='IN-NX'!$P$3,B172&lt;='IN-NX'!$Q$3,'IN-NX'!$D$7=D172,OR(LEFT(L172,2)="15",AND(LEFT(M172,2)&lt;&gt;"15",LEFT(M172,2)&lt;&gt;"33"))),"x","")</f>
        <v/>
      </c>
      <c r="W172" s="52" t="str">
        <f>IF(AND(OR(LEFT(TH!L172,2)="15",LEFT(TH!M172,2)="15"),'152-CT'!$J$8=TH!F172),"x","")</f>
        <v/>
      </c>
      <c r="X172" s="52" t="str">
        <f>IF(AND(OR(LEFT(TH!L172,2)="15",LEFT(TH!M172,2)="15"),TK!$E$7=TH!F172),"x","")</f>
        <v/>
      </c>
      <c r="Y172" s="52" t="str">
        <f>IF(AND(B172&lt;=NKC!$N$8,B172&gt;=NKC!$M$8),"x","")</f>
        <v/>
      </c>
      <c r="Z172" s="208"/>
      <c r="AA172" s="587" t="str">
        <f>IF(VLOOKUP(H172,DS_131,1,0)&lt;&gt;"","","x")</f>
        <v/>
      </c>
    </row>
    <row r="173" spans="1:28" ht="15.75" customHeight="1">
      <c r="A173" s="201" t="str">
        <f>IF(B173&lt;&gt;"",IF(AND(B173&gt;=_TM1,B173&lt;=_TM2,OR(TH!L173="1111",TH!M173="1111")),TH!D173,""),"")</f>
        <v/>
      </c>
      <c r="B173" s="36">
        <f t="shared" si="9"/>
        <v>1</v>
      </c>
      <c r="C173" s="188">
        <f t="shared" si="10"/>
        <v>41305</v>
      </c>
      <c r="D173" s="181" t="s">
        <v>1028</v>
      </c>
      <c r="E173" s="188">
        <v>41305</v>
      </c>
      <c r="F173" s="189" t="s">
        <v>731</v>
      </c>
      <c r="G173" s="189" t="s">
        <v>732</v>
      </c>
      <c r="H173" s="7" t="s">
        <v>549</v>
      </c>
      <c r="I173" s="249">
        <v>466</v>
      </c>
      <c r="J173" s="249">
        <v>22000</v>
      </c>
      <c r="K173" s="38">
        <f>ROUND(I173*J173,0)</f>
        <v>10252000</v>
      </c>
      <c r="L173" s="191" t="s">
        <v>262</v>
      </c>
      <c r="M173" s="191" t="s">
        <v>172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IF(OR(TH!L173=TH!$U$7,M173=TH!$U$7),"x","")</f>
        <v/>
      </c>
      <c r="V173" s="52" t="str">
        <f>IF(AND(B173&gt;='IN-NX'!$P$3,B173&lt;='IN-NX'!$Q$3,'IN-NX'!$D$7=D173,OR(LEFT(L173,2)="15",AND(LEFT(M173,2)&lt;&gt;"15",LEFT(M173,2)&lt;&gt;"33"))),"x","")</f>
        <v/>
      </c>
      <c r="W173" s="52" t="str">
        <f>IF(AND(OR(LEFT(TH!L173,2)="15",LEFT(TH!M173,2)="15"),'152-CT'!$J$8=TH!F173),"x","")</f>
        <v/>
      </c>
      <c r="X173" s="52" t="str">
        <f>IF(AND(OR(LEFT(TH!L173,2)="15",LEFT(TH!M173,2)="15"),TK!$E$7=TH!F173),"x","")</f>
        <v/>
      </c>
      <c r="Y173" s="52" t="str">
        <f>IF(AND(B173&lt;=NKC!$N$8,B173&gt;=NKC!$M$8),"x","")</f>
        <v/>
      </c>
      <c r="Z173" s="208"/>
      <c r="AA173" s="587"/>
    </row>
    <row r="174" spans="1:28" ht="15.75" customHeight="1">
      <c r="A174" s="201" t="str">
        <f>IF(B174&lt;&gt;"",IF(AND(B174&gt;=_TM1,B174&lt;=_TM2,OR(TH!L174="1111",TH!M174="1111")),TH!D174,""),"")</f>
        <v/>
      </c>
      <c r="B174" s="36">
        <f t="shared" si="9"/>
        <v>1</v>
      </c>
      <c r="C174" s="188">
        <f t="shared" si="10"/>
        <v>41305</v>
      </c>
      <c r="D174" s="181" t="s">
        <v>1028</v>
      </c>
      <c r="E174" s="188">
        <v>41305</v>
      </c>
      <c r="F174" s="189" t="s">
        <v>693</v>
      </c>
      <c r="G174" s="189" t="s">
        <v>732</v>
      </c>
      <c r="H174" s="7" t="s">
        <v>549</v>
      </c>
      <c r="I174" s="249"/>
      <c r="J174" s="249"/>
      <c r="K174" s="38">
        <v>1025200</v>
      </c>
      <c r="L174" s="191" t="s">
        <v>262</v>
      </c>
      <c r="M174" s="191" t="s">
        <v>425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IF(OR(TH!L174=TH!$U$7,M174=TH!$U$7),"x","")</f>
        <v/>
      </c>
      <c r="V174" s="52" t="str">
        <f>IF(AND(B174&gt;='IN-NX'!$P$3,B174&lt;='IN-NX'!$Q$3,'IN-NX'!$D$7=D174,OR(LEFT(L174,2)="15",AND(LEFT(M174,2)&lt;&gt;"15",LEFT(M174,2)&lt;&gt;"33"))),"x","")</f>
        <v/>
      </c>
      <c r="W174" s="52" t="str">
        <f>IF(AND(OR(LEFT(TH!L174,2)="15",LEFT(TH!M174,2)="15"),'152-CT'!$J$8=TH!F174),"x","")</f>
        <v/>
      </c>
      <c r="X174" s="52" t="str">
        <f>IF(AND(OR(LEFT(TH!L174,2)="15",LEFT(TH!M174,2)="15"),TK!$E$7=TH!F174),"x","")</f>
        <v/>
      </c>
      <c r="Y174" s="52" t="str">
        <f>IF(AND(B174&lt;=NKC!$N$8,B174&gt;=NKC!$M$8),"x","")</f>
        <v/>
      </c>
      <c r="Z174" s="208"/>
      <c r="AA174" s="587" t="str">
        <f>IF(VLOOKUP(H174,DS_131,1,0)&lt;&gt;"","","x")</f>
        <v/>
      </c>
    </row>
    <row r="175" spans="1:28" ht="15.75" customHeight="1">
      <c r="A175" s="201" t="str">
        <f>IF(B175&lt;&gt;"",IF(AND(B175&gt;=_TM1,B175&lt;=_TM2,OR(TH!L175="1111",TH!M175="1111")),TH!D175,""),"")</f>
        <v/>
      </c>
      <c r="B175" s="36">
        <f t="shared" si="9"/>
        <v>1</v>
      </c>
      <c r="C175" s="188">
        <f t="shared" si="10"/>
        <v>41305</v>
      </c>
      <c r="D175" s="181" t="s">
        <v>445</v>
      </c>
      <c r="E175" s="188">
        <v>41305</v>
      </c>
      <c r="F175" s="186" t="s">
        <v>337</v>
      </c>
      <c r="G175" s="189" t="s">
        <v>1331</v>
      </c>
      <c r="H175" s="7" t="s">
        <v>549</v>
      </c>
      <c r="I175" s="249"/>
      <c r="J175" s="249"/>
      <c r="K175" s="38">
        <v>14999985</v>
      </c>
      <c r="L175" s="191" t="s">
        <v>47</v>
      </c>
      <c r="M175" s="191" t="s">
        <v>262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>x</v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IF(OR(TH!L175=TH!$U$7,M175=TH!$U$7),"x","")</f>
        <v/>
      </c>
      <c r="V175" s="52" t="str">
        <f>IF(AND(B175&gt;='IN-NX'!$P$3,B175&lt;='IN-NX'!$Q$3,'IN-NX'!$D$7=D175,OR(LEFT(L175,2)="15",AND(LEFT(M175,2)&lt;&gt;"15",LEFT(M175,2)&lt;&gt;"33"))),"x","")</f>
        <v/>
      </c>
      <c r="W175" s="52" t="str">
        <f>IF(AND(OR(LEFT(TH!L175,2)="15",LEFT(TH!M175,2)="15"),'152-CT'!$J$8=TH!F175),"x","")</f>
        <v/>
      </c>
      <c r="X175" s="52" t="str">
        <f>IF(AND(OR(LEFT(TH!L175,2)="15",LEFT(TH!M175,2)="15"),TK!$E$7=TH!F175),"x","")</f>
        <v/>
      </c>
      <c r="Y175" s="52" t="str">
        <f>IF(AND(B175&lt;=NKC!$N$8,B175&gt;=NKC!$M$8),"x","")</f>
        <v/>
      </c>
      <c r="Z175" s="208"/>
      <c r="AA175" s="587" t="str">
        <f>IF(VLOOKUP(H175,DS_131,1,0)&lt;&gt;"","","x")</f>
        <v/>
      </c>
    </row>
    <row r="176" spans="1:28" ht="15.75" customHeight="1">
      <c r="A176" s="201" t="str">
        <f>IF(B176&lt;&gt;"",IF(AND(B176&gt;=_TM1,B176&lt;=_TM2,OR(TH!L176="1111",TH!M176="1111")),TH!D176,""),"")</f>
        <v/>
      </c>
      <c r="B176" s="36">
        <f t="shared" si="9"/>
        <v>2</v>
      </c>
      <c r="C176" s="181">
        <f t="shared" si="10"/>
        <v>41306</v>
      </c>
      <c r="D176" s="181" t="s">
        <v>335</v>
      </c>
      <c r="E176" s="188">
        <v>41306</v>
      </c>
      <c r="F176" s="186" t="s">
        <v>337</v>
      </c>
      <c r="G176" s="597" t="s">
        <v>332</v>
      </c>
      <c r="H176" s="7" t="s">
        <v>470</v>
      </c>
      <c r="I176" s="250"/>
      <c r="J176" s="251"/>
      <c r="K176" s="38">
        <v>16276502</v>
      </c>
      <c r="L176" s="596" t="s">
        <v>24</v>
      </c>
      <c r="M176" s="596" t="s">
        <v>262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IF(OR(TH!L176=TH!$U$7,M176=TH!$U$7),"x","")</f>
        <v/>
      </c>
      <c r="V176" s="52" t="str">
        <f>IF(AND(B176&gt;='IN-NX'!$P$3,B176&lt;='IN-NX'!$Q$3,'IN-NX'!$D$7=D176,OR(LEFT(L176,2)="15",AND(LEFT(M176,2)&lt;&gt;"15",LEFT(M176,2)&lt;&gt;"33"))),"x","")</f>
        <v/>
      </c>
      <c r="W176" s="52" t="str">
        <f>IF(AND(OR(LEFT(TH!L176,2)="15",LEFT(TH!M176,2)="15"),'152-CT'!$J$8=TH!F176),"x","")</f>
        <v/>
      </c>
      <c r="X176" s="52" t="str">
        <f>IF(AND(OR(LEFT(TH!L176,2)="15",LEFT(TH!M176,2)="15"),TK!$E$7=TH!F176),"x","")</f>
        <v/>
      </c>
      <c r="Y176" s="52" t="str">
        <f>IF(AND(B176&lt;=NKC!$N$8,B176&gt;=NKC!$M$8),"x","")</f>
        <v/>
      </c>
      <c r="Z176" s="208"/>
      <c r="AA176" s="208"/>
      <c r="AB176" s="587"/>
    </row>
    <row r="177" spans="1:28" ht="15.75" customHeight="1">
      <c r="A177" s="201" t="str">
        <f>IF(B177&lt;&gt;"",IF(AND(B177&gt;=_TM1,B177&lt;=_TM2,OR(TH!L177="1111",TH!M177="1111")),TH!D177,""),"")</f>
        <v/>
      </c>
      <c r="B177" s="36">
        <f t="shared" si="9"/>
        <v>2</v>
      </c>
      <c r="C177" s="181">
        <f t="shared" si="10"/>
        <v>41306</v>
      </c>
      <c r="D177" s="181" t="s">
        <v>446</v>
      </c>
      <c r="E177" s="188">
        <v>41306</v>
      </c>
      <c r="F177" s="186" t="s">
        <v>469</v>
      </c>
      <c r="G177" s="597" t="s">
        <v>332</v>
      </c>
      <c r="H177" s="7" t="s">
        <v>464</v>
      </c>
      <c r="I177" s="250"/>
      <c r="J177" s="251"/>
      <c r="K177" s="38">
        <v>33000000</v>
      </c>
      <c r="L177" s="596" t="s">
        <v>47</v>
      </c>
      <c r="M177" s="596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>x</v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52" t="str">
        <f>IF(OR(TH!L177=TH!$U$7,M177=TH!$U$7),"x","")</f>
        <v/>
      </c>
      <c r="V177" s="52" t="str">
        <f>IF(AND(B177&gt;='IN-NX'!$P$3,B177&lt;='IN-NX'!$Q$3,'IN-NX'!$D$7=D177,OR(LEFT(L177,2)="15",AND(LEFT(M177,2)&lt;&gt;"15",LEFT(M177,2)&lt;&gt;"33"))),"x","")</f>
        <v/>
      </c>
      <c r="W177" s="52" t="str">
        <f>IF(AND(OR(LEFT(TH!L177,2)="15",LEFT(TH!M177,2)="15"),'152-CT'!$J$8=TH!F177),"x","")</f>
        <v/>
      </c>
      <c r="X177" s="52" t="str">
        <f>IF(AND(OR(LEFT(TH!L177,2)="15",LEFT(TH!M177,2)="15"),TK!$E$7=TH!F177),"x","")</f>
        <v/>
      </c>
      <c r="Y177" s="52" t="str">
        <f>IF(AND(B177&lt;=NKC!$N$8,B177&gt;=NKC!$M$8),"x","")</f>
        <v/>
      </c>
      <c r="Z177" s="208"/>
      <c r="AA177" s="208"/>
      <c r="AB177" s="587"/>
    </row>
    <row r="178" spans="1:28" ht="15.75" customHeight="1">
      <c r="A178" s="201" t="str">
        <f>IF(B178&lt;&gt;"",IF(AND(B178&gt;=_TM1,B178&lt;=_TM2,OR(TH!L178="1111",TH!M178="1111")),TH!D178,""),"")</f>
        <v/>
      </c>
      <c r="B178" s="36">
        <f t="shared" si="9"/>
        <v>2</v>
      </c>
      <c r="C178" s="181">
        <f t="shared" si="10"/>
        <v>41311</v>
      </c>
      <c r="D178" s="181" t="s">
        <v>1266</v>
      </c>
      <c r="E178" s="181">
        <v>41311</v>
      </c>
      <c r="F178" s="186" t="s">
        <v>363</v>
      </c>
      <c r="G178" s="597" t="s">
        <v>332</v>
      </c>
      <c r="H178" s="7" t="s">
        <v>364</v>
      </c>
      <c r="I178" s="249"/>
      <c r="J178" s="249"/>
      <c r="K178" s="38">
        <v>40000000</v>
      </c>
      <c r="L178" s="596" t="s">
        <v>24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IF(OR(TH!L178=TH!$U$7,M178=TH!$U$7),"x","")</f>
        <v/>
      </c>
      <c r="V178" s="52" t="str">
        <f>IF(AND(B178&gt;='IN-NX'!$P$3,B178&lt;='IN-NX'!$Q$3,'IN-NX'!$D$7=D178,OR(LEFT(L178,2)="15",AND(LEFT(M178,2)&lt;&gt;"15",LEFT(M178,2)&lt;&gt;"33"))),"x","")</f>
        <v/>
      </c>
      <c r="W178" s="52" t="str">
        <f>IF(AND(OR(LEFT(TH!L178,2)="15",LEFT(TH!M178,2)="15"),'152-CT'!$J$8=TH!F178),"x","")</f>
        <v/>
      </c>
      <c r="X178" s="52" t="str">
        <f>IF(AND(OR(LEFT(TH!L178,2)="15",LEFT(TH!M178,2)="15"),TK!$E$7=TH!F178),"x","")</f>
        <v/>
      </c>
      <c r="Y178" s="52" t="str">
        <f>IF(AND(B178&lt;=NKC!$N$8,B178&gt;=NKC!$M$8),"x","")</f>
        <v/>
      </c>
      <c r="Z178" s="208"/>
      <c r="AA178" s="208"/>
      <c r="AB178" s="587"/>
    </row>
    <row r="179" spans="1:28" ht="15.75" customHeight="1">
      <c r="A179" s="201" t="str">
        <f>IF(B179&lt;&gt;"",IF(AND(B179&gt;=_TM1,B179&lt;=_TM2,OR(TH!L179="1111",TH!M179="1111")),TH!D179,""),"")</f>
        <v/>
      </c>
      <c r="B179" s="36">
        <f t="shared" si="9"/>
        <v>2</v>
      </c>
      <c r="C179" s="181">
        <f t="shared" si="10"/>
        <v>41311</v>
      </c>
      <c r="D179" s="181" t="s">
        <v>336</v>
      </c>
      <c r="E179" s="188">
        <v>41311</v>
      </c>
      <c r="F179" s="186" t="s">
        <v>367</v>
      </c>
      <c r="G179" s="597" t="s">
        <v>332</v>
      </c>
      <c r="H179" s="190" t="s">
        <v>554</v>
      </c>
      <c r="I179" s="250"/>
      <c r="J179" s="251"/>
      <c r="K179" s="38">
        <v>50000000</v>
      </c>
      <c r="L179" s="596" t="s">
        <v>8</v>
      </c>
      <c r="M179" s="596" t="s">
        <v>24</v>
      </c>
      <c r="N179" s="52" t="str">
        <f>IF(AND('331-CT'!$E$7=TH!H179,OR(L179="331",M179="331")),"331",IF(AND(OR(L179="131",M179="131"),H179='131-CT'!$E$7),"131",""))</f>
        <v>331</v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52" t="str">
        <f>IF(OR(TH!L179=TH!$U$7,M179=TH!$U$7),"x","")</f>
        <v/>
      </c>
      <c r="V179" s="52" t="str">
        <f>IF(AND(B179&gt;='IN-NX'!$P$3,B179&lt;='IN-NX'!$Q$3,'IN-NX'!$D$7=D179,OR(LEFT(L179,2)="15",AND(LEFT(M179,2)&lt;&gt;"15",LEFT(M179,2)&lt;&gt;"33"))),"x","")</f>
        <v/>
      </c>
      <c r="W179" s="52" t="str">
        <f>IF(AND(OR(LEFT(TH!L179,2)="15",LEFT(TH!M179,2)="15"),'152-CT'!$J$8=TH!F179),"x","")</f>
        <v/>
      </c>
      <c r="X179" s="52" t="str">
        <f>IF(AND(OR(LEFT(TH!L179,2)="15",LEFT(TH!M179,2)="15"),TK!$E$7=TH!F179),"x","")</f>
        <v/>
      </c>
      <c r="Y179" s="52" t="str">
        <f>IF(AND(B179&lt;=NKC!$N$8,B179&gt;=NKC!$M$8),"x","")</f>
        <v/>
      </c>
      <c r="Z179" s="208"/>
      <c r="AA179" s="208"/>
      <c r="AB179" s="587"/>
    </row>
    <row r="180" spans="1:28" ht="15.75" customHeight="1">
      <c r="A180" s="201" t="str">
        <f>IF(B180&lt;&gt;"",IF(AND(B180&gt;=_TM1,B180&lt;=_TM2,OR(TH!L180="1111",TH!M180="1111")),TH!D180,""),"")</f>
        <v/>
      </c>
      <c r="B180" s="36">
        <f t="shared" si="9"/>
        <v>2</v>
      </c>
      <c r="C180" s="181">
        <f t="shared" si="10"/>
        <v>41311</v>
      </c>
      <c r="D180" s="181" t="s">
        <v>336</v>
      </c>
      <c r="E180" s="188">
        <v>41311</v>
      </c>
      <c r="F180" s="186" t="s">
        <v>367</v>
      </c>
      <c r="G180" s="597" t="s">
        <v>332</v>
      </c>
      <c r="H180" s="190" t="s">
        <v>1080</v>
      </c>
      <c r="I180" s="250"/>
      <c r="J180" s="251"/>
      <c r="K180" s="38">
        <v>6500000</v>
      </c>
      <c r="L180" s="596" t="s">
        <v>8</v>
      </c>
      <c r="M180" s="596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IF(OR(TH!L180=TH!$U$7,M180=TH!$U$7),"x","")</f>
        <v/>
      </c>
      <c r="V180" s="52" t="str">
        <f>IF(AND(B180&gt;='IN-NX'!$P$3,B180&lt;='IN-NX'!$Q$3,'IN-NX'!$D$7=D180,OR(LEFT(L180,2)="15",AND(LEFT(M180,2)&lt;&gt;"15",LEFT(M180,2)&lt;&gt;"33"))),"x","")</f>
        <v/>
      </c>
      <c r="W180" s="52" t="str">
        <f>IF(AND(OR(LEFT(TH!L180,2)="15",LEFT(TH!M180,2)="15"),'152-CT'!$J$8=TH!F180),"x","")</f>
        <v/>
      </c>
      <c r="X180" s="52" t="str">
        <f>IF(AND(OR(LEFT(TH!L180,2)="15",LEFT(TH!M180,2)="15"),TK!$E$7=TH!F180),"x","")</f>
        <v/>
      </c>
      <c r="Y180" s="52" t="str">
        <f>IF(AND(B180&lt;=NKC!$N$8,B180&gt;=NKC!$M$8),"x","")</f>
        <v/>
      </c>
      <c r="Z180" s="587"/>
      <c r="AA180" s="587"/>
      <c r="AB180" s="587"/>
    </row>
    <row r="181" spans="1:28" ht="15.75" customHeight="1">
      <c r="A181" s="201" t="str">
        <f>IF(B181&lt;&gt;"",IF(AND(B181&gt;=_TM1,B181&lt;=_TM2,OR(TH!L181="1111",TH!M181="1111")),TH!D181,""),"")</f>
        <v/>
      </c>
      <c r="B181" s="36">
        <f t="shared" si="9"/>
        <v>2</v>
      </c>
      <c r="C181" s="181">
        <f t="shared" si="10"/>
        <v>41311</v>
      </c>
      <c r="D181" s="181" t="s">
        <v>336</v>
      </c>
      <c r="E181" s="188">
        <v>41311</v>
      </c>
      <c r="F181" s="186" t="s">
        <v>465</v>
      </c>
      <c r="G181" s="597" t="s">
        <v>332</v>
      </c>
      <c r="H181" s="7"/>
      <c r="I181" s="250"/>
      <c r="J181" s="251"/>
      <c r="K181" s="38">
        <v>11902</v>
      </c>
      <c r="L181" s="596" t="s">
        <v>83</v>
      </c>
      <c r="M181" s="5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IF(OR(TH!L181=TH!$U$7,M181=TH!$U$7),"x","")</f>
        <v>x</v>
      </c>
      <c r="V181" s="52" t="str">
        <f>IF(AND(B181&gt;='IN-NX'!$P$3,B181&lt;='IN-NX'!$Q$3,'IN-NX'!$D$7=D181,OR(LEFT(L181,2)="15",AND(LEFT(M181,2)&lt;&gt;"15",LEFT(M181,2)&lt;&gt;"33"))),"x","")</f>
        <v/>
      </c>
      <c r="W181" s="52" t="str">
        <f>IF(AND(OR(LEFT(TH!L181,2)="15",LEFT(TH!M181,2)="15"),'152-CT'!$J$8=TH!F181),"x","")</f>
        <v/>
      </c>
      <c r="X181" s="52" t="str">
        <f>IF(AND(OR(LEFT(TH!L181,2)="15",LEFT(TH!M181,2)="15"),TK!$E$7=TH!F181),"x","")</f>
        <v/>
      </c>
      <c r="Y181" s="52" t="str">
        <f>IF(AND(B181&lt;=NKC!$N$8,B181&gt;=NKC!$M$8),"x","")</f>
        <v/>
      </c>
      <c r="Z181" s="208"/>
      <c r="AA181" s="587"/>
      <c r="AB181" s="587"/>
    </row>
    <row r="182" spans="1:28" ht="15.75" customHeight="1">
      <c r="A182" s="201" t="str">
        <f>IF(B182&lt;&gt;"",IF(AND(B182&gt;=_TM1,B182&lt;=_TM2,OR(TH!L182="1111",TH!M182="1111")),TH!D182,""),"")</f>
        <v/>
      </c>
      <c r="B182" s="36">
        <f t="shared" si="9"/>
        <v>2</v>
      </c>
      <c r="C182" s="181">
        <f t="shared" si="10"/>
        <v>41311</v>
      </c>
      <c r="D182" s="181" t="s">
        <v>336</v>
      </c>
      <c r="E182" s="188">
        <v>41311</v>
      </c>
      <c r="F182" s="186" t="s">
        <v>338</v>
      </c>
      <c r="G182" s="597" t="s">
        <v>332</v>
      </c>
      <c r="H182" s="7"/>
      <c r="I182" s="250"/>
      <c r="J182" s="251"/>
      <c r="K182" s="38">
        <v>25000</v>
      </c>
      <c r="L182" s="596" t="s">
        <v>83</v>
      </c>
      <c r="M182" s="5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IF(OR(TH!L182=TH!$U$7,M182=TH!$U$7),"x","")</f>
        <v>x</v>
      </c>
      <c r="V182" s="52" t="str">
        <f>IF(AND(B182&gt;='IN-NX'!$P$3,B182&lt;='IN-NX'!$Q$3,'IN-NX'!$D$7=D182,OR(LEFT(L182,2)="15",AND(LEFT(M182,2)&lt;&gt;"15",LEFT(M182,2)&lt;&gt;"33"))),"x","")</f>
        <v/>
      </c>
      <c r="W182" s="52" t="str">
        <f>IF(AND(OR(LEFT(TH!L182,2)="15",LEFT(TH!M182,2)="15"),'152-CT'!$J$8=TH!F182),"x","")</f>
        <v/>
      </c>
      <c r="X182" s="52" t="str">
        <f>IF(AND(OR(LEFT(TH!L182,2)="15",LEFT(TH!M182,2)="15"),TK!$E$7=TH!F182),"x","")</f>
        <v/>
      </c>
      <c r="Y182" s="52" t="str">
        <f>IF(AND(B182&lt;=NKC!$N$8,B182&gt;=NKC!$M$8),"x","")</f>
        <v/>
      </c>
      <c r="Z182" s="208"/>
      <c r="AA182" s="208"/>
      <c r="AB182" s="587"/>
    </row>
    <row r="183" spans="1:28" ht="15.75" customHeight="1">
      <c r="A183" s="201" t="str">
        <f>IF(B183&lt;&gt;"",IF(AND(B183&gt;=_TM1,B183&lt;=_TM2,OR(TH!L183="1111",TH!M183="1111")),TH!D183,""),"")</f>
        <v/>
      </c>
      <c r="B183" s="36">
        <f t="shared" si="9"/>
        <v>2</v>
      </c>
      <c r="C183" s="181">
        <f t="shared" si="10"/>
        <v>41311</v>
      </c>
      <c r="D183" s="181" t="s">
        <v>336</v>
      </c>
      <c r="E183" s="188">
        <v>41311</v>
      </c>
      <c r="F183" s="186" t="s">
        <v>338</v>
      </c>
      <c r="G183" s="597" t="s">
        <v>332</v>
      </c>
      <c r="H183" s="7"/>
      <c r="I183" s="249"/>
      <c r="J183" s="249"/>
      <c r="K183" s="38">
        <v>20000</v>
      </c>
      <c r="L183" s="596" t="s">
        <v>83</v>
      </c>
      <c r="M183" s="5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IF(OR(TH!L183=TH!$U$7,M183=TH!$U$7),"x","")</f>
        <v>x</v>
      </c>
      <c r="V183" s="52" t="str">
        <f>IF(AND(B183&gt;='IN-NX'!$P$3,B183&lt;='IN-NX'!$Q$3,'IN-NX'!$D$7=D183,OR(LEFT(L183,2)="15",AND(LEFT(M183,2)&lt;&gt;"15",LEFT(M183,2)&lt;&gt;"33"))),"x","")</f>
        <v/>
      </c>
      <c r="W183" s="52" t="str">
        <f>IF(AND(OR(LEFT(TH!L183,2)="15",LEFT(TH!M183,2)="15"),'152-CT'!$J$8=TH!F183),"x","")</f>
        <v/>
      </c>
      <c r="X183" s="52" t="str">
        <f>IF(AND(OR(LEFT(TH!L183,2)="15",LEFT(TH!M183,2)="15"),TK!$E$7=TH!F183),"x","")</f>
        <v/>
      </c>
      <c r="Y183" s="52" t="str">
        <f>IF(AND(B183&lt;=NKC!$N$8,B183&gt;=NKC!$M$8),"x","")</f>
        <v/>
      </c>
      <c r="Z183" s="208"/>
      <c r="AA183" s="208"/>
      <c r="AB183" s="587"/>
    </row>
    <row r="184" spans="1:28" ht="15.75" customHeight="1">
      <c r="A184" s="201" t="str">
        <f>IF(B184&lt;&gt;"",IF(AND(B184&gt;=_TM1,B184&lt;=_TM2,OR(TH!L184="1111",TH!M184="1111")),TH!D184,""),"")</f>
        <v/>
      </c>
      <c r="B184" s="36">
        <f t="shared" si="9"/>
        <v>2</v>
      </c>
      <c r="C184" s="188">
        <f t="shared" si="10"/>
        <v>41328</v>
      </c>
      <c r="D184" s="181" t="s">
        <v>1029</v>
      </c>
      <c r="E184" s="188">
        <v>41328</v>
      </c>
      <c r="F184" s="189" t="s">
        <v>733</v>
      </c>
      <c r="G184" s="189" t="s">
        <v>734</v>
      </c>
      <c r="H184" s="190" t="s">
        <v>1078</v>
      </c>
      <c r="I184" s="249">
        <v>610</v>
      </c>
      <c r="J184" s="249">
        <v>6990</v>
      </c>
      <c r="K184" s="38">
        <f>ROUND(I184*J184,0)</f>
        <v>4263900</v>
      </c>
      <c r="L184" s="191" t="s">
        <v>262</v>
      </c>
      <c r="M184" s="191" t="s">
        <v>172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IF(OR(TH!L184=TH!$U$7,M184=TH!$U$7),"x","")</f>
        <v/>
      </c>
      <c r="V184" s="52" t="str">
        <f>IF(AND(B184&gt;='IN-NX'!$P$3,B184&lt;='IN-NX'!$Q$3,'IN-NX'!$D$7=D184,OR(LEFT(L184,2)="15",AND(LEFT(M184,2)&lt;&gt;"15",LEFT(M184,2)&lt;&gt;"33"))),"x","")</f>
        <v/>
      </c>
      <c r="W184" s="52" t="str">
        <f>IF(AND(OR(LEFT(TH!L184,2)="15",LEFT(TH!M184,2)="15"),'152-CT'!$J$8=TH!F184),"x","")</f>
        <v/>
      </c>
      <c r="X184" s="52" t="str">
        <f>IF(AND(OR(LEFT(TH!L184,2)="15",LEFT(TH!M184,2)="15"),TK!$E$7=TH!F184),"x","")</f>
        <v/>
      </c>
      <c r="Y184" s="52" t="str">
        <f>IF(AND(B184&lt;=NKC!$N$8,B184&gt;=NKC!$M$8),"x","")</f>
        <v/>
      </c>
      <c r="Z184" s="208"/>
      <c r="AA184" s="587"/>
    </row>
    <row r="185" spans="1:28" ht="15.75" customHeight="1">
      <c r="A185" s="201" t="str">
        <f>IF(B185&lt;&gt;"",IF(AND(B185&gt;=_TM1,B185&lt;=_TM2,OR(TH!L185="1111",TH!M185="1111")),TH!D185,""),"")</f>
        <v/>
      </c>
      <c r="B185" s="36">
        <f t="shared" si="9"/>
        <v>2</v>
      </c>
      <c r="C185" s="188">
        <f t="shared" si="10"/>
        <v>41328</v>
      </c>
      <c r="D185" s="181" t="s">
        <v>1029</v>
      </c>
      <c r="E185" s="188">
        <v>41328</v>
      </c>
      <c r="F185" s="189" t="s">
        <v>693</v>
      </c>
      <c r="G185" s="189" t="s">
        <v>734</v>
      </c>
      <c r="H185" s="190" t="s">
        <v>1078</v>
      </c>
      <c r="I185" s="249"/>
      <c r="J185" s="249"/>
      <c r="K185" s="38">
        <v>426390</v>
      </c>
      <c r="L185" s="191" t="s">
        <v>262</v>
      </c>
      <c r="M185" s="191" t="s">
        <v>425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IF(OR(TH!L185=TH!$U$7,M185=TH!$U$7),"x","")</f>
        <v/>
      </c>
      <c r="V185" s="52" t="str">
        <f>IF(AND(B185&gt;='IN-NX'!$P$3,B185&lt;='IN-NX'!$Q$3,'IN-NX'!$D$7=D185,OR(LEFT(L185,2)="15",AND(LEFT(M185,2)&lt;&gt;"15",LEFT(M185,2)&lt;&gt;"33"))),"x","")</f>
        <v/>
      </c>
      <c r="W185" s="52" t="str">
        <f>IF(AND(OR(LEFT(TH!L185,2)="15",LEFT(TH!M185,2)="15"),'152-CT'!$J$8=TH!F185),"x","")</f>
        <v/>
      </c>
      <c r="X185" s="52" t="str">
        <f>IF(AND(OR(LEFT(TH!L185,2)="15",LEFT(TH!M185,2)="15"),TK!$E$7=TH!F185),"x","")</f>
        <v/>
      </c>
      <c r="Y185" s="52" t="str">
        <f>IF(AND(B185&lt;=NKC!$N$8,B185&gt;=NKC!$M$8),"x","")</f>
        <v/>
      </c>
      <c r="Z185" s="208"/>
      <c r="AA185" s="587" t="str">
        <f>IF(VLOOKUP(H185,DS_131,1,0)&lt;&gt;"","","x")</f>
        <v/>
      </c>
    </row>
    <row r="186" spans="1:28" ht="15.75" customHeight="1">
      <c r="A186" s="201" t="str">
        <f>IF(B186&lt;&gt;"",IF(AND(B186&gt;=_TM1,B186&lt;=_TM2,OR(TH!L186="1111",TH!M186="1111")),TH!D186,""),"")</f>
        <v/>
      </c>
      <c r="B186" s="36">
        <f t="shared" si="9"/>
        <v>2</v>
      </c>
      <c r="C186" s="188">
        <f t="shared" si="10"/>
        <v>41328</v>
      </c>
      <c r="D186" s="181" t="s">
        <v>447</v>
      </c>
      <c r="E186" s="188">
        <v>41328</v>
      </c>
      <c r="F186" s="186" t="s">
        <v>337</v>
      </c>
      <c r="G186" s="189" t="s">
        <v>1317</v>
      </c>
      <c r="H186" s="190" t="s">
        <v>1078</v>
      </c>
      <c r="I186" s="249"/>
      <c r="J186" s="249"/>
      <c r="K186" s="38">
        <v>13814790</v>
      </c>
      <c r="L186" s="191" t="s">
        <v>47</v>
      </c>
      <c r="M186" s="191" t="s">
        <v>262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IF(OR(TH!L186=TH!$U$7,M186=TH!$U$7),"x","")</f>
        <v/>
      </c>
      <c r="V186" s="52" t="str">
        <f>IF(AND(B186&gt;='IN-NX'!$P$3,B186&lt;='IN-NX'!$Q$3,'IN-NX'!$D$7=D186,OR(LEFT(L186,2)="15",AND(LEFT(M186,2)&lt;&gt;"15",LEFT(M186,2)&lt;&gt;"33"))),"x","")</f>
        <v/>
      </c>
      <c r="W186" s="52" t="str">
        <f>IF(AND(OR(LEFT(TH!L186,2)="15",LEFT(TH!M186,2)="15"),'152-CT'!$J$8=TH!F186),"x","")</f>
        <v/>
      </c>
      <c r="X186" s="52" t="str">
        <f>IF(AND(OR(LEFT(TH!L186,2)="15",LEFT(TH!M186,2)="15"),TK!$E$7=TH!F186),"x","")</f>
        <v/>
      </c>
      <c r="Y186" s="52" t="str">
        <f>IF(AND(B186&lt;=NKC!$N$8,B186&gt;=NKC!$M$8),"x","")</f>
        <v/>
      </c>
      <c r="Z186" s="208"/>
      <c r="AA186" s="587" t="str">
        <f>IF(VLOOKUP(H186,DS_131,1,0)&lt;&gt;"","","x")</f>
        <v/>
      </c>
    </row>
    <row r="187" spans="1:28" ht="15.75" customHeight="1">
      <c r="A187" s="201" t="str">
        <f>IF(B187&lt;&gt;"",IF(AND(B187&gt;=_TM1,B187&lt;=_TM2,OR(TH!L187="1111",TH!M187="1111")),TH!D187,""),"")</f>
        <v/>
      </c>
      <c r="B187" s="36">
        <f t="shared" si="9"/>
        <v>2</v>
      </c>
      <c r="C187" s="181">
        <f t="shared" si="10"/>
        <v>41330</v>
      </c>
      <c r="D187" s="181" t="s">
        <v>335</v>
      </c>
      <c r="E187" s="181">
        <v>41330</v>
      </c>
      <c r="F187" s="186" t="s">
        <v>365</v>
      </c>
      <c r="G187" s="597" t="s">
        <v>332</v>
      </c>
      <c r="H187" s="7"/>
      <c r="I187" s="249"/>
      <c r="J187" s="249"/>
      <c r="K187" s="38">
        <v>11280</v>
      </c>
      <c r="L187" s="596" t="s">
        <v>24</v>
      </c>
      <c r="M187" s="596" t="s">
        <v>40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52" t="str">
        <f>IF(OR(TH!L187=TH!$U$7,M187=TH!$U$7),"x","")</f>
        <v/>
      </c>
      <c r="V187" s="52" t="str">
        <f>IF(AND(B187&gt;='IN-NX'!$P$3,B187&lt;='IN-NX'!$Q$3,'IN-NX'!$D$7=D187,OR(LEFT(L187,2)="15",AND(LEFT(M187,2)&lt;&gt;"15",LEFT(M187,2)&lt;&gt;"33"))),"x","")</f>
        <v/>
      </c>
      <c r="W187" s="52" t="str">
        <f>IF(AND(OR(LEFT(TH!L187,2)="15",LEFT(TH!M187,2)="15"),'152-CT'!$J$8=TH!F187),"x","")</f>
        <v/>
      </c>
      <c r="X187" s="52" t="str">
        <f>IF(AND(OR(LEFT(TH!L187,2)="15",LEFT(TH!M187,2)="15"),TK!$E$7=TH!F187),"x","")</f>
        <v/>
      </c>
      <c r="Y187" s="52" t="str">
        <f>IF(AND(B187&lt;=NKC!$N$8,B187&gt;=NKC!$M$8),"x","")</f>
        <v/>
      </c>
      <c r="Z187" s="208"/>
      <c r="AA187" s="587"/>
      <c r="AB187" s="587"/>
    </row>
    <row r="188" spans="1:28" ht="15.75" customHeight="1">
      <c r="A188" s="201" t="str">
        <f>IF(B188&lt;&gt;"",IF(AND(B188&gt;=_TM1,B188&lt;=_TM2,OR(TH!L188="1111",TH!M188="1111")),TH!D188,""),"")</f>
        <v/>
      </c>
      <c r="B188" s="36">
        <f t="shared" si="9"/>
        <v>2</v>
      </c>
      <c r="C188" s="771">
        <f t="shared" si="10"/>
        <v>41333</v>
      </c>
      <c r="D188" s="771" t="s">
        <v>339</v>
      </c>
      <c r="E188" s="771">
        <v>41333</v>
      </c>
      <c r="F188" s="696" t="s">
        <v>1255</v>
      </c>
      <c r="G188" s="697"/>
      <c r="H188" s="609"/>
      <c r="I188" s="477"/>
      <c r="J188" s="477"/>
      <c r="K188" s="698">
        <v>5700000</v>
      </c>
      <c r="L188" s="699" t="s">
        <v>83</v>
      </c>
      <c r="M188" s="699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IF(OR(TH!L188=TH!$U$7,M188=TH!$U$7),"x","")</f>
        <v>x</v>
      </c>
      <c r="V188" s="52" t="str">
        <f>IF(AND(B188&gt;='IN-NX'!$P$3,B188&lt;='IN-NX'!$Q$3,'IN-NX'!$D$7=D188,OR(LEFT(L188,2)="15",AND(LEFT(M188,2)&lt;&gt;"15",LEFT(M188,2)&lt;&gt;"33"))),"x","")</f>
        <v/>
      </c>
      <c r="W188" s="52" t="str">
        <f>IF(AND(OR(LEFT(TH!L188,2)="15",LEFT(TH!M188,2)="15"),'152-CT'!$J$8=TH!F188),"x","")</f>
        <v/>
      </c>
      <c r="X188" s="52" t="str">
        <f>IF(AND(OR(LEFT(TH!L188,2)="15",LEFT(TH!M188,2)="15"),TK!$E$7=TH!F188),"x","")</f>
        <v/>
      </c>
      <c r="Y188" s="52" t="str">
        <f>IF(AND(B188&lt;=NKC!$N$8,B188&gt;=NKC!$M$8),"x","")</f>
        <v/>
      </c>
    </row>
    <row r="189" spans="1:28" ht="15.75" customHeight="1">
      <c r="A189" s="201" t="str">
        <f>IF(B189&lt;&gt;"",IF(AND(B189&gt;=_TM1,B189&lt;=_TM2,OR(TH!L189="1111",TH!M189="1111")),TH!D189,""),"")</f>
        <v/>
      </c>
      <c r="B189" s="36">
        <f t="shared" si="9"/>
        <v>2</v>
      </c>
      <c r="C189" s="771">
        <f t="shared" si="10"/>
        <v>41333</v>
      </c>
      <c r="D189" s="771" t="s">
        <v>339</v>
      </c>
      <c r="E189" s="771">
        <v>41333</v>
      </c>
      <c r="F189" s="696" t="s">
        <v>1256</v>
      </c>
      <c r="G189" s="697"/>
      <c r="H189" s="609"/>
      <c r="I189" s="477"/>
      <c r="J189" s="477"/>
      <c r="K189" s="698">
        <v>7300000</v>
      </c>
      <c r="L189" s="699" t="s">
        <v>162</v>
      </c>
      <c r="M189" s="699" t="s">
        <v>265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IF(OR(TH!L189=TH!$U$7,M189=TH!$U$7),"x","")</f>
        <v/>
      </c>
      <c r="V189" s="52" t="str">
        <f>IF(AND(B189&gt;='IN-NX'!$P$3,B189&lt;='IN-NX'!$Q$3,'IN-NX'!$D$7=D189,OR(LEFT(L189,2)="15",AND(LEFT(M189,2)&lt;&gt;"15",LEFT(M189,2)&lt;&gt;"33"))),"x","")</f>
        <v/>
      </c>
      <c r="W189" s="52" t="str">
        <f>IF(AND(OR(LEFT(TH!L189,2)="15",LEFT(TH!M189,2)="15"),'152-CT'!$J$8=TH!F189),"x","")</f>
        <v/>
      </c>
      <c r="X189" s="52" t="str">
        <f>IF(AND(OR(LEFT(TH!L189,2)="15",LEFT(TH!M189,2)="15"),TK!$E$7=TH!F189),"x","")</f>
        <v/>
      </c>
      <c r="Y189" s="52" t="str">
        <f>IF(AND(B189&lt;=NKC!$N$8,B189&gt;=NKC!$M$8),"x","")</f>
        <v/>
      </c>
    </row>
    <row r="190" spans="1:28" ht="15.75" customHeight="1">
      <c r="A190" s="201" t="str">
        <f>IF(B190&lt;&gt;"",IF(AND(B190&gt;=_TM1,B190&lt;=_TM2,OR(TH!L190="1111",TH!M190="1111")),TH!D190,""),"")</f>
        <v/>
      </c>
      <c r="B190" s="36">
        <f t="shared" si="9"/>
        <v>2</v>
      </c>
      <c r="C190" s="771">
        <f t="shared" si="10"/>
        <v>41333</v>
      </c>
      <c r="D190" s="771" t="s">
        <v>400</v>
      </c>
      <c r="E190" s="771">
        <v>41333</v>
      </c>
      <c r="F190" s="696" t="str">
        <f>"Thanh toán tiền lương tháng "&amp;MONTH(E190)&amp;"/"&amp;YEAR(E190)</f>
        <v>Thanh toán tiền lương tháng 2/2013</v>
      </c>
      <c r="G190" s="697"/>
      <c r="H190" s="609" t="s">
        <v>364</v>
      </c>
      <c r="I190" s="477"/>
      <c r="J190" s="477"/>
      <c r="K190" s="698">
        <f>K188+K189</f>
        <v>13000000</v>
      </c>
      <c r="L190" s="699" t="s">
        <v>265</v>
      </c>
      <c r="M190" s="69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IF(OR(TH!L190=TH!$U$7,M190=TH!$U$7),"x","")</f>
        <v/>
      </c>
      <c r="V190" s="52" t="str">
        <f>IF(AND(B190&gt;='IN-NX'!$P$3,B190&lt;='IN-NX'!$Q$3,'IN-NX'!$D$7=D190,OR(LEFT(L190,2)="15",AND(LEFT(M190,2)&lt;&gt;"15",LEFT(M190,2)&lt;&gt;"33"))),"x","")</f>
        <v/>
      </c>
      <c r="W190" s="52" t="str">
        <f>IF(AND(OR(LEFT(TH!L190,2)="15",LEFT(TH!M190,2)="15"),'152-CT'!$J$8=TH!F190),"x","")</f>
        <v/>
      </c>
      <c r="X190" s="52" t="str">
        <f>IF(AND(OR(LEFT(TH!L190,2)="15",LEFT(TH!M190,2)="15"),TK!$E$7=TH!F190),"x","")</f>
        <v/>
      </c>
      <c r="Y190" s="52" t="str">
        <f>IF(AND(B190&lt;=NKC!$N$8,B190&gt;=NKC!$M$8),"x","")</f>
        <v/>
      </c>
    </row>
    <row r="191" spans="1:28" ht="15.75" customHeight="1">
      <c r="A191" s="201" t="str">
        <f>IF(B191&lt;&gt;"",IF(AND(B191&gt;=_TM1,B191&lt;=_TM2,OR(TH!L191="1111",TH!M191="1111")),TH!D191,""),"")</f>
        <v/>
      </c>
      <c r="B191" s="36">
        <f t="shared" si="9"/>
        <v>2</v>
      </c>
      <c r="C191" s="181">
        <f t="shared" si="10"/>
        <v>41333</v>
      </c>
      <c r="D191" s="181" t="s">
        <v>335</v>
      </c>
      <c r="E191" s="188">
        <v>41333</v>
      </c>
      <c r="F191" s="186" t="s">
        <v>337</v>
      </c>
      <c r="G191" s="597" t="s">
        <v>332</v>
      </c>
      <c r="H191" s="7" t="s">
        <v>472</v>
      </c>
      <c r="I191" s="250"/>
      <c r="J191" s="251"/>
      <c r="K191" s="38">
        <v>10000000</v>
      </c>
      <c r="L191" s="596" t="s">
        <v>24</v>
      </c>
      <c r="M191" s="596" t="s">
        <v>262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52" t="str">
        <f>IF(OR(TH!L191=TH!$U$7,M191=TH!$U$7),"x","")</f>
        <v/>
      </c>
      <c r="V191" s="52" t="str">
        <f>IF(AND(B191&gt;='IN-NX'!$P$3,B191&lt;='IN-NX'!$Q$3,'IN-NX'!$D$7=D191,OR(LEFT(L191,2)="15",AND(LEFT(M191,2)&lt;&gt;"15",LEFT(M191,2)&lt;&gt;"33"))),"x","")</f>
        <v/>
      </c>
      <c r="W191" s="52" t="str">
        <f>IF(AND(OR(LEFT(TH!L191,2)="15",LEFT(TH!M191,2)="15"),'152-CT'!$J$8=TH!F191),"x","")</f>
        <v/>
      </c>
      <c r="X191" s="52" t="str">
        <f>IF(AND(OR(LEFT(TH!L191,2)="15",LEFT(TH!M191,2)="15"),TK!$E$7=TH!F191),"x","")</f>
        <v/>
      </c>
      <c r="Y191" s="52" t="str">
        <f>IF(AND(B191&lt;=NKC!$N$8,B191&gt;=NKC!$M$8),"x","")</f>
        <v/>
      </c>
      <c r="Z191" s="208"/>
      <c r="AA191" s="587"/>
      <c r="AB191" s="587"/>
    </row>
    <row r="192" spans="1:28" ht="15.75" customHeight="1">
      <c r="A192" s="201" t="str">
        <f>IF(B192&lt;&gt;"",IF(AND(B192&gt;=_TM1,B192&lt;=_TM2,OR(TH!L192="1111",TH!M192="1111")),TH!D192,""),"")</f>
        <v/>
      </c>
      <c r="B192" s="36">
        <f t="shared" si="9"/>
        <v>3</v>
      </c>
      <c r="C192" s="181">
        <f t="shared" si="10"/>
        <v>41334</v>
      </c>
      <c r="D192" s="181" t="s">
        <v>336</v>
      </c>
      <c r="E192" s="188">
        <v>41334</v>
      </c>
      <c r="F192" s="186" t="s">
        <v>367</v>
      </c>
      <c r="G192" s="597" t="s">
        <v>332</v>
      </c>
      <c r="H192" s="190" t="s">
        <v>554</v>
      </c>
      <c r="I192" s="250"/>
      <c r="J192" s="251"/>
      <c r="K192" s="38">
        <v>10000000</v>
      </c>
      <c r="L192" s="596" t="s">
        <v>8</v>
      </c>
      <c r="M192" s="596" t="s">
        <v>24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IF(OR(TH!L192=TH!$U$7,M192=TH!$U$7),"x","")</f>
        <v/>
      </c>
      <c r="V192" s="52" t="str">
        <f>IF(AND(B192&gt;='IN-NX'!$P$3,B192&lt;='IN-NX'!$Q$3,'IN-NX'!$D$7=D192,OR(LEFT(L192,2)="15",AND(LEFT(M192,2)&lt;&gt;"15",LEFT(M192,2)&lt;&gt;"33"))),"x","")</f>
        <v/>
      </c>
      <c r="W192" s="52" t="str">
        <f>IF(AND(OR(LEFT(TH!L192,2)="15",LEFT(TH!M192,2)="15"),'152-CT'!$J$8=TH!F192),"x","")</f>
        <v/>
      </c>
      <c r="X192" s="52" t="str">
        <f>IF(AND(OR(LEFT(TH!L192,2)="15",LEFT(TH!M192,2)="15"),TK!$E$7=TH!F192),"x","")</f>
        <v/>
      </c>
      <c r="Y192" s="52" t="str">
        <f>IF(AND(B192&lt;=NKC!$N$8,B192&gt;=NKC!$M$8),"x","")</f>
        <v/>
      </c>
      <c r="Z192" s="208"/>
      <c r="AA192" s="587"/>
      <c r="AB192" s="587"/>
    </row>
    <row r="193" spans="1:28" ht="15.75" customHeight="1">
      <c r="A193" s="201" t="str">
        <f>IF(B193&lt;&gt;"",IF(AND(B193&gt;=_TM1,B193&lt;=_TM2,OR(TH!L193="1111",TH!M193="1111")),TH!D193,""),"")</f>
        <v/>
      </c>
      <c r="B193" s="36">
        <f t="shared" si="9"/>
        <v>3</v>
      </c>
      <c r="C193" s="181">
        <f t="shared" si="10"/>
        <v>41337</v>
      </c>
      <c r="D193" s="181" t="s">
        <v>1268</v>
      </c>
      <c r="E193" s="181">
        <v>41337</v>
      </c>
      <c r="F193" s="186" t="s">
        <v>363</v>
      </c>
      <c r="G193" s="597" t="s">
        <v>332</v>
      </c>
      <c r="H193" s="7" t="s">
        <v>464</v>
      </c>
      <c r="I193" s="249"/>
      <c r="J193" s="249"/>
      <c r="K193" s="38">
        <v>8500000</v>
      </c>
      <c r="L193" s="596" t="s">
        <v>24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52" t="str">
        <f>IF(OR(TH!L193=TH!$U$7,M193=TH!$U$7),"x","")</f>
        <v/>
      </c>
      <c r="V193" s="52" t="str">
        <f>IF(AND(B193&gt;='IN-NX'!$P$3,B193&lt;='IN-NX'!$Q$3,'IN-NX'!$D$7=D193,OR(LEFT(L193,2)="15",AND(LEFT(M193,2)&lt;&gt;"15",LEFT(M193,2)&lt;&gt;"33"))),"x","")</f>
        <v/>
      </c>
      <c r="W193" s="52" t="str">
        <f>IF(AND(OR(LEFT(TH!L193,2)="15",LEFT(TH!M193,2)="15"),'152-CT'!$J$8=TH!F193),"x","")</f>
        <v/>
      </c>
      <c r="X193" s="52" t="str">
        <f>IF(AND(OR(LEFT(TH!L193,2)="15",LEFT(TH!M193,2)="15"),TK!$E$7=TH!F193),"x","")</f>
        <v/>
      </c>
      <c r="Y193" s="52" t="str">
        <f>IF(AND(B193&lt;=NKC!$N$8,B193&gt;=NKC!$M$8),"x","")</f>
        <v/>
      </c>
      <c r="Z193" s="587"/>
      <c r="AA193" s="587"/>
      <c r="AB193" s="587"/>
    </row>
    <row r="194" spans="1:28" ht="15.75" customHeight="1">
      <c r="A194" s="201" t="str">
        <f>IF(B194&lt;&gt;"",IF(AND(B194&gt;=_TM1,B194&lt;=_TM2,OR(TH!L194="1111",TH!M194="1111")),TH!D194,""),"")</f>
        <v/>
      </c>
      <c r="B194" s="36">
        <f t="shared" si="9"/>
        <v>3</v>
      </c>
      <c r="C194" s="181">
        <f t="shared" si="10"/>
        <v>41337</v>
      </c>
      <c r="D194" s="181" t="s">
        <v>336</v>
      </c>
      <c r="E194" s="188">
        <v>41337</v>
      </c>
      <c r="F194" s="186" t="s">
        <v>367</v>
      </c>
      <c r="G194" s="597" t="s">
        <v>332</v>
      </c>
      <c r="H194" s="190" t="s">
        <v>1080</v>
      </c>
      <c r="I194" s="250"/>
      <c r="J194" s="251"/>
      <c r="K194" s="38">
        <v>8500000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IF(OR(TH!L194=TH!$U$7,M194=TH!$U$7),"x","")</f>
        <v/>
      </c>
      <c r="V194" s="52" t="str">
        <f>IF(AND(B194&gt;='IN-NX'!$P$3,B194&lt;='IN-NX'!$Q$3,'IN-NX'!$D$7=D194,OR(LEFT(L194,2)="15",AND(LEFT(M194,2)&lt;&gt;"15",LEFT(M194,2)&lt;&gt;"33"))),"x","")</f>
        <v/>
      </c>
      <c r="W194" s="52" t="str">
        <f>IF(AND(OR(LEFT(TH!L194,2)="15",LEFT(TH!M194,2)="15"),'152-CT'!$J$8=TH!F194),"x","")</f>
        <v/>
      </c>
      <c r="X194" s="52" t="str">
        <f>IF(AND(OR(LEFT(TH!L194,2)="15",LEFT(TH!M194,2)="15"),TK!$E$7=TH!F194),"x","")</f>
        <v/>
      </c>
      <c r="Y194" s="52" t="str">
        <f>IF(AND(B194&lt;=NKC!$N$8,B194&gt;=NKC!$M$8),"x","")</f>
        <v/>
      </c>
      <c r="Z194" s="587"/>
    </row>
    <row r="195" spans="1:28" ht="15.75" customHeight="1">
      <c r="A195" s="201" t="str">
        <f>IF(B195&lt;&gt;"",IF(AND(B195&gt;=_TM1,B195&lt;=_TM2,OR(TH!L195="1111",TH!M195="1111")),TH!D195,""),"")</f>
        <v/>
      </c>
      <c r="B195" s="36">
        <f t="shared" si="9"/>
        <v>3</v>
      </c>
      <c r="C195" s="181">
        <f t="shared" si="10"/>
        <v>41337</v>
      </c>
      <c r="D195" s="181" t="s">
        <v>336</v>
      </c>
      <c r="E195" s="188">
        <v>41337</v>
      </c>
      <c r="F195" s="186" t="s">
        <v>338</v>
      </c>
      <c r="G195" s="597" t="s">
        <v>332</v>
      </c>
      <c r="H195" s="7"/>
      <c r="I195" s="250"/>
      <c r="J195" s="251"/>
      <c r="K195" s="38">
        <v>20000</v>
      </c>
      <c r="L195" s="596" t="s">
        <v>83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IF(OR(TH!L195=TH!$U$7,M195=TH!$U$7),"x","")</f>
        <v>x</v>
      </c>
      <c r="V195" s="52" t="str">
        <f>IF(AND(B195&gt;='IN-NX'!$P$3,B195&lt;='IN-NX'!$Q$3,'IN-NX'!$D$7=D195,OR(LEFT(L195,2)="15",AND(LEFT(M195,2)&lt;&gt;"15",LEFT(M195,2)&lt;&gt;"33"))),"x","")</f>
        <v/>
      </c>
      <c r="W195" s="52" t="str">
        <f>IF(AND(OR(LEFT(TH!L195,2)="15",LEFT(TH!M195,2)="15"),'152-CT'!$J$8=TH!F195),"x","")</f>
        <v/>
      </c>
      <c r="X195" s="52" t="str">
        <f>IF(AND(OR(LEFT(TH!L195,2)="15",LEFT(TH!M195,2)="15"),TK!$E$7=TH!F195),"x","")</f>
        <v/>
      </c>
      <c r="Y195" s="52" t="str">
        <f>IF(AND(B195&lt;=NKC!$N$8,B195&gt;=NKC!$M$8),"x","")</f>
        <v/>
      </c>
      <c r="Z195" s="587"/>
    </row>
    <row r="196" spans="1:28" ht="15.75" customHeight="1">
      <c r="A196" s="201" t="str">
        <f>IF(B196&lt;&gt;"",IF(AND(B196&gt;=_TM1,B196&lt;=_TM2,OR(TH!L196="1111",TH!M196="1111")),TH!D196,""),"")</f>
        <v/>
      </c>
      <c r="B196" s="36">
        <f t="shared" si="9"/>
        <v>3</v>
      </c>
      <c r="C196" s="181">
        <f t="shared" si="10"/>
        <v>41337</v>
      </c>
      <c r="D196" s="181" t="s">
        <v>336</v>
      </c>
      <c r="E196" s="188">
        <v>41337</v>
      </c>
      <c r="F196" s="186" t="s">
        <v>465</v>
      </c>
      <c r="G196" s="597" t="s">
        <v>332</v>
      </c>
      <c r="H196" s="7"/>
      <c r="I196" s="250"/>
      <c r="J196" s="251"/>
      <c r="K196" s="38">
        <v>10000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IF(OR(TH!L196=TH!$U$7,M196=TH!$U$7),"x","")</f>
        <v>x</v>
      </c>
      <c r="V196" s="52" t="str">
        <f>IF(AND(B196&gt;='IN-NX'!$P$3,B196&lt;='IN-NX'!$Q$3,'IN-NX'!$D$7=D196,OR(LEFT(L196,2)="15",AND(LEFT(M196,2)&lt;&gt;"15",LEFT(M196,2)&lt;&gt;"33"))),"x","")</f>
        <v/>
      </c>
      <c r="W196" s="52" t="str">
        <f>IF(AND(OR(LEFT(TH!L196,2)="15",LEFT(TH!M196,2)="15"),'152-CT'!$J$8=TH!F196),"x","")</f>
        <v/>
      </c>
      <c r="X196" s="52" t="str">
        <f>IF(AND(OR(LEFT(TH!L196,2)="15",LEFT(TH!M196,2)="15"),TK!$E$7=TH!F196),"x","")</f>
        <v/>
      </c>
      <c r="Y196" s="52" t="str">
        <f>IF(AND(B196&lt;=NKC!$N$8,B196&gt;=NKC!$M$8),"x","")</f>
        <v/>
      </c>
      <c r="Z196" s="208"/>
      <c r="AA196" s="587"/>
      <c r="AB196" s="587"/>
    </row>
    <row r="197" spans="1:28" ht="15.75" customHeight="1">
      <c r="A197" s="201" t="str">
        <f>IF(B197&lt;&gt;"",IF(AND(B197&gt;=_TM1,B197&lt;=_TM2,OR(TH!L197="1111",TH!M197="1111")),TH!D197,""),"")</f>
        <v/>
      </c>
      <c r="B197" s="36">
        <f t="shared" si="9"/>
        <v>3</v>
      </c>
      <c r="C197" s="188">
        <f t="shared" si="10"/>
        <v>41337</v>
      </c>
      <c r="D197" s="181" t="s">
        <v>1030</v>
      </c>
      <c r="E197" s="188">
        <v>41337</v>
      </c>
      <c r="F197" s="189" t="s">
        <v>735</v>
      </c>
      <c r="G197" s="189" t="s">
        <v>736</v>
      </c>
      <c r="H197" s="207" t="s">
        <v>710</v>
      </c>
      <c r="I197" s="249">
        <v>620</v>
      </c>
      <c r="J197" s="249">
        <v>11000</v>
      </c>
      <c r="K197" s="38">
        <f>ROUND(I197*J197,0)</f>
        <v>6820000</v>
      </c>
      <c r="L197" s="191" t="s">
        <v>262</v>
      </c>
      <c r="M197" s="191" t="s">
        <v>172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IF(OR(TH!L197=TH!$U$7,M197=TH!$U$7),"x","")</f>
        <v/>
      </c>
      <c r="V197" s="52" t="str">
        <f>IF(AND(B197&gt;='IN-NX'!$P$3,B197&lt;='IN-NX'!$Q$3,'IN-NX'!$D$7=D197,OR(LEFT(L197,2)="15",AND(LEFT(M197,2)&lt;&gt;"15",LEFT(M197,2)&lt;&gt;"33"))),"x","")</f>
        <v/>
      </c>
      <c r="W197" s="52" t="str">
        <f>IF(AND(OR(LEFT(TH!L197,2)="15",LEFT(TH!M197,2)="15"),'152-CT'!$J$8=TH!F197),"x","")</f>
        <v/>
      </c>
      <c r="X197" s="52" t="str">
        <f>IF(AND(OR(LEFT(TH!L197,2)="15",LEFT(TH!M197,2)="15"),TK!$E$7=TH!F197),"x","")</f>
        <v/>
      </c>
      <c r="Y197" s="52" t="str">
        <f>IF(AND(B197&lt;=NKC!$N$8,B197&gt;=NKC!$M$8),"x","")</f>
        <v/>
      </c>
      <c r="Z197" s="208"/>
      <c r="AA197" s="587"/>
    </row>
    <row r="198" spans="1:28" ht="15.75" customHeight="1">
      <c r="A198" s="201" t="str">
        <f>IF(B198&lt;&gt;"",IF(AND(B198&gt;=_TM1,B198&lt;=_TM2,OR(TH!L198="1111",TH!M198="1111")),TH!D198,""),"")</f>
        <v/>
      </c>
      <c r="B198" s="36">
        <f t="shared" si="9"/>
        <v>3</v>
      </c>
      <c r="C198" s="188">
        <f t="shared" si="10"/>
        <v>41337</v>
      </c>
      <c r="D198" s="181" t="s">
        <v>1030</v>
      </c>
      <c r="E198" s="188">
        <v>41337</v>
      </c>
      <c r="F198" s="189" t="s">
        <v>693</v>
      </c>
      <c r="G198" s="189" t="s">
        <v>736</v>
      </c>
      <c r="H198" s="190" t="s">
        <v>710</v>
      </c>
      <c r="I198" s="249"/>
      <c r="J198" s="249"/>
      <c r="K198" s="38">
        <v>682000</v>
      </c>
      <c r="L198" s="191" t="s">
        <v>262</v>
      </c>
      <c r="M198" s="191" t="s">
        <v>425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IF(OR(TH!L198=TH!$U$7,M198=TH!$U$7),"x","")</f>
        <v/>
      </c>
      <c r="V198" s="52" t="str">
        <f>IF(AND(B198&gt;='IN-NX'!$P$3,B198&lt;='IN-NX'!$Q$3,'IN-NX'!$D$7=D198,OR(LEFT(L198,2)="15",AND(LEFT(M198,2)&lt;&gt;"15",LEFT(M198,2)&lt;&gt;"33"))),"x","")</f>
        <v/>
      </c>
      <c r="W198" s="52" t="str">
        <f>IF(AND(OR(LEFT(TH!L198,2)="15",LEFT(TH!M198,2)="15"),'152-CT'!$J$8=TH!F198),"x","")</f>
        <v/>
      </c>
      <c r="X198" s="52" t="str">
        <f>IF(AND(OR(LEFT(TH!L198,2)="15",LEFT(TH!M198,2)="15"),TK!$E$7=TH!F198),"x","")</f>
        <v/>
      </c>
      <c r="Y198" s="52" t="str">
        <f>IF(AND(B198&lt;=NKC!$N$8,B198&gt;=NKC!$M$8),"x","")</f>
        <v/>
      </c>
      <c r="Z198" s="208"/>
      <c r="AA198" s="587" t="str">
        <f>IF(VLOOKUP(H198,DS_131,1,0)&lt;&gt;"","","x")</f>
        <v/>
      </c>
    </row>
    <row r="199" spans="1:28" ht="15.75" customHeight="1">
      <c r="A199" s="201" t="str">
        <f>IF(B199&lt;&gt;"",IF(AND(B199&gt;=_TM1,B199&lt;=_TM2,OR(TH!L199="1111",TH!M199="1111")),TH!D199,""),"")</f>
        <v/>
      </c>
      <c r="B199" s="36">
        <f t="shared" si="9"/>
        <v>3</v>
      </c>
      <c r="C199" s="188">
        <f t="shared" si="10"/>
        <v>41337</v>
      </c>
      <c r="D199" s="181" t="s">
        <v>1031</v>
      </c>
      <c r="E199" s="188">
        <v>41337</v>
      </c>
      <c r="F199" s="189" t="s">
        <v>716</v>
      </c>
      <c r="G199" s="189" t="s">
        <v>737</v>
      </c>
      <c r="H199" s="207" t="s">
        <v>468</v>
      </c>
      <c r="I199" s="250">
        <v>1963</v>
      </c>
      <c r="J199" s="250">
        <v>5400</v>
      </c>
      <c r="K199" s="38">
        <f>ROUND(I199*J199,0)</f>
        <v>10600200</v>
      </c>
      <c r="L199" s="191" t="s">
        <v>262</v>
      </c>
      <c r="M199" s="191" t="s">
        <v>172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IF(OR(TH!L199=TH!$U$7,M199=TH!$U$7),"x","")</f>
        <v/>
      </c>
      <c r="V199" s="52" t="str">
        <f>IF(AND(B199&gt;='IN-NX'!$P$3,B199&lt;='IN-NX'!$Q$3,'IN-NX'!$D$7=D199,OR(LEFT(L199,2)="15",AND(LEFT(M199,2)&lt;&gt;"15",LEFT(M199,2)&lt;&gt;"33"))),"x","")</f>
        <v/>
      </c>
      <c r="W199" s="52" t="str">
        <f>IF(AND(OR(LEFT(TH!L199,2)="15",LEFT(TH!M199,2)="15"),'152-CT'!$J$8=TH!F199),"x","")</f>
        <v/>
      </c>
      <c r="X199" s="52" t="str">
        <f>IF(AND(OR(LEFT(TH!L199,2)="15",LEFT(TH!M199,2)="15"),TK!$E$7=TH!F199),"x","")</f>
        <v/>
      </c>
      <c r="Y199" s="52" t="str">
        <f>IF(AND(B199&lt;=NKC!$N$8,B199&gt;=NKC!$M$8),"x","")</f>
        <v/>
      </c>
      <c r="Z199" s="208"/>
      <c r="AA199" s="587"/>
    </row>
    <row r="200" spans="1:28" ht="15.75" customHeight="1">
      <c r="A200" s="201" t="str">
        <f>IF(B200&lt;&gt;"",IF(AND(B200&gt;=_TM1,B200&lt;=_TM2,OR(TH!L200="1111",TH!M200="1111")),TH!D200,""),"")</f>
        <v/>
      </c>
      <c r="B200" s="36">
        <f t="shared" si="9"/>
        <v>3</v>
      </c>
      <c r="C200" s="188">
        <f t="shared" si="10"/>
        <v>41337</v>
      </c>
      <c r="D200" s="181" t="s">
        <v>1031</v>
      </c>
      <c r="E200" s="188">
        <v>41337</v>
      </c>
      <c r="F200" s="189" t="s">
        <v>692</v>
      </c>
      <c r="G200" s="189" t="s">
        <v>737</v>
      </c>
      <c r="H200" s="190" t="s">
        <v>468</v>
      </c>
      <c r="I200" s="249">
        <v>559</v>
      </c>
      <c r="J200" s="249">
        <v>4800</v>
      </c>
      <c r="K200" s="38">
        <f>ROUND(I200*J200,0)</f>
        <v>2683200</v>
      </c>
      <c r="L200" s="191" t="s">
        <v>262</v>
      </c>
      <c r="M200" s="191" t="s">
        <v>172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IF(OR(TH!L200=TH!$U$7,M200=TH!$U$7),"x","")</f>
        <v/>
      </c>
      <c r="V200" s="52" t="str">
        <f>IF(AND(B200&gt;='IN-NX'!$P$3,B200&lt;='IN-NX'!$Q$3,'IN-NX'!$D$7=D200,OR(LEFT(L200,2)="15",AND(LEFT(M200,2)&lt;&gt;"15",LEFT(M200,2)&lt;&gt;"33"))),"x","")</f>
        <v/>
      </c>
      <c r="W200" s="52" t="str">
        <f>IF(AND(OR(LEFT(TH!L200,2)="15",LEFT(TH!M200,2)="15"),'152-CT'!$J$8=TH!F200),"x","")</f>
        <v/>
      </c>
      <c r="X200" s="52" t="str">
        <f>IF(AND(OR(LEFT(TH!L200,2)="15",LEFT(TH!M200,2)="15"),TK!$E$7=TH!F200),"x","")</f>
        <v/>
      </c>
      <c r="Y200" s="52" t="str">
        <f>IF(AND(B200&lt;=NKC!$N$8,B200&gt;=NKC!$M$8),"x","")</f>
        <v/>
      </c>
      <c r="Z200" s="208"/>
      <c r="AA200" s="587"/>
    </row>
    <row r="201" spans="1:28" ht="15.75" customHeight="1">
      <c r="A201" s="201" t="str">
        <f>IF(B201&lt;&gt;"",IF(AND(B201&gt;=_TM1,B201&lt;=_TM2,OR(TH!L201="1111",TH!M201="1111")),TH!D201,""),"")</f>
        <v/>
      </c>
      <c r="B201" s="36">
        <f t="shared" si="9"/>
        <v>3</v>
      </c>
      <c r="C201" s="188">
        <f t="shared" si="10"/>
        <v>41337</v>
      </c>
      <c r="D201" s="181" t="s">
        <v>1031</v>
      </c>
      <c r="E201" s="188">
        <v>41337</v>
      </c>
      <c r="F201" s="189" t="s">
        <v>738</v>
      </c>
      <c r="G201" s="189" t="s">
        <v>737</v>
      </c>
      <c r="H201" s="190" t="s">
        <v>468</v>
      </c>
      <c r="I201" s="249">
        <v>617</v>
      </c>
      <c r="J201" s="249">
        <v>10300</v>
      </c>
      <c r="K201" s="38">
        <f>ROUND(I201*J201,0)</f>
        <v>6355100</v>
      </c>
      <c r="L201" s="191" t="s">
        <v>262</v>
      </c>
      <c r="M201" s="191" t="s">
        <v>172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IF(OR(TH!L201=TH!$U$7,M201=TH!$U$7),"x","")</f>
        <v/>
      </c>
      <c r="V201" s="52" t="str">
        <f>IF(AND(B201&gt;='IN-NX'!$P$3,B201&lt;='IN-NX'!$Q$3,'IN-NX'!$D$7=D201,OR(LEFT(L201,2)="15",AND(LEFT(M201,2)&lt;&gt;"15",LEFT(M201,2)&lt;&gt;"33"))),"x","")</f>
        <v/>
      </c>
      <c r="W201" s="52" t="str">
        <f>IF(AND(OR(LEFT(TH!L201,2)="15",LEFT(TH!M201,2)="15"),'152-CT'!$J$8=TH!F201),"x","")</f>
        <v/>
      </c>
      <c r="X201" s="52" t="str">
        <f>IF(AND(OR(LEFT(TH!L201,2)="15",LEFT(TH!M201,2)="15"),TK!$E$7=TH!F201),"x","")</f>
        <v/>
      </c>
      <c r="Y201" s="52" t="str">
        <f>IF(AND(B201&lt;=NKC!$N$8,B201&gt;=NKC!$M$8),"x","")</f>
        <v/>
      </c>
      <c r="Z201" s="208"/>
      <c r="AA201" s="587"/>
    </row>
    <row r="202" spans="1:28" ht="15.75" customHeight="1">
      <c r="A202" s="201" t="str">
        <f>IF(B202&lt;&gt;"",IF(AND(B202&gt;=_TM1,B202&lt;=_TM2,OR(TH!L202="1111",TH!M202="1111")),TH!D202,""),"")</f>
        <v/>
      </c>
      <c r="B202" s="36">
        <f t="shared" si="9"/>
        <v>3</v>
      </c>
      <c r="C202" s="188">
        <f t="shared" si="10"/>
        <v>41337</v>
      </c>
      <c r="D202" s="181" t="s">
        <v>1031</v>
      </c>
      <c r="E202" s="188">
        <v>41337</v>
      </c>
      <c r="F202" s="189" t="s">
        <v>693</v>
      </c>
      <c r="G202" s="189" t="s">
        <v>737</v>
      </c>
      <c r="H202" s="190" t="s">
        <v>468</v>
      </c>
      <c r="I202" s="249"/>
      <c r="J202" s="249"/>
      <c r="K202" s="38">
        <v>1963850</v>
      </c>
      <c r="L202" s="191" t="s">
        <v>262</v>
      </c>
      <c r="M202" s="191" t="s">
        <v>425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IF(OR(TH!L202=TH!$U$7,M202=TH!$U$7),"x","")</f>
        <v/>
      </c>
      <c r="V202" s="52" t="str">
        <f>IF(AND(B202&gt;='IN-NX'!$P$3,B202&lt;='IN-NX'!$Q$3,'IN-NX'!$D$7=D202,OR(LEFT(L202,2)="15",AND(LEFT(M202,2)&lt;&gt;"15",LEFT(M202,2)&lt;&gt;"33"))),"x","")</f>
        <v/>
      </c>
      <c r="W202" s="52" t="str">
        <f>IF(AND(OR(LEFT(TH!L202,2)="15",LEFT(TH!M202,2)="15"),'152-CT'!$J$8=TH!F202),"x","")</f>
        <v/>
      </c>
      <c r="X202" s="52" t="str">
        <f>IF(AND(OR(LEFT(TH!L202,2)="15",LEFT(TH!M202,2)="15"),TK!$E$7=TH!F202),"x","")</f>
        <v/>
      </c>
      <c r="Y202" s="52" t="str">
        <f>IF(AND(B202&lt;=NKC!$N$8,B202&gt;=NKC!$M$8),"x","")</f>
        <v/>
      </c>
      <c r="Z202" s="208"/>
      <c r="AA202" s="587" t="str">
        <f>IF(VLOOKUP(H202,DS_131,1,0)&lt;&gt;"","","x")</f>
        <v/>
      </c>
    </row>
    <row r="203" spans="1:28" ht="15.75" customHeight="1">
      <c r="A203" s="201" t="str">
        <f>IF(B203&lt;&gt;"",IF(AND(B203&gt;=_TM1,B203&lt;=_TM2,OR(TH!L203="1111",TH!M203="1111")),TH!D203,""),"")</f>
        <v/>
      </c>
      <c r="B203" s="36">
        <f t="shared" si="9"/>
        <v>3</v>
      </c>
      <c r="C203" s="181">
        <f t="shared" si="10"/>
        <v>41341</v>
      </c>
      <c r="D203" s="181" t="s">
        <v>335</v>
      </c>
      <c r="E203" s="181">
        <v>41341</v>
      </c>
      <c r="F203" s="186" t="s">
        <v>337</v>
      </c>
      <c r="G203" s="597" t="s">
        <v>332</v>
      </c>
      <c r="H203" s="7" t="s">
        <v>472</v>
      </c>
      <c r="I203" s="249"/>
      <c r="J203" s="249"/>
      <c r="K203" s="658">
        <v>6903282</v>
      </c>
      <c r="L203" s="596" t="s">
        <v>24</v>
      </c>
      <c r="M203" s="596" t="s">
        <v>262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IF(OR(TH!L203=TH!$U$7,M203=TH!$U$7),"x","")</f>
        <v/>
      </c>
      <c r="V203" s="52" t="str">
        <f>IF(AND(B203&gt;='IN-NX'!$P$3,B203&lt;='IN-NX'!$Q$3,'IN-NX'!$D$7=D203,OR(LEFT(L203,2)="15",AND(LEFT(M203,2)&lt;&gt;"15",LEFT(M203,2)&lt;&gt;"33"))),"x","")</f>
        <v/>
      </c>
      <c r="W203" s="52" t="str">
        <f>IF(AND(OR(LEFT(TH!L203,2)="15",LEFT(TH!M203,2)="15"),'152-CT'!$J$8=TH!F203),"x","")</f>
        <v/>
      </c>
      <c r="X203" s="52" t="str">
        <f>IF(AND(OR(LEFT(TH!L203,2)="15",LEFT(TH!M203,2)="15"),TK!$E$7=TH!F203),"x","")</f>
        <v/>
      </c>
      <c r="Y203" s="52" t="str">
        <f>IF(AND(B203&lt;=NKC!$N$8,B203&gt;=NKC!$M$8),"x","")</f>
        <v/>
      </c>
      <c r="Z203" s="587"/>
      <c r="AA203" s="587"/>
      <c r="AB203" s="587"/>
    </row>
    <row r="204" spans="1:28" ht="15.75" customHeight="1">
      <c r="A204" s="201" t="str">
        <f>IF(B204&lt;&gt;"",IF(AND(B204&gt;=_TM1,B204&lt;=_TM2,OR(TH!L204="1111",TH!M204="1111")),TH!D204,""),"")</f>
        <v/>
      </c>
      <c r="B204" s="36">
        <f t="shared" si="9"/>
        <v>3</v>
      </c>
      <c r="C204" s="181">
        <f t="shared" si="10"/>
        <v>41342</v>
      </c>
      <c r="D204" s="181" t="s">
        <v>448</v>
      </c>
      <c r="E204" s="188">
        <v>41342</v>
      </c>
      <c r="F204" s="186" t="s">
        <v>469</v>
      </c>
      <c r="G204" s="597" t="s">
        <v>332</v>
      </c>
      <c r="H204" s="7" t="s">
        <v>334</v>
      </c>
      <c r="I204" s="250"/>
      <c r="J204" s="251"/>
      <c r="K204" s="38">
        <v>7000000</v>
      </c>
      <c r="L204" s="596" t="s">
        <v>47</v>
      </c>
      <c r="M204" s="5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52" t="str">
        <f>IF(OR(TH!L204=TH!$U$7,M204=TH!$U$7),"x","")</f>
        <v/>
      </c>
      <c r="V204" s="52" t="str">
        <f>IF(AND(B204&gt;='IN-NX'!$P$3,B204&lt;='IN-NX'!$Q$3,'IN-NX'!$D$7=D204,OR(LEFT(L204,2)="15",AND(LEFT(M204,2)&lt;&gt;"15",LEFT(M204,2)&lt;&gt;"33"))),"x","")</f>
        <v/>
      </c>
      <c r="W204" s="52" t="str">
        <f>IF(AND(OR(LEFT(TH!L204,2)="15",LEFT(TH!M204,2)="15"),'152-CT'!$J$8=TH!F204),"x","")</f>
        <v/>
      </c>
      <c r="X204" s="52" t="str">
        <f>IF(AND(OR(LEFT(TH!L204,2)="15",LEFT(TH!M204,2)="15"),TK!$E$7=TH!F204),"x","")</f>
        <v/>
      </c>
      <c r="Y204" s="52" t="str">
        <f>IF(AND(B204&lt;=NKC!$N$8,B204&gt;=NKC!$M$8),"x","")</f>
        <v/>
      </c>
      <c r="Z204" s="587"/>
      <c r="AA204" s="587"/>
      <c r="AB204" s="587"/>
    </row>
    <row r="205" spans="1:28" ht="15.75" customHeight="1">
      <c r="A205" s="201" t="str">
        <f>IF(B205&lt;&gt;"",IF(AND(B205&gt;=_TM1,B205&lt;=_TM2,OR(TH!L205="1111",TH!M205="1111")),TH!D205,""),"")</f>
        <v/>
      </c>
      <c r="B205" s="36">
        <f t="shared" si="9"/>
        <v>3</v>
      </c>
      <c r="C205" s="188">
        <f t="shared" si="10"/>
        <v>41345</v>
      </c>
      <c r="D205" s="181" t="s">
        <v>1032</v>
      </c>
      <c r="E205" s="188">
        <v>41345</v>
      </c>
      <c r="F205" s="189" t="s">
        <v>1093</v>
      </c>
      <c r="G205" s="189" t="s">
        <v>739</v>
      </c>
      <c r="H205" s="190" t="s">
        <v>740</v>
      </c>
      <c r="I205" s="249">
        <v>310</v>
      </c>
      <c r="J205" s="249">
        <v>12300</v>
      </c>
      <c r="K205" s="38">
        <f>ROUND(I205*J205,0)</f>
        <v>3813000</v>
      </c>
      <c r="L205" s="191" t="s">
        <v>262</v>
      </c>
      <c r="M205" s="191" t="s">
        <v>172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IF(OR(TH!L205=TH!$U$7,M205=TH!$U$7),"x","")</f>
        <v/>
      </c>
      <c r="V205" s="52" t="str">
        <f>IF(AND(B205&gt;='IN-NX'!$P$3,B205&lt;='IN-NX'!$Q$3,'IN-NX'!$D$7=D205,OR(LEFT(L205,2)="15",AND(LEFT(M205,2)&lt;&gt;"15",LEFT(M205,2)&lt;&gt;"33"))),"x","")</f>
        <v/>
      </c>
      <c r="W205" s="52" t="str">
        <f>IF(AND(OR(LEFT(TH!L205,2)="15",LEFT(TH!M205,2)="15"),'152-CT'!$J$8=TH!F205),"x","")</f>
        <v/>
      </c>
      <c r="X205" s="52" t="str">
        <f>IF(AND(OR(LEFT(TH!L205,2)="15",LEFT(TH!M205,2)="15"),TK!$E$7=TH!F205),"x","")</f>
        <v/>
      </c>
      <c r="Y205" s="52" t="str">
        <f>IF(AND(B205&lt;=NKC!$N$8,B205&gt;=NKC!$M$8),"x","")</f>
        <v/>
      </c>
      <c r="Z205" s="208"/>
      <c r="AA205" s="587"/>
    </row>
    <row r="206" spans="1:28" ht="15.75" customHeight="1">
      <c r="A206" s="201" t="str">
        <f>IF(B206&lt;&gt;"",IF(AND(B206&gt;=_TM1,B206&lt;=_TM2,OR(TH!L206="1111",TH!M206="1111")),TH!D206,""),"")</f>
        <v/>
      </c>
      <c r="B206" s="36">
        <f t="shared" si="9"/>
        <v>3</v>
      </c>
      <c r="C206" s="188">
        <f t="shared" si="10"/>
        <v>41345</v>
      </c>
      <c r="D206" s="181" t="s">
        <v>1032</v>
      </c>
      <c r="E206" s="188">
        <v>41345</v>
      </c>
      <c r="F206" s="189" t="s">
        <v>693</v>
      </c>
      <c r="G206" s="189" t="s">
        <v>739</v>
      </c>
      <c r="H206" s="190" t="s">
        <v>740</v>
      </c>
      <c r="I206" s="249"/>
      <c r="J206" s="249"/>
      <c r="K206" s="38">
        <v>381300</v>
      </c>
      <c r="L206" s="191" t="s">
        <v>262</v>
      </c>
      <c r="M206" s="191" t="s">
        <v>425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IF(OR(TH!L206=TH!$U$7,M206=TH!$U$7),"x","")</f>
        <v/>
      </c>
      <c r="V206" s="52" t="str">
        <f>IF(AND(B206&gt;='IN-NX'!$P$3,B206&lt;='IN-NX'!$Q$3,'IN-NX'!$D$7=D206,OR(LEFT(L206,2)="15",AND(LEFT(M206,2)&lt;&gt;"15",LEFT(M206,2)&lt;&gt;"33"))),"x","")</f>
        <v/>
      </c>
      <c r="W206" s="52" t="str">
        <f>IF(AND(OR(LEFT(TH!L206,2)="15",LEFT(TH!M206,2)="15"),'152-CT'!$J$8=TH!F206),"x","")</f>
        <v/>
      </c>
      <c r="X206" s="52" t="str">
        <f>IF(AND(OR(LEFT(TH!L206,2)="15",LEFT(TH!M206,2)="15"),TK!$E$7=TH!F206),"x","")</f>
        <v/>
      </c>
      <c r="Y206" s="52" t="str">
        <f>IF(AND(B206&lt;=NKC!$N$8,B206&gt;=NKC!$M$8),"x","")</f>
        <v/>
      </c>
      <c r="Z206" s="208"/>
      <c r="AA206" s="587" t="str">
        <f>IF(VLOOKUP(H206,DS_131,1,0)&lt;&gt;"","","x")</f>
        <v/>
      </c>
    </row>
    <row r="207" spans="1:28" ht="15.75" customHeight="1">
      <c r="A207" s="201" t="str">
        <f>IF(B207&lt;&gt;"",IF(AND(B207&gt;=_TM1,B207&lt;=_TM2,OR(TH!L207="1111",TH!M207="1111")),TH!D207,""),"")</f>
        <v/>
      </c>
      <c r="B207" s="36">
        <f t="shared" ref="B207:B266" si="11">IF(C207&lt;&gt;"",MONTH(C207),"")</f>
        <v>3</v>
      </c>
      <c r="C207" s="188">
        <f t="shared" si="10"/>
        <v>41345</v>
      </c>
      <c r="D207" s="181" t="s">
        <v>543</v>
      </c>
      <c r="E207" s="188">
        <v>41345</v>
      </c>
      <c r="F207" s="186" t="s">
        <v>337</v>
      </c>
      <c r="G207" s="189" t="s">
        <v>739</v>
      </c>
      <c r="H207" s="190" t="s">
        <v>740</v>
      </c>
      <c r="I207" s="249"/>
      <c r="J207" s="249"/>
      <c r="K207" s="38">
        <v>4194300</v>
      </c>
      <c r="L207" s="191" t="s">
        <v>47</v>
      </c>
      <c r="M207" s="191" t="s">
        <v>262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>x</v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IF(OR(TH!L207=TH!$U$7,M207=TH!$U$7),"x","")</f>
        <v/>
      </c>
      <c r="V207" s="52" t="str">
        <f>IF(AND(B207&gt;='IN-NX'!$P$3,B207&lt;='IN-NX'!$Q$3,'IN-NX'!$D$7=D207,OR(LEFT(L207,2)="15",AND(LEFT(M207,2)&lt;&gt;"15",LEFT(M207,2)&lt;&gt;"33"))),"x","")</f>
        <v/>
      </c>
      <c r="W207" s="52" t="str">
        <f>IF(AND(OR(LEFT(TH!L207,2)="15",LEFT(TH!M207,2)="15"),'152-CT'!$J$8=TH!F207),"x","")</f>
        <v/>
      </c>
      <c r="X207" s="52" t="str">
        <f>IF(AND(OR(LEFT(TH!L207,2)="15",LEFT(TH!M207,2)="15"),TK!$E$7=TH!F207),"x","")</f>
        <v/>
      </c>
      <c r="Y207" s="52" t="str">
        <f>IF(AND(B207&lt;=NKC!$N$8,B207&gt;=NKC!$M$8),"x","")</f>
        <v/>
      </c>
      <c r="Z207" s="208"/>
      <c r="AA207" s="587" t="str">
        <f>IF(VLOOKUP(H207,DS_131,1,0)&lt;&gt;"","","x")</f>
        <v/>
      </c>
    </row>
    <row r="208" spans="1:28" ht="15.75" customHeight="1">
      <c r="A208" s="201" t="str">
        <f>IF(B208&lt;&gt;"",IF(AND(B208&gt;=_TM1,B208&lt;=_TM2,OR(TH!L208="1111",TH!M208="1111")),TH!D208,""),"")</f>
        <v/>
      </c>
      <c r="B208" s="36">
        <f t="shared" si="11"/>
        <v>3</v>
      </c>
      <c r="C208" s="188">
        <f t="shared" si="10"/>
        <v>41345</v>
      </c>
      <c r="D208" s="181" t="s">
        <v>1033</v>
      </c>
      <c r="E208" s="188">
        <v>41345</v>
      </c>
      <c r="F208" s="189" t="s">
        <v>708</v>
      </c>
      <c r="G208" s="189" t="s">
        <v>741</v>
      </c>
      <c r="H208" s="190" t="s">
        <v>710</v>
      </c>
      <c r="I208" s="249">
        <v>500</v>
      </c>
      <c r="J208" s="249">
        <v>8000</v>
      </c>
      <c r="K208" s="38">
        <f>ROUND(I208*J208,0)</f>
        <v>4000000</v>
      </c>
      <c r="L208" s="191" t="s">
        <v>262</v>
      </c>
      <c r="M208" s="191" t="s">
        <v>172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IF(OR(TH!L208=TH!$U$7,M208=TH!$U$7),"x","")</f>
        <v/>
      </c>
      <c r="V208" s="52" t="str">
        <f>IF(AND(B208&gt;='IN-NX'!$P$3,B208&lt;='IN-NX'!$Q$3,'IN-NX'!$D$7=D208,OR(LEFT(L208,2)="15",AND(LEFT(M208,2)&lt;&gt;"15",LEFT(M208,2)&lt;&gt;"33"))),"x","")</f>
        <v/>
      </c>
      <c r="W208" s="52" t="str">
        <f>IF(AND(OR(LEFT(TH!L208,2)="15",LEFT(TH!M208,2)="15"),'152-CT'!$J$8=TH!F208),"x","")</f>
        <v/>
      </c>
      <c r="X208" s="52" t="str">
        <f>IF(AND(OR(LEFT(TH!L208,2)="15",LEFT(TH!M208,2)="15"),TK!$E$7=TH!F208),"x","")</f>
        <v/>
      </c>
      <c r="Y208" s="52" t="str">
        <f>IF(AND(B208&lt;=NKC!$N$8,B208&gt;=NKC!$M$8),"x","")</f>
        <v/>
      </c>
      <c r="Z208" s="208"/>
      <c r="AA208" s="587"/>
    </row>
    <row r="209" spans="1:28" ht="15.75" customHeight="1">
      <c r="A209" s="201" t="str">
        <f>IF(B209&lt;&gt;"",IF(AND(B209&gt;=_TM1,B209&lt;=_TM2,OR(TH!L209="1111",TH!M209="1111")),TH!D209,""),"")</f>
        <v/>
      </c>
      <c r="B209" s="36">
        <f t="shared" si="11"/>
        <v>3</v>
      </c>
      <c r="C209" s="188">
        <f t="shared" si="10"/>
        <v>41345</v>
      </c>
      <c r="D209" s="181" t="s">
        <v>1033</v>
      </c>
      <c r="E209" s="188">
        <v>41345</v>
      </c>
      <c r="F209" s="189" t="s">
        <v>727</v>
      </c>
      <c r="G209" s="189" t="s">
        <v>741</v>
      </c>
      <c r="H209" s="7" t="s">
        <v>710</v>
      </c>
      <c r="I209" s="249">
        <v>300</v>
      </c>
      <c r="J209" s="249">
        <v>9450</v>
      </c>
      <c r="K209" s="38">
        <f>ROUND(I209*J209,0)</f>
        <v>2835000</v>
      </c>
      <c r="L209" s="191" t="s">
        <v>262</v>
      </c>
      <c r="M209" s="191" t="s">
        <v>172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IF(OR(TH!L209=TH!$U$7,M209=TH!$U$7),"x","")</f>
        <v/>
      </c>
      <c r="V209" s="52" t="str">
        <f>IF(AND(B209&gt;='IN-NX'!$P$3,B209&lt;='IN-NX'!$Q$3,'IN-NX'!$D$7=D209,OR(LEFT(L209,2)="15",AND(LEFT(M209,2)&lt;&gt;"15",LEFT(M209,2)&lt;&gt;"33"))),"x","")</f>
        <v/>
      </c>
      <c r="W209" s="52" t="str">
        <f>IF(AND(OR(LEFT(TH!L209,2)="15",LEFT(TH!M209,2)="15"),'152-CT'!$J$8=TH!F209),"x","")</f>
        <v/>
      </c>
      <c r="X209" s="52" t="str">
        <f>IF(AND(OR(LEFT(TH!L209,2)="15",LEFT(TH!M209,2)="15"),TK!$E$7=TH!F209),"x","")</f>
        <v/>
      </c>
      <c r="Y209" s="52" t="str">
        <f>IF(AND(B209&lt;=NKC!$N$8,B209&gt;=NKC!$M$8),"x","")</f>
        <v/>
      </c>
      <c r="Z209" s="208"/>
      <c r="AA209" s="587"/>
    </row>
    <row r="210" spans="1:28" ht="15.75" customHeight="1">
      <c r="A210" s="201" t="str">
        <f>IF(B210&lt;&gt;"",IF(AND(B210&gt;=_TM1,B210&lt;=_TM2,OR(TH!L210="1111",TH!M210="1111")),TH!D210,""),"")</f>
        <v/>
      </c>
      <c r="B210" s="36">
        <f t="shared" si="11"/>
        <v>3</v>
      </c>
      <c r="C210" s="188">
        <f t="shared" si="10"/>
        <v>41345</v>
      </c>
      <c r="D210" s="181" t="s">
        <v>1033</v>
      </c>
      <c r="E210" s="188">
        <v>41345</v>
      </c>
      <c r="F210" s="189" t="s">
        <v>693</v>
      </c>
      <c r="G210" s="189" t="s">
        <v>741</v>
      </c>
      <c r="H210" s="7" t="s">
        <v>710</v>
      </c>
      <c r="I210" s="249"/>
      <c r="J210" s="249"/>
      <c r="K210" s="38">
        <v>683500</v>
      </c>
      <c r="L210" s="191" t="s">
        <v>262</v>
      </c>
      <c r="M210" s="191" t="s">
        <v>425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IF(OR(TH!L210=TH!$U$7,M210=TH!$U$7),"x","")</f>
        <v/>
      </c>
      <c r="V210" s="52" t="str">
        <f>IF(AND(B210&gt;='IN-NX'!$P$3,B210&lt;='IN-NX'!$Q$3,'IN-NX'!$D$7=D210,OR(LEFT(L210,2)="15",AND(LEFT(M210,2)&lt;&gt;"15",LEFT(M210,2)&lt;&gt;"33"))),"x","")</f>
        <v/>
      </c>
      <c r="W210" s="52" t="str">
        <f>IF(AND(OR(LEFT(TH!L210,2)="15",LEFT(TH!M210,2)="15"),'152-CT'!$J$8=TH!F210),"x","")</f>
        <v/>
      </c>
      <c r="X210" s="52" t="str">
        <f>IF(AND(OR(LEFT(TH!L210,2)="15",LEFT(TH!M210,2)="15"),TK!$E$7=TH!F210),"x","")</f>
        <v/>
      </c>
      <c r="Y210" s="52" t="str">
        <f>IF(AND(B210&lt;=NKC!$N$8,B210&gt;=NKC!$M$8),"x","")</f>
        <v/>
      </c>
      <c r="Z210" s="208"/>
      <c r="AA210" s="587" t="str">
        <f>IF(VLOOKUP(H210,DS_131,1,0)&lt;&gt;"","","x")</f>
        <v/>
      </c>
    </row>
    <row r="211" spans="1:28" ht="15.75" customHeight="1">
      <c r="A211" s="201" t="str">
        <f>IF(B211&lt;&gt;"",IF(AND(B211&gt;=_TM1,B211&lt;=_TM2,OR(TH!L211="1111",TH!M211="1111")),TH!D211,""),"")</f>
        <v/>
      </c>
      <c r="B211" s="36">
        <f t="shared" si="11"/>
        <v>3</v>
      </c>
      <c r="C211" s="188">
        <f t="shared" ref="C211:C270" si="12">E211</f>
        <v>41345</v>
      </c>
      <c r="D211" s="181" t="s">
        <v>544</v>
      </c>
      <c r="E211" s="188">
        <v>41345</v>
      </c>
      <c r="F211" s="186" t="s">
        <v>337</v>
      </c>
      <c r="G211" s="189" t="s">
        <v>1319</v>
      </c>
      <c r="H211" s="7" t="s">
        <v>710</v>
      </c>
      <c r="I211" s="249"/>
      <c r="J211" s="249"/>
      <c r="K211" s="38">
        <v>15020500</v>
      </c>
      <c r="L211" s="191" t="s">
        <v>47</v>
      </c>
      <c r="M211" s="191" t="s">
        <v>262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>x</v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IF(OR(TH!L211=TH!$U$7,M211=TH!$U$7),"x","")</f>
        <v/>
      </c>
      <c r="V211" s="52" t="str">
        <f>IF(AND(B211&gt;='IN-NX'!$P$3,B211&lt;='IN-NX'!$Q$3,'IN-NX'!$D$7=D211,OR(LEFT(L211,2)="15",AND(LEFT(M211,2)&lt;&gt;"15",LEFT(M211,2)&lt;&gt;"33"))),"x","")</f>
        <v/>
      </c>
      <c r="W211" s="52" t="str">
        <f>IF(AND(OR(LEFT(TH!L211,2)="15",LEFT(TH!M211,2)="15"),'152-CT'!$J$8=TH!F211),"x","")</f>
        <v/>
      </c>
      <c r="X211" s="52" t="str">
        <f>IF(AND(OR(LEFT(TH!L211,2)="15",LEFT(TH!M211,2)="15"),TK!$E$7=TH!F211),"x","")</f>
        <v/>
      </c>
      <c r="Y211" s="52" t="str">
        <f>IF(AND(B211&lt;=NKC!$N$8,B211&gt;=NKC!$M$8),"x","")</f>
        <v/>
      </c>
      <c r="Z211" s="208"/>
      <c r="AA211" s="587" t="str">
        <f>IF(VLOOKUP(H211,DS_131,1,0)&lt;&gt;"","","x")</f>
        <v/>
      </c>
    </row>
    <row r="212" spans="1:28" ht="15.75" customHeight="1">
      <c r="A212" s="201" t="str">
        <f>IF(B212&lt;&gt;"",IF(AND(B212&gt;=_TM1,B212&lt;=_TM2,OR(TH!L212="1111",TH!M212="1111")),TH!D212,""),"")</f>
        <v/>
      </c>
      <c r="B212" s="36">
        <f t="shared" si="11"/>
        <v>3</v>
      </c>
      <c r="C212" s="188">
        <f t="shared" si="12"/>
        <v>41346</v>
      </c>
      <c r="D212" s="181" t="s">
        <v>1034</v>
      </c>
      <c r="E212" s="188">
        <v>41346</v>
      </c>
      <c r="F212" s="189" t="s">
        <v>742</v>
      </c>
      <c r="G212" s="189" t="s">
        <v>463</v>
      </c>
      <c r="H212" s="7" t="s">
        <v>549</v>
      </c>
      <c r="I212" s="249">
        <v>512</v>
      </c>
      <c r="J212" s="249">
        <v>22950</v>
      </c>
      <c r="K212" s="38">
        <f>ROUND(I212*J212,0)</f>
        <v>11750400</v>
      </c>
      <c r="L212" s="191" t="s">
        <v>262</v>
      </c>
      <c r="M212" s="191" t="s">
        <v>172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IF(OR(TH!L212=TH!$U$7,M212=TH!$U$7),"x","")</f>
        <v/>
      </c>
      <c r="V212" s="52" t="str">
        <f>IF(AND(B212&gt;='IN-NX'!$P$3,B212&lt;='IN-NX'!$Q$3,'IN-NX'!$D$7=D212,OR(LEFT(L212,2)="15",AND(LEFT(M212,2)&lt;&gt;"15",LEFT(M212,2)&lt;&gt;"33"))),"x","")</f>
        <v/>
      </c>
      <c r="W212" s="52" t="str">
        <f>IF(AND(OR(LEFT(TH!L212,2)="15",LEFT(TH!M212,2)="15"),'152-CT'!$J$8=TH!F212),"x","")</f>
        <v/>
      </c>
      <c r="X212" s="52" t="str">
        <f>IF(AND(OR(LEFT(TH!L212,2)="15",LEFT(TH!M212,2)="15"),TK!$E$7=TH!F212),"x","")</f>
        <v/>
      </c>
      <c r="Y212" s="52" t="str">
        <f>IF(AND(B212&lt;=NKC!$N$8,B212&gt;=NKC!$M$8),"x","")</f>
        <v/>
      </c>
      <c r="Z212" s="208"/>
      <c r="AA212" s="587"/>
    </row>
    <row r="213" spans="1:28" ht="15.75" customHeight="1">
      <c r="A213" s="201" t="str">
        <f>IF(B213&lt;&gt;"",IF(AND(B213&gt;=_TM1,B213&lt;=_TM2,OR(TH!L213="1111",TH!M213="1111")),TH!D213,""),"")</f>
        <v/>
      </c>
      <c r="B213" s="36">
        <f t="shared" si="11"/>
        <v>3</v>
      </c>
      <c r="C213" s="188">
        <f t="shared" si="12"/>
        <v>41346</v>
      </c>
      <c r="D213" s="181" t="s">
        <v>1034</v>
      </c>
      <c r="E213" s="188">
        <v>41346</v>
      </c>
      <c r="F213" s="189" t="s">
        <v>693</v>
      </c>
      <c r="G213" s="480" t="s">
        <v>463</v>
      </c>
      <c r="H213" s="7" t="s">
        <v>549</v>
      </c>
      <c r="I213" s="249"/>
      <c r="J213" s="249"/>
      <c r="K213" s="38">
        <v>1175040</v>
      </c>
      <c r="L213" s="191" t="s">
        <v>262</v>
      </c>
      <c r="M213" s="191" t="s">
        <v>425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IF(OR(TH!L213=TH!$U$7,M213=TH!$U$7),"x","")</f>
        <v/>
      </c>
      <c r="V213" s="52" t="str">
        <f>IF(AND(B213&gt;='IN-NX'!$P$3,B213&lt;='IN-NX'!$Q$3,'IN-NX'!$D$7=D213,OR(LEFT(L213,2)="15",AND(LEFT(M213,2)&lt;&gt;"15",LEFT(M213,2)&lt;&gt;"33"))),"x","")</f>
        <v/>
      </c>
      <c r="W213" s="52" t="str">
        <f>IF(AND(OR(LEFT(TH!L213,2)="15",LEFT(TH!M213,2)="15"),'152-CT'!$J$8=TH!F213),"x","")</f>
        <v/>
      </c>
      <c r="X213" s="52" t="str">
        <f>IF(AND(OR(LEFT(TH!L213,2)="15",LEFT(TH!M213,2)="15"),TK!$E$7=TH!F213),"x","")</f>
        <v/>
      </c>
      <c r="Y213" s="52" t="str">
        <f>IF(AND(B213&lt;=NKC!$N$8,B213&gt;=NKC!$M$8),"x","")</f>
        <v/>
      </c>
      <c r="Z213" s="208"/>
      <c r="AA213" s="587" t="str">
        <f>IF(VLOOKUP(H213,DS_131,1,0)&lt;&gt;"","","x")</f>
        <v/>
      </c>
    </row>
    <row r="214" spans="1:28" ht="15.75" customHeight="1">
      <c r="A214" s="201" t="str">
        <f>IF(B214&lt;&gt;"",IF(AND(B214&gt;=_TM1,B214&lt;=_TM2,OR(TH!L214="1111",TH!M214="1111")),TH!D214,""),"")</f>
        <v/>
      </c>
      <c r="B214" s="36">
        <f t="shared" si="11"/>
        <v>3</v>
      </c>
      <c r="C214" s="188">
        <f t="shared" si="12"/>
        <v>41346</v>
      </c>
      <c r="D214" s="181" t="s">
        <v>1035</v>
      </c>
      <c r="E214" s="188">
        <v>41346</v>
      </c>
      <c r="F214" s="189" t="s">
        <v>1094</v>
      </c>
      <c r="G214" s="480" t="s">
        <v>743</v>
      </c>
      <c r="H214" s="190" t="s">
        <v>744</v>
      </c>
      <c r="I214" s="249">
        <v>500</v>
      </c>
      <c r="J214" s="249">
        <v>12000</v>
      </c>
      <c r="K214" s="38">
        <f>ROUND(I214*J214,0)</f>
        <v>6000000</v>
      </c>
      <c r="L214" s="191" t="s">
        <v>262</v>
      </c>
      <c r="M214" s="191" t="s">
        <v>172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IF(OR(TH!L214=TH!$U$7,M214=TH!$U$7),"x","")</f>
        <v/>
      </c>
      <c r="V214" s="52" t="str">
        <f>IF(AND(B214&gt;='IN-NX'!$P$3,B214&lt;='IN-NX'!$Q$3,'IN-NX'!$D$7=D214,OR(LEFT(L214,2)="15",AND(LEFT(M214,2)&lt;&gt;"15",LEFT(M214,2)&lt;&gt;"33"))),"x","")</f>
        <v/>
      </c>
      <c r="W214" s="52" t="str">
        <f>IF(AND(OR(LEFT(TH!L214,2)="15",LEFT(TH!M214,2)="15"),'152-CT'!$J$8=TH!F214),"x","")</f>
        <v/>
      </c>
      <c r="X214" s="52" t="str">
        <f>IF(AND(OR(LEFT(TH!L214,2)="15",LEFT(TH!M214,2)="15"),TK!$E$7=TH!F214),"x","")</f>
        <v/>
      </c>
      <c r="Y214" s="52" t="str">
        <f>IF(AND(B214&lt;=NKC!$N$8,B214&gt;=NKC!$M$8),"x","")</f>
        <v/>
      </c>
      <c r="Z214" s="208"/>
      <c r="AA214" s="587"/>
    </row>
    <row r="215" spans="1:28" ht="15.75" customHeight="1">
      <c r="A215" s="201" t="str">
        <f>IF(B215&lt;&gt;"",IF(AND(B215&gt;=_TM1,B215&lt;=_TM2,OR(TH!L215="1111",TH!M215="1111")),TH!D215,""),"")</f>
        <v/>
      </c>
      <c r="B215" s="36">
        <f t="shared" si="11"/>
        <v>3</v>
      </c>
      <c r="C215" s="188">
        <f t="shared" si="12"/>
        <v>41346</v>
      </c>
      <c r="D215" s="181" t="s">
        <v>1035</v>
      </c>
      <c r="E215" s="188">
        <v>41346</v>
      </c>
      <c r="F215" s="189" t="s">
        <v>693</v>
      </c>
      <c r="G215" s="189" t="s">
        <v>743</v>
      </c>
      <c r="H215" s="189" t="s">
        <v>744</v>
      </c>
      <c r="I215" s="249"/>
      <c r="J215" s="249"/>
      <c r="K215" s="38">
        <v>600000</v>
      </c>
      <c r="L215" s="191" t="s">
        <v>262</v>
      </c>
      <c r="M215" s="191" t="s">
        <v>425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IF(OR(TH!L215=TH!$U$7,M215=TH!$U$7),"x","")</f>
        <v/>
      </c>
      <c r="V215" s="52" t="str">
        <f>IF(AND(B215&gt;='IN-NX'!$P$3,B215&lt;='IN-NX'!$Q$3,'IN-NX'!$D$7=D215,OR(LEFT(L215,2)="15",AND(LEFT(M215,2)&lt;&gt;"15",LEFT(M215,2)&lt;&gt;"33"))),"x","")</f>
        <v/>
      </c>
      <c r="W215" s="52" t="str">
        <f>IF(AND(OR(LEFT(TH!L215,2)="15",LEFT(TH!M215,2)="15"),'152-CT'!$J$8=TH!F215),"x","")</f>
        <v/>
      </c>
      <c r="X215" s="52" t="str">
        <f>IF(AND(OR(LEFT(TH!L215,2)="15",LEFT(TH!M215,2)="15"),TK!$E$7=TH!F215),"x","")</f>
        <v/>
      </c>
      <c r="Y215" s="52" t="str">
        <f>IF(AND(B215&lt;=NKC!$N$8,B215&gt;=NKC!$M$8),"x","")</f>
        <v/>
      </c>
      <c r="Z215" s="208"/>
      <c r="AA215" s="587" t="str">
        <f>IF(VLOOKUP(H215,DS_131,1,0)&lt;&gt;"","","x")</f>
        <v/>
      </c>
    </row>
    <row r="216" spans="1:28" ht="15.75" customHeight="1">
      <c r="A216" s="201" t="str">
        <f>IF(B216&lt;&gt;"",IF(AND(B216&gt;=_TM1,B216&lt;=_TM2,OR(TH!L216="1111",TH!M216="1111")),TH!D216,""),"")</f>
        <v/>
      </c>
      <c r="B216" s="36">
        <f t="shared" si="11"/>
        <v>3</v>
      </c>
      <c r="C216" s="188">
        <f t="shared" si="12"/>
        <v>41346</v>
      </c>
      <c r="D216" s="181" t="s">
        <v>550</v>
      </c>
      <c r="E216" s="188">
        <v>41346</v>
      </c>
      <c r="F216" s="186" t="s">
        <v>337</v>
      </c>
      <c r="G216" s="189" t="s">
        <v>743</v>
      </c>
      <c r="H216" s="189" t="s">
        <v>744</v>
      </c>
      <c r="I216" s="249"/>
      <c r="J216" s="249"/>
      <c r="K216" s="38">
        <v>6600000</v>
      </c>
      <c r="L216" s="191" t="s">
        <v>47</v>
      </c>
      <c r="M216" s="191" t="s">
        <v>262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>x</v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IF(OR(TH!L216=TH!$U$7,M216=TH!$U$7),"x","")</f>
        <v/>
      </c>
      <c r="V216" s="52" t="str">
        <f>IF(AND(B216&gt;='IN-NX'!$P$3,B216&lt;='IN-NX'!$Q$3,'IN-NX'!$D$7=D216,OR(LEFT(L216,2)="15",AND(LEFT(M216,2)&lt;&gt;"15",LEFT(M216,2)&lt;&gt;"33"))),"x","")</f>
        <v/>
      </c>
      <c r="W216" s="52" t="str">
        <f>IF(AND(OR(LEFT(TH!L216,2)="15",LEFT(TH!M216,2)="15"),'152-CT'!$J$8=TH!F216),"x","")</f>
        <v/>
      </c>
      <c r="X216" s="52" t="str">
        <f>IF(AND(OR(LEFT(TH!L216,2)="15",LEFT(TH!M216,2)="15"),TK!$E$7=TH!F216),"x","")</f>
        <v/>
      </c>
      <c r="Y216" s="52" t="str">
        <f>IF(AND(B216&lt;=NKC!$N$8,B216&gt;=NKC!$M$8),"x","")</f>
        <v/>
      </c>
      <c r="Z216" s="208"/>
      <c r="AA216" s="587" t="str">
        <f>IF(VLOOKUP(H216,DS_131,1,0)&lt;&gt;"","","x")</f>
        <v/>
      </c>
    </row>
    <row r="217" spans="1:28" ht="15.75" customHeight="1">
      <c r="A217" s="201" t="str">
        <f>IF(B217&lt;&gt;"",IF(AND(B217&gt;=_TM1,B217&lt;=_TM2,OR(TH!L217="1111",TH!M217="1111")),TH!D217,""),"")</f>
        <v/>
      </c>
      <c r="B217" s="36">
        <f t="shared" si="11"/>
        <v>3</v>
      </c>
      <c r="C217" s="188">
        <f t="shared" si="12"/>
        <v>41351</v>
      </c>
      <c r="D217" s="181" t="s">
        <v>1036</v>
      </c>
      <c r="E217" s="188">
        <v>41351</v>
      </c>
      <c r="F217" s="189" t="s">
        <v>745</v>
      </c>
      <c r="G217" s="189" t="s">
        <v>746</v>
      </c>
      <c r="H217" s="7" t="s">
        <v>549</v>
      </c>
      <c r="I217" s="249">
        <v>105</v>
      </c>
      <c r="J217" s="249">
        <v>26000</v>
      </c>
      <c r="K217" s="38">
        <f>ROUND(I217*J217,0)</f>
        <v>2730000</v>
      </c>
      <c r="L217" s="191" t="s">
        <v>262</v>
      </c>
      <c r="M217" s="191" t="s">
        <v>172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IF(OR(TH!L217=TH!$U$7,M217=TH!$U$7),"x","")</f>
        <v/>
      </c>
      <c r="V217" s="52" t="str">
        <f>IF(AND(B217&gt;='IN-NX'!$P$3,B217&lt;='IN-NX'!$Q$3,'IN-NX'!$D$7=D217,OR(LEFT(L217,2)="15",AND(LEFT(M217,2)&lt;&gt;"15",LEFT(M217,2)&lt;&gt;"33"))),"x","")</f>
        <v/>
      </c>
      <c r="W217" s="52" t="str">
        <f>IF(AND(OR(LEFT(TH!L217,2)="15",LEFT(TH!M217,2)="15"),'152-CT'!$J$8=TH!F217),"x","")</f>
        <v/>
      </c>
      <c r="X217" s="52" t="str">
        <f>IF(AND(OR(LEFT(TH!L217,2)="15",LEFT(TH!M217,2)="15"),TK!$E$7=TH!F217),"x","")</f>
        <v/>
      </c>
      <c r="Y217" s="52" t="str">
        <f>IF(AND(B217&lt;=NKC!$N$8,B217&gt;=NKC!$M$8),"x","")</f>
        <v/>
      </c>
      <c r="Z217" s="208"/>
      <c r="AA217" s="587"/>
    </row>
    <row r="218" spans="1:28" s="767" customFormat="1" ht="15.75" customHeight="1">
      <c r="A218" s="201" t="str">
        <f>IF(B218&lt;&gt;"",IF(AND(B218&gt;=_TM1,B218&lt;=_TM2,OR(TH!L218="1111",TH!M218="1111")),TH!D218,""),"")</f>
        <v/>
      </c>
      <c r="B218" s="36">
        <f t="shared" si="11"/>
        <v>3</v>
      </c>
      <c r="C218" s="188">
        <f t="shared" si="12"/>
        <v>41351</v>
      </c>
      <c r="D218" s="181" t="s">
        <v>1036</v>
      </c>
      <c r="E218" s="188">
        <v>41351</v>
      </c>
      <c r="F218" s="189" t="s">
        <v>693</v>
      </c>
      <c r="G218" s="189" t="s">
        <v>746</v>
      </c>
      <c r="H218" s="7" t="s">
        <v>549</v>
      </c>
      <c r="I218" s="249"/>
      <c r="J218" s="249"/>
      <c r="K218" s="38">
        <v>273000</v>
      </c>
      <c r="L218" s="191" t="s">
        <v>262</v>
      </c>
      <c r="M218" s="191" t="s">
        <v>425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IF(OR(TH!L218=TH!$U$7,M218=TH!$U$7),"x","")</f>
        <v/>
      </c>
      <c r="V218" s="52" t="str">
        <f>IF(AND(B218&gt;='IN-NX'!$P$3,B218&lt;='IN-NX'!$Q$3,'IN-NX'!$D$7=D218,OR(LEFT(L218,2)="15",AND(LEFT(M218,2)&lt;&gt;"15",LEFT(M218,2)&lt;&gt;"33"))),"x","")</f>
        <v/>
      </c>
      <c r="W218" s="52" t="str">
        <f>IF(AND(OR(LEFT(TH!L218,2)="15",LEFT(TH!M218,2)="15"),'152-CT'!$J$8=TH!F218),"x","")</f>
        <v/>
      </c>
      <c r="X218" s="52" t="str">
        <f>IF(AND(OR(LEFT(TH!L218,2)="15",LEFT(TH!M218,2)="15"),TK!$E$7=TH!F218),"x","")</f>
        <v/>
      </c>
      <c r="Y218" s="52" t="str">
        <f>IF(AND(B218&lt;=NKC!$N$8,B218&gt;=NKC!$M$8),"x","")</f>
        <v/>
      </c>
      <c r="Z218" s="208"/>
      <c r="AA218" s="587" t="str">
        <f>IF(VLOOKUP(H218,DS_131,1,0)&lt;&gt;"","","x")</f>
        <v/>
      </c>
      <c r="AB218" s="195"/>
    </row>
    <row r="219" spans="1:28" s="767" customFormat="1" ht="15.75" customHeight="1">
      <c r="A219" s="201" t="str">
        <f>IF(B219&lt;&gt;"",IF(AND(B219&gt;=_TM1,B219&lt;=_TM2,OR(TH!L219="1111",TH!M219="1111")),TH!D219,""),"")</f>
        <v/>
      </c>
      <c r="B219" s="36">
        <f t="shared" si="11"/>
        <v>3</v>
      </c>
      <c r="C219" s="181">
        <f t="shared" si="12"/>
        <v>41352</v>
      </c>
      <c r="D219" s="181" t="s">
        <v>1276</v>
      </c>
      <c r="E219" s="188">
        <v>41352</v>
      </c>
      <c r="F219" s="186" t="s">
        <v>431</v>
      </c>
      <c r="G219" s="480" t="s">
        <v>473</v>
      </c>
      <c r="H219" s="7" t="s">
        <v>368</v>
      </c>
      <c r="I219" s="249"/>
      <c r="J219" s="249"/>
      <c r="K219" s="38">
        <v>4160000</v>
      </c>
      <c r="L219" s="596" t="s">
        <v>162</v>
      </c>
      <c r="M219" s="596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>x</v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IF(OR(TH!L219=TH!$U$7,M219=TH!$U$7),"x","")</f>
        <v/>
      </c>
      <c r="V219" s="52" t="str">
        <f>IF(AND(B219&gt;='IN-NX'!$P$3,B219&lt;='IN-NX'!$Q$3,'IN-NX'!$D$7=D219,OR(LEFT(L219,2)="15",AND(LEFT(M219,2)&lt;&gt;"15",LEFT(M219,2)&lt;&gt;"33"))),"x","")</f>
        <v/>
      </c>
      <c r="W219" s="52" t="str">
        <f>IF(AND(OR(LEFT(TH!L219,2)="15",LEFT(TH!M219,2)="15"),'152-CT'!$J$8=TH!F219),"x","")</f>
        <v/>
      </c>
      <c r="X219" s="52" t="str">
        <f>IF(AND(OR(LEFT(TH!L219,2)="15",LEFT(TH!M219,2)="15"),TK!$E$7=TH!F219),"x","")</f>
        <v/>
      </c>
      <c r="Y219" s="52" t="str">
        <f>IF(AND(B219&lt;=NKC!$N$8,B219&gt;=NKC!$M$8),"x","")</f>
        <v/>
      </c>
      <c r="Z219" s="587">
        <v>3</v>
      </c>
      <c r="AA219" s="587"/>
      <c r="AB219" s="587"/>
    </row>
    <row r="220" spans="1:28" s="767" customFormat="1" ht="15.75" customHeight="1">
      <c r="A220" s="201" t="str">
        <f>IF(B220&lt;&gt;"",IF(AND(B220&gt;=_TM1,B220&lt;=_TM2,OR(TH!L220="1111",TH!M220="1111")),TH!D220,""),"")</f>
        <v/>
      </c>
      <c r="B220" s="36">
        <f t="shared" si="11"/>
        <v>3</v>
      </c>
      <c r="C220" s="181">
        <f t="shared" si="12"/>
        <v>41352</v>
      </c>
      <c r="D220" s="181" t="s">
        <v>1276</v>
      </c>
      <c r="E220" s="188">
        <v>41352</v>
      </c>
      <c r="F220" s="186" t="s">
        <v>344</v>
      </c>
      <c r="G220" s="480" t="s">
        <v>473</v>
      </c>
      <c r="H220" s="7" t="s">
        <v>368</v>
      </c>
      <c r="I220" s="249"/>
      <c r="J220" s="249"/>
      <c r="K220" s="595">
        <v>416000</v>
      </c>
      <c r="L220" s="596" t="s">
        <v>9</v>
      </c>
      <c r="M220" s="596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>x</v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IF(OR(TH!L220=TH!$U$7,M220=TH!$U$7),"x","")</f>
        <v/>
      </c>
      <c r="V220" s="52" t="str">
        <f>IF(AND(B220&gt;='IN-NX'!$P$3,B220&lt;='IN-NX'!$Q$3,'IN-NX'!$D$7=D220,OR(LEFT(L220,2)="15",AND(LEFT(M220,2)&lt;&gt;"15",LEFT(M220,2)&lt;&gt;"33"))),"x","")</f>
        <v/>
      </c>
      <c r="W220" s="52" t="str">
        <f>IF(AND(OR(LEFT(TH!L220,2)="15",LEFT(TH!M220,2)="15"),'152-CT'!$J$8=TH!F220),"x","")</f>
        <v/>
      </c>
      <c r="X220" s="52" t="str">
        <f>IF(AND(OR(LEFT(TH!L220,2)="15",LEFT(TH!M220,2)="15"),TK!$E$7=TH!F220),"x","")</f>
        <v/>
      </c>
      <c r="Y220" s="52" t="str">
        <f>IF(AND(B220&lt;=NKC!$N$8,B220&gt;=NKC!$M$8),"x","")</f>
        <v/>
      </c>
      <c r="Z220" s="587">
        <v>3</v>
      </c>
      <c r="AA220" s="587"/>
      <c r="AB220" s="587"/>
    </row>
    <row r="221" spans="1:28" s="767" customFormat="1" ht="15.75" customHeight="1">
      <c r="A221" s="201" t="str">
        <f>IF(B221&lt;&gt;"",IF(AND(B221&gt;=_TM1,B221&lt;=_TM2,OR(TH!L221="1111",TH!M221="1111")),TH!D221,""),"")</f>
        <v/>
      </c>
      <c r="B221" s="36">
        <f t="shared" si="11"/>
        <v>3</v>
      </c>
      <c r="C221" s="181">
        <f t="shared" si="12"/>
        <v>41358</v>
      </c>
      <c r="D221" s="181" t="s">
        <v>335</v>
      </c>
      <c r="E221" s="181">
        <v>41358</v>
      </c>
      <c r="F221" s="186" t="s">
        <v>365</v>
      </c>
      <c r="G221" s="597" t="s">
        <v>332</v>
      </c>
      <c r="H221" s="45"/>
      <c r="I221" s="249"/>
      <c r="J221" s="249"/>
      <c r="K221" s="38">
        <v>969</v>
      </c>
      <c r="L221" s="596" t="s">
        <v>24</v>
      </c>
      <c r="M221" s="596" t="s">
        <v>40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>x</v>
      </c>
      <c r="T221" s="52" t="str">
        <f>IF(ISERROR(FIND('112'!$M$9,G221,1)),"",IF((AND(RIGHT(G221,2)=RIGHT('112'!$M$9,2),B221&lt;'112'!$N$8,$M221='112'!$I$6)),"x",""))</f>
        <v/>
      </c>
      <c r="U221" s="52" t="str">
        <f>IF(OR(TH!L221=TH!$U$7,M221=TH!$U$7),"x","")</f>
        <v/>
      </c>
      <c r="V221" s="52" t="str">
        <f>IF(AND(B221&gt;='IN-NX'!$P$3,B221&lt;='IN-NX'!$Q$3,'IN-NX'!$D$7=D221,OR(LEFT(L221,2)="15",AND(LEFT(M221,2)&lt;&gt;"15",LEFT(M221,2)&lt;&gt;"33"))),"x","")</f>
        <v/>
      </c>
      <c r="W221" s="52" t="str">
        <f>IF(AND(OR(LEFT(TH!L221,2)="15",LEFT(TH!M221,2)="15"),'152-CT'!$J$8=TH!F221),"x","")</f>
        <v/>
      </c>
      <c r="X221" s="52" t="str">
        <f>IF(AND(OR(LEFT(TH!L221,2)="15",LEFT(TH!M221,2)="15"),TK!$E$7=TH!F221),"x","")</f>
        <v/>
      </c>
      <c r="Y221" s="52" t="str">
        <f>IF(AND(B221&lt;=NKC!$N$8,B221&gt;=NKC!$M$8),"x","")</f>
        <v/>
      </c>
      <c r="Z221" s="208"/>
      <c r="AA221" s="587"/>
      <c r="AB221" s="587"/>
    </row>
    <row r="222" spans="1:28" s="767" customFormat="1" ht="15.75" customHeight="1">
      <c r="A222" s="201" t="str">
        <f>IF(B222&lt;&gt;"",IF(AND(B222&gt;=_TM1,B222&lt;=_TM2,OR(TH!L222="1111",TH!M222="1111")),TH!D222,""),"")</f>
        <v/>
      </c>
      <c r="B222" s="36">
        <f t="shared" si="11"/>
        <v>3</v>
      </c>
      <c r="C222" s="188">
        <f t="shared" si="12"/>
        <v>41359</v>
      </c>
      <c r="D222" s="181" t="s">
        <v>1037</v>
      </c>
      <c r="E222" s="188">
        <v>41359</v>
      </c>
      <c r="F222" s="189" t="s">
        <v>747</v>
      </c>
      <c r="G222" s="189" t="s">
        <v>748</v>
      </c>
      <c r="H222" s="7" t="s">
        <v>1079</v>
      </c>
      <c r="I222" s="249">
        <v>513</v>
      </c>
      <c r="J222" s="249">
        <v>18300</v>
      </c>
      <c r="K222" s="38">
        <f>ROUND(I222*J222,0)</f>
        <v>9387900</v>
      </c>
      <c r="L222" s="191" t="s">
        <v>262</v>
      </c>
      <c r="M222" s="191" t="s">
        <v>172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IF(OR(TH!L222=TH!$U$7,M222=TH!$U$7),"x","")</f>
        <v/>
      </c>
      <c r="V222" s="52" t="str">
        <f>IF(AND(B222&gt;='IN-NX'!$P$3,B222&lt;='IN-NX'!$Q$3,'IN-NX'!$D$7=D222,OR(LEFT(L222,2)="15",AND(LEFT(M222,2)&lt;&gt;"15",LEFT(M222,2)&lt;&gt;"33"))),"x","")</f>
        <v/>
      </c>
      <c r="W222" s="52" t="str">
        <f>IF(AND(OR(LEFT(TH!L222,2)="15",LEFT(TH!M222,2)="15"),'152-CT'!$J$8=TH!F222),"x","")</f>
        <v/>
      </c>
      <c r="X222" s="52" t="str">
        <f>IF(AND(OR(LEFT(TH!L222,2)="15",LEFT(TH!M222,2)="15"),TK!$E$7=TH!F222),"x","")</f>
        <v/>
      </c>
      <c r="Y222" s="52" t="str">
        <f>IF(AND(B222&lt;=NKC!$N$8,B222&gt;=NKC!$M$8),"x","")</f>
        <v/>
      </c>
      <c r="Z222" s="208"/>
      <c r="AA222" s="587"/>
      <c r="AB222" s="195"/>
    </row>
    <row r="223" spans="1:28" s="767" customFormat="1" ht="15.75" customHeight="1">
      <c r="A223" s="201" t="str">
        <f>IF(B223&lt;&gt;"",IF(AND(B223&gt;=_TM1,B223&lt;=_TM2,OR(TH!L223="1111",TH!M223="1111")),TH!D223,""),"")</f>
        <v/>
      </c>
      <c r="B223" s="36">
        <f t="shared" si="11"/>
        <v>3</v>
      </c>
      <c r="C223" s="188">
        <f t="shared" si="12"/>
        <v>41359</v>
      </c>
      <c r="D223" s="181" t="s">
        <v>1037</v>
      </c>
      <c r="E223" s="188">
        <v>41359</v>
      </c>
      <c r="F223" s="189" t="s">
        <v>786</v>
      </c>
      <c r="G223" s="189" t="s">
        <v>748</v>
      </c>
      <c r="H223" s="7" t="s">
        <v>1079</v>
      </c>
      <c r="I223" s="249">
        <v>1100</v>
      </c>
      <c r="J223" s="249">
        <v>1500</v>
      </c>
      <c r="K223" s="38">
        <f>ROUND(I223*J223,0)</f>
        <v>1650000</v>
      </c>
      <c r="L223" s="191" t="s">
        <v>262</v>
      </c>
      <c r="M223" s="191" t="s">
        <v>172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IF(OR(TH!L223=TH!$U$7,M223=TH!$U$7),"x","")</f>
        <v/>
      </c>
      <c r="V223" s="52" t="str">
        <f>IF(AND(B223&gt;='IN-NX'!$P$3,B223&lt;='IN-NX'!$Q$3,'IN-NX'!$D$7=D223,OR(LEFT(L223,2)="15",AND(LEFT(M223,2)&lt;&gt;"15",LEFT(M223,2)&lt;&gt;"33"))),"x","")</f>
        <v/>
      </c>
      <c r="W223" s="52" t="str">
        <f>IF(AND(OR(LEFT(TH!L223,2)="15",LEFT(TH!M223,2)="15"),'152-CT'!$J$8=TH!F223),"x","")</f>
        <v/>
      </c>
      <c r="X223" s="52" t="str">
        <f>IF(AND(OR(LEFT(TH!L223,2)="15",LEFT(TH!M223,2)="15"),TK!$E$7=TH!F223),"x","")</f>
        <v/>
      </c>
      <c r="Y223" s="52" t="str">
        <f>IF(AND(B223&lt;=NKC!$N$8,B223&gt;=NKC!$M$8),"x","")</f>
        <v/>
      </c>
      <c r="Z223" s="208"/>
      <c r="AA223" s="587"/>
      <c r="AB223" s="195"/>
    </row>
    <row r="224" spans="1:28" s="767" customFormat="1" ht="15.75" customHeight="1">
      <c r="A224" s="201" t="str">
        <f>IF(B224&lt;&gt;"",IF(AND(B224&gt;=_TM1,B224&lt;=_TM2,OR(TH!L224="1111",TH!M224="1111")),TH!D224,""),"")</f>
        <v/>
      </c>
      <c r="B224" s="36">
        <f t="shared" si="11"/>
        <v>3</v>
      </c>
      <c r="C224" s="188">
        <f t="shared" si="12"/>
        <v>41359</v>
      </c>
      <c r="D224" s="181" t="s">
        <v>1037</v>
      </c>
      <c r="E224" s="188">
        <v>41359</v>
      </c>
      <c r="F224" s="189" t="s">
        <v>693</v>
      </c>
      <c r="G224" s="189" t="s">
        <v>748</v>
      </c>
      <c r="H224" s="7" t="s">
        <v>1079</v>
      </c>
      <c r="I224" s="249"/>
      <c r="J224" s="249"/>
      <c r="K224" s="38">
        <v>1103790</v>
      </c>
      <c r="L224" s="191" t="s">
        <v>262</v>
      </c>
      <c r="M224" s="191" t="s">
        <v>425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IF(OR(TH!L224=TH!$U$7,M224=TH!$U$7),"x","")</f>
        <v/>
      </c>
      <c r="V224" s="52" t="str">
        <f>IF(AND(B224&gt;='IN-NX'!$P$3,B224&lt;='IN-NX'!$Q$3,'IN-NX'!$D$7=D224,OR(LEFT(L224,2)="15",AND(LEFT(M224,2)&lt;&gt;"15",LEFT(M224,2)&lt;&gt;"33"))),"x","")</f>
        <v/>
      </c>
      <c r="W224" s="52" t="str">
        <f>IF(AND(OR(LEFT(TH!L224,2)="15",LEFT(TH!M224,2)="15"),'152-CT'!$J$8=TH!F224),"x","")</f>
        <v/>
      </c>
      <c r="X224" s="52" t="str">
        <f>IF(AND(OR(LEFT(TH!L224,2)="15",LEFT(TH!M224,2)="15"),TK!$E$7=TH!F224),"x","")</f>
        <v/>
      </c>
      <c r="Y224" s="52" t="str">
        <f>IF(AND(B224&lt;=NKC!$N$8,B224&gt;=NKC!$M$8),"x","")</f>
        <v/>
      </c>
      <c r="Z224" s="208"/>
      <c r="AA224" s="587" t="str">
        <f>IF(VLOOKUP(H224,DS_131,1,0)&lt;&gt;"","","x")</f>
        <v/>
      </c>
      <c r="AB224" s="195"/>
    </row>
    <row r="225" spans="1:28" s="767" customFormat="1" ht="15.75" customHeight="1">
      <c r="A225" s="201" t="str">
        <f>IF(B225&lt;&gt;"",IF(AND(B225&gt;=_TM1,B225&lt;=_TM2,OR(TH!L225="1111",TH!M225="1111")),TH!D225,""),"")</f>
        <v/>
      </c>
      <c r="B225" s="36">
        <f t="shared" si="11"/>
        <v>3</v>
      </c>
      <c r="C225" s="188">
        <f t="shared" si="12"/>
        <v>41359</v>
      </c>
      <c r="D225" s="181" t="s">
        <v>1267</v>
      </c>
      <c r="E225" s="188">
        <v>41359</v>
      </c>
      <c r="F225" s="186" t="s">
        <v>337</v>
      </c>
      <c r="G225" s="189" t="s">
        <v>748</v>
      </c>
      <c r="H225" s="7" t="s">
        <v>1079</v>
      </c>
      <c r="I225" s="249"/>
      <c r="J225" s="249"/>
      <c r="K225" s="38">
        <v>12141690</v>
      </c>
      <c r="L225" s="191" t="s">
        <v>47</v>
      </c>
      <c r="M225" s="191" t="s">
        <v>262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IF(OR(TH!L225=TH!$U$7,M225=TH!$U$7),"x","")</f>
        <v/>
      </c>
      <c r="V225" s="52" t="str">
        <f>IF(AND(B225&gt;='IN-NX'!$P$3,B225&lt;='IN-NX'!$Q$3,'IN-NX'!$D$7=D225,OR(LEFT(L225,2)="15",AND(LEFT(M225,2)&lt;&gt;"15",LEFT(M225,2)&lt;&gt;"33"))),"x","")</f>
        <v/>
      </c>
      <c r="W225" s="52" t="str">
        <f>IF(AND(OR(LEFT(TH!L225,2)="15",LEFT(TH!M225,2)="15"),'152-CT'!$J$8=TH!F225),"x","")</f>
        <v/>
      </c>
      <c r="X225" s="52" t="str">
        <f>IF(AND(OR(LEFT(TH!L225,2)="15",LEFT(TH!M225,2)="15"),TK!$E$7=TH!F225),"x","")</f>
        <v/>
      </c>
      <c r="Y225" s="52" t="str">
        <f>IF(AND(B225&lt;=NKC!$N$8,B225&gt;=NKC!$M$8),"x","")</f>
        <v/>
      </c>
      <c r="Z225" s="208"/>
      <c r="AA225" s="587" t="str">
        <f>IF(VLOOKUP(H225,DS_131,1,0)&lt;&gt;"","","x")</f>
        <v/>
      </c>
      <c r="AB225" s="195"/>
    </row>
    <row r="226" spans="1:28" s="767" customFormat="1" ht="15.75" customHeight="1">
      <c r="A226" s="201" t="str">
        <f>IF(B226&lt;&gt;"",IF(AND(B226&gt;=_TM1,B226&lt;=_TM2,OR(TH!L226="1111",TH!M226="1111")),TH!D226,""),"")</f>
        <v/>
      </c>
      <c r="B226" s="36">
        <f t="shared" si="11"/>
        <v>3</v>
      </c>
      <c r="C226" s="188">
        <f t="shared" si="12"/>
        <v>41361</v>
      </c>
      <c r="D226" s="181" t="s">
        <v>1038</v>
      </c>
      <c r="E226" s="188">
        <v>41361</v>
      </c>
      <c r="F226" s="189" t="s">
        <v>745</v>
      </c>
      <c r="G226" s="189" t="s">
        <v>749</v>
      </c>
      <c r="H226" s="7" t="s">
        <v>549</v>
      </c>
      <c r="I226" s="249">
        <v>60</v>
      </c>
      <c r="J226" s="249">
        <v>26000</v>
      </c>
      <c r="K226" s="38">
        <f>ROUND(I226*J226,0)</f>
        <v>1560000</v>
      </c>
      <c r="L226" s="191" t="s">
        <v>262</v>
      </c>
      <c r="M226" s="191" t="s">
        <v>172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IF(OR(TH!L226=TH!$U$7,M226=TH!$U$7),"x","")</f>
        <v/>
      </c>
      <c r="V226" s="52" t="str">
        <f>IF(AND(B226&gt;='IN-NX'!$P$3,B226&lt;='IN-NX'!$Q$3,'IN-NX'!$D$7=D226,OR(LEFT(L226,2)="15",AND(LEFT(M226,2)&lt;&gt;"15",LEFT(M226,2)&lt;&gt;"33"))),"x","")</f>
        <v/>
      </c>
      <c r="W226" s="52" t="str">
        <f>IF(AND(OR(LEFT(TH!L226,2)="15",LEFT(TH!M226,2)="15"),'152-CT'!$J$8=TH!F226),"x","")</f>
        <v/>
      </c>
      <c r="X226" s="52" t="str">
        <f>IF(AND(OR(LEFT(TH!L226,2)="15",LEFT(TH!M226,2)="15"),TK!$E$7=TH!F226),"x","")</f>
        <v/>
      </c>
      <c r="Y226" s="52" t="str">
        <f>IF(AND(B226&lt;=NKC!$N$8,B226&gt;=NKC!$M$8),"x","")</f>
        <v/>
      </c>
      <c r="Z226" s="208"/>
      <c r="AA226" s="587"/>
      <c r="AB226" s="195"/>
    </row>
    <row r="227" spans="1:28" s="767" customFormat="1" ht="15.75" customHeight="1">
      <c r="A227" s="201" t="str">
        <f>IF(B227&lt;&gt;"",IF(AND(B227&gt;=_TM1,B227&lt;=_TM2,OR(TH!L227="1111",TH!M227="1111")),TH!D227,""),"")</f>
        <v/>
      </c>
      <c r="B227" s="36">
        <f t="shared" si="11"/>
        <v>3</v>
      </c>
      <c r="C227" s="188">
        <f t="shared" si="12"/>
        <v>41361</v>
      </c>
      <c r="D227" s="181" t="s">
        <v>1038</v>
      </c>
      <c r="E227" s="188">
        <v>41361</v>
      </c>
      <c r="F227" s="189" t="s">
        <v>693</v>
      </c>
      <c r="G227" s="480" t="s">
        <v>749</v>
      </c>
      <c r="H227" s="7" t="s">
        <v>549</v>
      </c>
      <c r="I227" s="249"/>
      <c r="J227" s="249"/>
      <c r="K227" s="38">
        <v>156000</v>
      </c>
      <c r="L227" s="191" t="s">
        <v>262</v>
      </c>
      <c r="M227" s="191" t="s">
        <v>425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IF(OR(TH!L227=TH!$U$7,M227=TH!$U$7),"x","")</f>
        <v/>
      </c>
      <c r="V227" s="52" t="str">
        <f>IF(AND(B227&gt;='IN-NX'!$P$3,B227&lt;='IN-NX'!$Q$3,'IN-NX'!$D$7=D227,OR(LEFT(L227,2)="15",AND(LEFT(M227,2)&lt;&gt;"15",LEFT(M227,2)&lt;&gt;"33"))),"x","")</f>
        <v/>
      </c>
      <c r="W227" s="52" t="str">
        <f>IF(AND(OR(LEFT(TH!L227,2)="15",LEFT(TH!M227,2)="15"),'152-CT'!$J$8=TH!F227),"x","")</f>
        <v/>
      </c>
      <c r="X227" s="52" t="str">
        <f>IF(AND(OR(LEFT(TH!L227,2)="15",LEFT(TH!M227,2)="15"),TK!$E$7=TH!F227),"x","")</f>
        <v/>
      </c>
      <c r="Y227" s="52" t="str">
        <f>IF(AND(B227&lt;=NKC!$N$8,B227&gt;=NKC!$M$8),"x","")</f>
        <v/>
      </c>
      <c r="Z227" s="208"/>
      <c r="AA227" s="587" t="str">
        <f>IF(VLOOKUP(H227,DS_131,1,0)&lt;&gt;"","","x")</f>
        <v/>
      </c>
      <c r="AB227" s="195"/>
    </row>
    <row r="228" spans="1:28" s="767" customFormat="1" ht="15.75" customHeight="1">
      <c r="A228" s="201" t="str">
        <f>IF(B228&lt;&gt;"",IF(AND(B228&gt;=_TM1,B228&lt;=_TM2,OR(TH!L228="1111",TH!M228="1111")),TH!D228,""),"")</f>
        <v/>
      </c>
      <c r="B228" s="36">
        <f t="shared" si="11"/>
        <v>3</v>
      </c>
      <c r="C228" s="188">
        <f t="shared" si="12"/>
        <v>41361</v>
      </c>
      <c r="D228" s="181" t="s">
        <v>1269</v>
      </c>
      <c r="E228" s="188">
        <v>41361</v>
      </c>
      <c r="F228" s="186" t="s">
        <v>337</v>
      </c>
      <c r="G228" s="480" t="s">
        <v>1332</v>
      </c>
      <c r="H228" s="7" t="s">
        <v>549</v>
      </c>
      <c r="I228" s="249"/>
      <c r="J228" s="249"/>
      <c r="K228" s="38">
        <v>17644440</v>
      </c>
      <c r="L228" s="191" t="s">
        <v>47</v>
      </c>
      <c r="M228" s="191" t="s">
        <v>262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IF(OR(TH!L228=TH!$U$7,M228=TH!$U$7),"x","")</f>
        <v/>
      </c>
      <c r="V228" s="52" t="str">
        <f>IF(AND(B228&gt;='IN-NX'!$P$3,B228&lt;='IN-NX'!$Q$3,'IN-NX'!$D$7=D228,OR(LEFT(L228,2)="15",AND(LEFT(M228,2)&lt;&gt;"15",LEFT(M228,2)&lt;&gt;"33"))),"x","")</f>
        <v/>
      </c>
      <c r="W228" s="52" t="str">
        <f>IF(AND(OR(LEFT(TH!L228,2)="15",LEFT(TH!M228,2)="15"),'152-CT'!$J$8=TH!F228),"x","")</f>
        <v/>
      </c>
      <c r="X228" s="52" t="str">
        <f>IF(AND(OR(LEFT(TH!L228,2)="15",LEFT(TH!M228,2)="15"),TK!$E$7=TH!F228),"x","")</f>
        <v/>
      </c>
      <c r="Y228" s="52" t="str">
        <f>IF(AND(B228&lt;=NKC!$N$8,B228&gt;=NKC!$M$8),"x","")</f>
        <v/>
      </c>
      <c r="Z228" s="208"/>
      <c r="AA228" s="587" t="str">
        <f>IF(VLOOKUP(H228,DS_131,1,0)&lt;&gt;"","","x")</f>
        <v/>
      </c>
      <c r="AB228" s="195"/>
    </row>
    <row r="229" spans="1:28" s="767" customFormat="1" ht="15.75" customHeight="1">
      <c r="A229" s="201" t="str">
        <f>IF(B229&lt;&gt;"",IF(AND(B229&gt;=_TM1,B229&lt;=_TM2,OR(TH!L229="1111",TH!M229="1111")),TH!D229,""),"")</f>
        <v/>
      </c>
      <c r="B229" s="36">
        <f t="shared" si="11"/>
        <v>3</v>
      </c>
      <c r="C229" s="188">
        <f t="shared" si="12"/>
        <v>41361</v>
      </c>
      <c r="D229" s="181" t="s">
        <v>1039</v>
      </c>
      <c r="E229" s="188">
        <v>41361</v>
      </c>
      <c r="F229" s="189" t="s">
        <v>723</v>
      </c>
      <c r="G229" s="189" t="s">
        <v>750</v>
      </c>
      <c r="H229" s="190" t="s">
        <v>472</v>
      </c>
      <c r="I229" s="249">
        <v>505</v>
      </c>
      <c r="J229" s="249">
        <v>12000</v>
      </c>
      <c r="K229" s="38">
        <f>ROUND(I229*J229,0)</f>
        <v>6060000</v>
      </c>
      <c r="L229" s="191" t="s">
        <v>262</v>
      </c>
      <c r="M229" s="191" t="s">
        <v>172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IF(OR(TH!L229=TH!$U$7,M229=TH!$U$7),"x","")</f>
        <v/>
      </c>
      <c r="V229" s="52" t="str">
        <f>IF(AND(B229&gt;='IN-NX'!$P$3,B229&lt;='IN-NX'!$Q$3,'IN-NX'!$D$7=D229,OR(LEFT(L229,2)="15",AND(LEFT(M229,2)&lt;&gt;"15",LEFT(M229,2)&lt;&gt;"33"))),"x","")</f>
        <v/>
      </c>
      <c r="W229" s="52" t="str">
        <f>IF(AND(OR(LEFT(TH!L229,2)="15",LEFT(TH!M229,2)="15"),'152-CT'!$J$8=TH!F229),"x","")</f>
        <v/>
      </c>
      <c r="X229" s="52" t="str">
        <f>IF(AND(OR(LEFT(TH!L229,2)="15",LEFT(TH!M229,2)="15"),TK!$E$7=TH!F229),"x","")</f>
        <v/>
      </c>
      <c r="Y229" s="52" t="str">
        <f>IF(AND(B229&lt;=NKC!$N$8,B229&gt;=NKC!$M$8),"x","")</f>
        <v/>
      </c>
      <c r="Z229" s="208"/>
      <c r="AA229" s="587"/>
      <c r="AB229" s="195"/>
    </row>
    <row r="230" spans="1:28" s="767" customFormat="1" ht="15.75" customHeight="1">
      <c r="A230" s="201" t="str">
        <f>IF(B230&lt;&gt;"",IF(AND(B230&gt;=_TM1,B230&lt;=_TM2,OR(TH!L230="1111",TH!M230="1111")),TH!D230,""),"")</f>
        <v/>
      </c>
      <c r="B230" s="36">
        <f t="shared" si="11"/>
        <v>3</v>
      </c>
      <c r="C230" s="188">
        <f t="shared" si="12"/>
        <v>41361</v>
      </c>
      <c r="D230" s="181" t="s">
        <v>1039</v>
      </c>
      <c r="E230" s="188">
        <v>41361</v>
      </c>
      <c r="F230" s="189" t="s">
        <v>751</v>
      </c>
      <c r="G230" s="189" t="s">
        <v>750</v>
      </c>
      <c r="H230" s="190" t="s">
        <v>472</v>
      </c>
      <c r="I230" s="249">
        <v>1990</v>
      </c>
      <c r="J230" s="249">
        <v>7500</v>
      </c>
      <c r="K230" s="38">
        <f>ROUND(I230*J230,0)</f>
        <v>14925000</v>
      </c>
      <c r="L230" s="191" t="s">
        <v>262</v>
      </c>
      <c r="M230" s="191" t="s">
        <v>172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IF(OR(TH!L230=TH!$U$7,M230=TH!$U$7),"x","")</f>
        <v/>
      </c>
      <c r="V230" s="52" t="str">
        <f>IF(AND(B230&gt;='IN-NX'!$P$3,B230&lt;='IN-NX'!$Q$3,'IN-NX'!$D$7=D230,OR(LEFT(L230,2)="15",AND(LEFT(M230,2)&lt;&gt;"15",LEFT(M230,2)&lt;&gt;"33"))),"x","")</f>
        <v/>
      </c>
      <c r="W230" s="52" t="str">
        <f>IF(AND(OR(LEFT(TH!L230,2)="15",LEFT(TH!M230,2)="15"),'152-CT'!$J$8=TH!F230),"x","")</f>
        <v/>
      </c>
      <c r="X230" s="52" t="str">
        <f>IF(AND(OR(LEFT(TH!L230,2)="15",LEFT(TH!M230,2)="15"),TK!$E$7=TH!F230),"x","")</f>
        <v/>
      </c>
      <c r="Y230" s="52" t="str">
        <f>IF(AND(B230&lt;=NKC!$N$8,B230&gt;=NKC!$M$8),"x","")</f>
        <v/>
      </c>
      <c r="Z230" s="208"/>
      <c r="AA230" s="587"/>
      <c r="AB230" s="195"/>
    </row>
    <row r="231" spans="1:28" s="767" customFormat="1" ht="15.75" customHeight="1">
      <c r="A231" s="201" t="str">
        <f>IF(B231&lt;&gt;"",IF(AND(B231&gt;=_TM1,B231&lt;=_TM2,OR(TH!L231="1111",TH!M231="1111")),TH!D231,""),"")</f>
        <v/>
      </c>
      <c r="B231" s="36">
        <f t="shared" si="11"/>
        <v>3</v>
      </c>
      <c r="C231" s="188">
        <f t="shared" si="12"/>
        <v>41361</v>
      </c>
      <c r="D231" s="181" t="s">
        <v>1039</v>
      </c>
      <c r="E231" s="188">
        <v>41361</v>
      </c>
      <c r="F231" s="189" t="s">
        <v>752</v>
      </c>
      <c r="G231" s="189" t="s">
        <v>750</v>
      </c>
      <c r="H231" s="190" t="s">
        <v>472</v>
      </c>
      <c r="I231" s="249">
        <v>310</v>
      </c>
      <c r="J231" s="249">
        <v>5200</v>
      </c>
      <c r="K231" s="38">
        <f>ROUND(I231*J231,0)</f>
        <v>1612000</v>
      </c>
      <c r="L231" s="191" t="s">
        <v>262</v>
      </c>
      <c r="M231" s="191" t="s">
        <v>172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IF(OR(TH!L231=TH!$U$7,M231=TH!$U$7),"x","")</f>
        <v/>
      </c>
      <c r="V231" s="52" t="str">
        <f>IF(AND(B231&gt;='IN-NX'!$P$3,B231&lt;='IN-NX'!$Q$3,'IN-NX'!$D$7=D231,OR(LEFT(L231,2)="15",AND(LEFT(M231,2)&lt;&gt;"15",LEFT(M231,2)&lt;&gt;"33"))),"x","")</f>
        <v/>
      </c>
      <c r="W231" s="52" t="str">
        <f>IF(AND(OR(LEFT(TH!L231,2)="15",LEFT(TH!M231,2)="15"),'152-CT'!$J$8=TH!F231),"x","")</f>
        <v/>
      </c>
      <c r="X231" s="52" t="str">
        <f>IF(AND(OR(LEFT(TH!L231,2)="15",LEFT(TH!M231,2)="15"),TK!$E$7=TH!F231),"x","")</f>
        <v/>
      </c>
      <c r="Y231" s="52" t="str">
        <f>IF(AND(B231&lt;=NKC!$N$8,B231&gt;=NKC!$M$8),"x","")</f>
        <v/>
      </c>
      <c r="Z231" s="208"/>
      <c r="AA231" s="587"/>
      <c r="AB231" s="195"/>
    </row>
    <row r="232" spans="1:28" s="767" customFormat="1" ht="15.75" customHeight="1">
      <c r="A232" s="201" t="str">
        <f>IF(B232&lt;&gt;"",IF(AND(B232&gt;=_TM1,B232&lt;=_TM2,OR(TH!L232="1111",TH!M232="1111")),TH!D232,""),"")</f>
        <v/>
      </c>
      <c r="B232" s="36">
        <f t="shared" si="11"/>
        <v>3</v>
      </c>
      <c r="C232" s="188">
        <f t="shared" si="12"/>
        <v>41361</v>
      </c>
      <c r="D232" s="181" t="s">
        <v>1039</v>
      </c>
      <c r="E232" s="188">
        <v>41361</v>
      </c>
      <c r="F232" s="189" t="s">
        <v>753</v>
      </c>
      <c r="G232" s="189" t="s">
        <v>750</v>
      </c>
      <c r="H232" s="7" t="s">
        <v>472</v>
      </c>
      <c r="I232" s="249">
        <v>305</v>
      </c>
      <c r="J232" s="249">
        <v>4600</v>
      </c>
      <c r="K232" s="38">
        <f>ROUND(I232*J232,0)</f>
        <v>1403000</v>
      </c>
      <c r="L232" s="191" t="s">
        <v>262</v>
      </c>
      <c r="M232" s="191" t="s">
        <v>172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IF(OR(TH!L232=TH!$U$7,M232=TH!$U$7),"x","")</f>
        <v/>
      </c>
      <c r="V232" s="52" t="str">
        <f>IF(AND(B232&gt;='IN-NX'!$P$3,B232&lt;='IN-NX'!$Q$3,'IN-NX'!$D$7=D232,OR(LEFT(L232,2)="15",AND(LEFT(M232,2)&lt;&gt;"15",LEFT(M232,2)&lt;&gt;"33"))),"x","")</f>
        <v/>
      </c>
      <c r="W232" s="52" t="str">
        <f>IF(AND(OR(LEFT(TH!L232,2)="15",LEFT(TH!M232,2)="15"),'152-CT'!$J$8=TH!F232),"x","")</f>
        <v/>
      </c>
      <c r="X232" s="52" t="str">
        <f>IF(AND(OR(LEFT(TH!L232,2)="15",LEFT(TH!M232,2)="15"),TK!$E$7=TH!F232),"x","")</f>
        <v/>
      </c>
      <c r="Y232" s="52" t="str">
        <f>IF(AND(B232&lt;=NKC!$N$8,B232&gt;=NKC!$M$8),"x","")</f>
        <v/>
      </c>
      <c r="Z232" s="208"/>
      <c r="AA232" s="587"/>
      <c r="AB232" s="195"/>
    </row>
    <row r="233" spans="1:28" s="767" customFormat="1" ht="15.75" customHeight="1">
      <c r="A233" s="201" t="str">
        <f>IF(B233&lt;&gt;"",IF(AND(B233&gt;=_TM1,B233&lt;=_TM2,OR(TH!L233="1111",TH!M233="1111")),TH!D233,""),"")</f>
        <v/>
      </c>
      <c r="B233" s="36">
        <f t="shared" si="11"/>
        <v>3</v>
      </c>
      <c r="C233" s="188">
        <f t="shared" si="12"/>
        <v>41361</v>
      </c>
      <c r="D233" s="181" t="s">
        <v>1039</v>
      </c>
      <c r="E233" s="188">
        <v>41361</v>
      </c>
      <c r="F233" s="189" t="s">
        <v>721</v>
      </c>
      <c r="G233" s="189" t="s">
        <v>750</v>
      </c>
      <c r="H233" s="7" t="s">
        <v>472</v>
      </c>
      <c r="I233" s="249">
        <v>500</v>
      </c>
      <c r="J233" s="249">
        <v>10600</v>
      </c>
      <c r="K233" s="38">
        <f>ROUND(I233*J233,0)</f>
        <v>5300000</v>
      </c>
      <c r="L233" s="191" t="s">
        <v>262</v>
      </c>
      <c r="M233" s="191" t="s">
        <v>172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IF(OR(TH!L233=TH!$U$7,M233=TH!$U$7),"x","")</f>
        <v/>
      </c>
      <c r="V233" s="52" t="str">
        <f>IF(AND(B233&gt;='IN-NX'!$P$3,B233&lt;='IN-NX'!$Q$3,'IN-NX'!$D$7=D233,OR(LEFT(L233,2)="15",AND(LEFT(M233,2)&lt;&gt;"15",LEFT(M233,2)&lt;&gt;"33"))),"x","")</f>
        <v/>
      </c>
      <c r="W233" s="52" t="str">
        <f>IF(AND(OR(LEFT(TH!L233,2)="15",LEFT(TH!M233,2)="15"),'152-CT'!$J$8=TH!F233),"x","")</f>
        <v/>
      </c>
      <c r="X233" s="52" t="str">
        <f>IF(AND(OR(LEFT(TH!L233,2)="15",LEFT(TH!M233,2)="15"),TK!$E$7=TH!F233),"x","")</f>
        <v/>
      </c>
      <c r="Y233" s="52" t="str">
        <f>IF(AND(B233&lt;=NKC!$N$8,B233&gt;=NKC!$M$8),"x","")</f>
        <v/>
      </c>
      <c r="Z233" s="208"/>
      <c r="AA233" s="587"/>
      <c r="AB233" s="195"/>
    </row>
    <row r="234" spans="1:28" s="767" customFormat="1" ht="15.75" customHeight="1">
      <c r="A234" s="201" t="str">
        <f>IF(B234&lt;&gt;"",IF(AND(B234&gt;=_TM1,B234&lt;=_TM2,OR(TH!L234="1111",TH!M234="1111")),TH!D234,""),"")</f>
        <v/>
      </c>
      <c r="B234" s="36">
        <f t="shared" si="11"/>
        <v>3</v>
      </c>
      <c r="C234" s="188">
        <f t="shared" si="12"/>
        <v>41361</v>
      </c>
      <c r="D234" s="181" t="s">
        <v>1039</v>
      </c>
      <c r="E234" s="188">
        <v>41361</v>
      </c>
      <c r="F234" s="189" t="s">
        <v>693</v>
      </c>
      <c r="G234" s="189" t="s">
        <v>750</v>
      </c>
      <c r="H234" s="7" t="s">
        <v>472</v>
      </c>
      <c r="I234" s="249"/>
      <c r="J234" s="249"/>
      <c r="K234" s="38">
        <v>2930000</v>
      </c>
      <c r="L234" s="191" t="s">
        <v>262</v>
      </c>
      <c r="M234" s="191" t="s">
        <v>425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IF(OR(TH!L234=TH!$U$7,M234=TH!$U$7),"x","")</f>
        <v/>
      </c>
      <c r="V234" s="52" t="str">
        <f>IF(AND(B234&gt;='IN-NX'!$P$3,B234&lt;='IN-NX'!$Q$3,'IN-NX'!$D$7=D234,OR(LEFT(L234,2)="15",AND(LEFT(M234,2)&lt;&gt;"15",LEFT(M234,2)&lt;&gt;"33"))),"x","")</f>
        <v/>
      </c>
      <c r="W234" s="52" t="str">
        <f>IF(AND(OR(LEFT(TH!L234,2)="15",LEFT(TH!M234,2)="15"),'152-CT'!$J$8=TH!F234),"x","")</f>
        <v/>
      </c>
      <c r="X234" s="52" t="str">
        <f>IF(AND(OR(LEFT(TH!L234,2)="15",LEFT(TH!M234,2)="15"),TK!$E$7=TH!F234),"x","")</f>
        <v/>
      </c>
      <c r="Y234" s="52" t="str">
        <f>IF(AND(B234&lt;=NKC!$N$8,B234&gt;=NKC!$M$8),"x","")</f>
        <v/>
      </c>
      <c r="Z234" s="208"/>
      <c r="AA234" s="587" t="str">
        <f>IF(VLOOKUP(H234,DS_131,1,0)&lt;&gt;"","","x")</f>
        <v/>
      </c>
      <c r="AB234" s="195"/>
    </row>
    <row r="235" spans="1:28" s="767" customFormat="1" ht="15.75" customHeight="1">
      <c r="A235" s="201" t="str">
        <f>IF(B235&lt;&gt;"",IF(AND(B235&gt;=_TM1,B235&lt;=_TM2,OR(TH!L235="1111",TH!M235="1111")),TH!D235,""),"")</f>
        <v/>
      </c>
      <c r="B235" s="36">
        <f t="shared" si="11"/>
        <v>3</v>
      </c>
      <c r="C235" s="181">
        <f t="shared" si="12"/>
        <v>41362</v>
      </c>
      <c r="D235" s="181" t="s">
        <v>1279</v>
      </c>
      <c r="E235" s="181">
        <v>41362</v>
      </c>
      <c r="F235" s="186" t="s">
        <v>431</v>
      </c>
      <c r="G235" s="657" t="s">
        <v>474</v>
      </c>
      <c r="H235" s="7" t="s">
        <v>368</v>
      </c>
      <c r="I235" s="249"/>
      <c r="J235" s="249"/>
      <c r="K235" s="595">
        <v>1560000</v>
      </c>
      <c r="L235" s="596" t="s">
        <v>162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IF(OR(TH!L235=TH!$U$7,M235=TH!$U$7),"x","")</f>
        <v/>
      </c>
      <c r="V235" s="52" t="str">
        <f>IF(AND(B235&gt;='IN-NX'!$P$3,B235&lt;='IN-NX'!$Q$3,'IN-NX'!$D$7=D235,OR(LEFT(L235,2)="15",AND(LEFT(M235,2)&lt;&gt;"15",LEFT(M235,2)&lt;&gt;"33"))),"x","")</f>
        <v/>
      </c>
      <c r="W235" s="52" t="str">
        <f>IF(AND(OR(LEFT(TH!L235,2)="15",LEFT(TH!M235,2)="15"),'152-CT'!$J$8=TH!F235),"x","")</f>
        <v/>
      </c>
      <c r="X235" s="52" t="str">
        <f>IF(AND(OR(LEFT(TH!L235,2)="15",LEFT(TH!M235,2)="15"),TK!$E$7=TH!F235),"x","")</f>
        <v/>
      </c>
      <c r="Y235" s="52" t="str">
        <f>IF(AND(B235&lt;=NKC!$N$8,B235&gt;=NKC!$M$8),"x","")</f>
        <v/>
      </c>
      <c r="Z235" s="587">
        <v>3</v>
      </c>
      <c r="AA235" s="587"/>
      <c r="AB235" s="587"/>
    </row>
    <row r="236" spans="1:28" s="767" customFormat="1" ht="15.75" customHeight="1">
      <c r="A236" s="201" t="str">
        <f>IF(B236&lt;&gt;"",IF(AND(B236&gt;=_TM1,B236&lt;=_TM2,OR(TH!L236="1111",TH!M236="1111")),TH!D236,""),"")</f>
        <v/>
      </c>
      <c r="B236" s="36">
        <f t="shared" si="11"/>
        <v>3</v>
      </c>
      <c r="C236" s="181">
        <f t="shared" si="12"/>
        <v>41362</v>
      </c>
      <c r="D236" s="181" t="s">
        <v>1279</v>
      </c>
      <c r="E236" s="181">
        <v>41362</v>
      </c>
      <c r="F236" s="186" t="s">
        <v>344</v>
      </c>
      <c r="G236" s="657" t="s">
        <v>474</v>
      </c>
      <c r="H236" s="7" t="s">
        <v>368</v>
      </c>
      <c r="I236" s="249"/>
      <c r="J236" s="249"/>
      <c r="K236" s="595">
        <v>156000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IF(OR(TH!L236=TH!$U$7,M236=TH!$U$7),"x","")</f>
        <v/>
      </c>
      <c r="V236" s="52" t="str">
        <f>IF(AND(B236&gt;='IN-NX'!$P$3,B236&lt;='IN-NX'!$Q$3,'IN-NX'!$D$7=D236,OR(LEFT(L236,2)="15",AND(LEFT(M236,2)&lt;&gt;"15",LEFT(M236,2)&lt;&gt;"33"))),"x","")</f>
        <v/>
      </c>
      <c r="W236" s="52" t="str">
        <f>IF(AND(OR(LEFT(TH!L236,2)="15",LEFT(TH!M236,2)="15"),'152-CT'!$J$8=TH!F236),"x","")</f>
        <v/>
      </c>
      <c r="X236" s="52" t="str">
        <f>IF(AND(OR(LEFT(TH!L236,2)="15",LEFT(TH!M236,2)="15"),TK!$E$7=TH!F236),"x","")</f>
        <v/>
      </c>
      <c r="Y236" s="52" t="str">
        <f>IF(AND(B236&lt;=NKC!$N$8,B236&gt;=NKC!$M$8),"x","")</f>
        <v/>
      </c>
      <c r="Z236" s="587">
        <v>3</v>
      </c>
      <c r="AA236" s="587"/>
      <c r="AB236" s="587"/>
    </row>
    <row r="237" spans="1:28" s="767" customFormat="1" ht="15.75" customHeight="1">
      <c r="A237" s="201" t="str">
        <f>IF(B237&lt;&gt;"",IF(AND(B237&gt;=_TM1,B237&lt;=_TM2,OR(TH!L237="1111",TH!M237="1111")),TH!D237,""),"")</f>
        <v/>
      </c>
      <c r="B237" s="36">
        <f t="shared" si="11"/>
        <v>3</v>
      </c>
      <c r="C237" s="181">
        <f t="shared" si="12"/>
        <v>41363</v>
      </c>
      <c r="D237" s="181" t="s">
        <v>1280</v>
      </c>
      <c r="E237" s="188">
        <v>41363</v>
      </c>
      <c r="F237" s="186" t="s">
        <v>431</v>
      </c>
      <c r="G237" s="480" t="s">
        <v>475</v>
      </c>
      <c r="H237" s="7" t="s">
        <v>368</v>
      </c>
      <c r="I237" s="249"/>
      <c r="J237" s="249"/>
      <c r="K237" s="595">
        <v>1320000</v>
      </c>
      <c r="L237" s="596" t="s">
        <v>162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IF(OR(TH!L237=TH!$U$7,M237=TH!$U$7),"x","")</f>
        <v/>
      </c>
      <c r="V237" s="52" t="str">
        <f>IF(AND(B237&gt;='IN-NX'!$P$3,B237&lt;='IN-NX'!$Q$3,'IN-NX'!$D$7=D237,OR(LEFT(L237,2)="15",AND(LEFT(M237,2)&lt;&gt;"15",LEFT(M237,2)&lt;&gt;"33"))),"x","")</f>
        <v/>
      </c>
      <c r="W237" s="52" t="str">
        <f>IF(AND(OR(LEFT(TH!L237,2)="15",LEFT(TH!M237,2)="15"),'152-CT'!$J$8=TH!F237),"x","")</f>
        <v/>
      </c>
      <c r="X237" s="52" t="str">
        <f>IF(AND(OR(LEFT(TH!L237,2)="15",LEFT(TH!M237,2)="15"),TK!$E$7=TH!F237),"x","")</f>
        <v/>
      </c>
      <c r="Y237" s="52" t="str">
        <f>IF(AND(B237&lt;=NKC!$N$8,B237&gt;=NKC!$M$8),"x","")</f>
        <v/>
      </c>
      <c r="Z237" s="587">
        <v>3</v>
      </c>
      <c r="AA237" s="587"/>
      <c r="AB237" s="587"/>
    </row>
    <row r="238" spans="1:28" s="767" customFormat="1" ht="15.75" customHeight="1">
      <c r="A238" s="201" t="str">
        <f>IF(B238&lt;&gt;"",IF(AND(B238&gt;=_TM1,B238&lt;=_TM2,OR(TH!L238="1111",TH!M238="1111")),TH!D238,""),"")</f>
        <v/>
      </c>
      <c r="B238" s="36">
        <f t="shared" si="11"/>
        <v>3</v>
      </c>
      <c r="C238" s="181">
        <f t="shared" si="12"/>
        <v>41363</v>
      </c>
      <c r="D238" s="181" t="s">
        <v>1280</v>
      </c>
      <c r="E238" s="188">
        <v>41363</v>
      </c>
      <c r="F238" s="186" t="s">
        <v>344</v>
      </c>
      <c r="G238" s="480" t="s">
        <v>475</v>
      </c>
      <c r="H238" s="7" t="s">
        <v>368</v>
      </c>
      <c r="I238" s="250"/>
      <c r="J238" s="250"/>
      <c r="K238" s="595">
        <v>132000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IF(OR(TH!L238=TH!$U$7,M238=TH!$U$7),"x","")</f>
        <v/>
      </c>
      <c r="V238" s="52" t="str">
        <f>IF(AND(B238&gt;='IN-NX'!$P$3,B238&lt;='IN-NX'!$Q$3,'IN-NX'!$D$7=D238,OR(LEFT(L238,2)="15",AND(LEFT(M238,2)&lt;&gt;"15",LEFT(M238,2)&lt;&gt;"33"))),"x","")</f>
        <v/>
      </c>
      <c r="W238" s="52" t="str">
        <f>IF(AND(OR(LEFT(TH!L238,2)="15",LEFT(TH!M238,2)="15"),'152-CT'!$J$8=TH!F238),"x","")</f>
        <v/>
      </c>
      <c r="X238" s="52" t="str">
        <f>IF(AND(OR(LEFT(TH!L238,2)="15",LEFT(TH!M238,2)="15"),TK!$E$7=TH!F238),"x","")</f>
        <v/>
      </c>
      <c r="Y238" s="52" t="str">
        <f>IF(AND(B238&lt;=NKC!$N$8,B238&gt;=NKC!$M$8),"x","")</f>
        <v/>
      </c>
      <c r="Z238" s="587">
        <v>3</v>
      </c>
      <c r="AA238" s="587"/>
      <c r="AB238" s="587"/>
    </row>
    <row r="239" spans="1:28" s="767" customFormat="1" ht="15.75" customHeight="1">
      <c r="A239" s="201" t="str">
        <f>IF(B239&lt;&gt;"",IF(AND(B239&gt;=_TM1,B239&lt;=_TM2,OR(TH!L239="1111",TH!M239="1111")),TH!D239,""),"")</f>
        <v/>
      </c>
      <c r="B239" s="36">
        <f t="shared" si="11"/>
        <v>3</v>
      </c>
      <c r="C239" s="188">
        <f t="shared" si="12"/>
        <v>41363</v>
      </c>
      <c r="D239" s="181" t="s">
        <v>1040</v>
      </c>
      <c r="E239" s="188">
        <v>41363</v>
      </c>
      <c r="F239" s="189" t="s">
        <v>690</v>
      </c>
      <c r="G239" s="189" t="s">
        <v>754</v>
      </c>
      <c r="H239" s="7" t="s">
        <v>468</v>
      </c>
      <c r="I239" s="249">
        <v>1280</v>
      </c>
      <c r="J239" s="249">
        <v>6000</v>
      </c>
      <c r="K239" s="38">
        <f>ROUND(I239*J239,0)</f>
        <v>7680000</v>
      </c>
      <c r="L239" s="191" t="s">
        <v>262</v>
      </c>
      <c r="M239" s="191" t="s">
        <v>172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IF(OR(TH!L239=TH!$U$7,M239=TH!$U$7),"x","")</f>
        <v/>
      </c>
      <c r="V239" s="52" t="str">
        <f>IF(AND(B239&gt;='IN-NX'!$P$3,B239&lt;='IN-NX'!$Q$3,'IN-NX'!$D$7=D239,OR(LEFT(L239,2)="15",AND(LEFT(M239,2)&lt;&gt;"15",LEFT(M239,2)&lt;&gt;"33"))),"x","")</f>
        <v/>
      </c>
      <c r="W239" s="52" t="str">
        <f>IF(AND(OR(LEFT(TH!L239,2)="15",LEFT(TH!M239,2)="15"),'152-CT'!$J$8=TH!F239),"x","")</f>
        <v/>
      </c>
      <c r="X239" s="52" t="str">
        <f>IF(AND(OR(LEFT(TH!L239,2)="15",LEFT(TH!M239,2)="15"),TK!$E$7=TH!F239),"x","")</f>
        <v/>
      </c>
      <c r="Y239" s="52" t="str">
        <f>IF(AND(B239&lt;=NKC!$N$8,B239&gt;=NKC!$M$8),"x","")</f>
        <v/>
      </c>
      <c r="Z239" s="208"/>
      <c r="AA239" s="587"/>
      <c r="AB239" s="195"/>
    </row>
    <row r="240" spans="1:28" s="767" customFormat="1" ht="15.75" customHeight="1">
      <c r="A240" s="201" t="str">
        <f>IF(B240&lt;&gt;"",IF(AND(B240&gt;=_TM1,B240&lt;=_TM2,OR(TH!L240="1111",TH!M240="1111")),TH!D240,""),"")</f>
        <v/>
      </c>
      <c r="B240" s="36">
        <f t="shared" si="11"/>
        <v>3</v>
      </c>
      <c r="C240" s="188">
        <f t="shared" si="12"/>
        <v>41363</v>
      </c>
      <c r="D240" s="181" t="s">
        <v>1040</v>
      </c>
      <c r="E240" s="188">
        <v>41363</v>
      </c>
      <c r="F240" s="189" t="s">
        <v>693</v>
      </c>
      <c r="G240" s="189" t="s">
        <v>754</v>
      </c>
      <c r="H240" s="7" t="s">
        <v>468</v>
      </c>
      <c r="I240" s="249"/>
      <c r="J240" s="249"/>
      <c r="K240" s="38">
        <v>768000</v>
      </c>
      <c r="L240" s="191" t="s">
        <v>262</v>
      </c>
      <c r="M240" s="191" t="s">
        <v>425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IF(OR(TH!L240=TH!$U$7,M240=TH!$U$7),"x","")</f>
        <v/>
      </c>
      <c r="V240" s="52" t="str">
        <f>IF(AND(B240&gt;='IN-NX'!$P$3,B240&lt;='IN-NX'!$Q$3,'IN-NX'!$D$7=D240,OR(LEFT(L240,2)="15",AND(LEFT(M240,2)&lt;&gt;"15",LEFT(M240,2)&lt;&gt;"33"))),"x","")</f>
        <v/>
      </c>
      <c r="W240" s="52" t="str">
        <f>IF(AND(OR(LEFT(TH!L240,2)="15",LEFT(TH!M240,2)="15"),'152-CT'!$J$8=TH!F240),"x","")</f>
        <v/>
      </c>
      <c r="X240" s="52" t="str">
        <f>IF(AND(OR(LEFT(TH!L240,2)="15",LEFT(TH!M240,2)="15"),TK!$E$7=TH!F240),"x","")</f>
        <v/>
      </c>
      <c r="Y240" s="52" t="str">
        <f>IF(AND(B240&lt;=NKC!$N$8,B240&gt;=NKC!$M$8),"x","")</f>
        <v/>
      </c>
      <c r="Z240" s="208"/>
      <c r="AA240" s="587" t="str">
        <f>IF(VLOOKUP(H240,DS_131,1,0)&lt;&gt;"","","x")</f>
        <v/>
      </c>
      <c r="AB240" s="195"/>
    </row>
    <row r="241" spans="1:28" s="767" customFormat="1" ht="15.75" customHeight="1">
      <c r="A241" s="201" t="str">
        <f>IF(B241&lt;&gt;"",IF(AND(B241&gt;=_TM1,B241&lt;=_TM2,OR(TH!L241="1111",TH!M241="1111")),TH!D241,""),"")</f>
        <v/>
      </c>
      <c r="B241" s="36">
        <f t="shared" si="11"/>
        <v>3</v>
      </c>
      <c r="C241" s="188">
        <f t="shared" si="12"/>
        <v>41363</v>
      </c>
      <c r="D241" s="181" t="s">
        <v>1041</v>
      </c>
      <c r="E241" s="188">
        <v>41363</v>
      </c>
      <c r="F241" s="189" t="s">
        <v>1103</v>
      </c>
      <c r="G241" s="189" t="s">
        <v>755</v>
      </c>
      <c r="H241" s="7" t="s">
        <v>427</v>
      </c>
      <c r="I241" s="249">
        <v>1200</v>
      </c>
      <c r="J241" s="249">
        <v>6350</v>
      </c>
      <c r="K241" s="38">
        <f>ROUND(I241*J241,0)</f>
        <v>7620000</v>
      </c>
      <c r="L241" s="191" t="s">
        <v>262</v>
      </c>
      <c r="M241" s="191" t="s">
        <v>172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IF(OR(TH!L241=TH!$U$7,M241=TH!$U$7),"x","")</f>
        <v/>
      </c>
      <c r="V241" s="52" t="str">
        <f>IF(AND(B241&gt;='IN-NX'!$P$3,B241&lt;='IN-NX'!$Q$3,'IN-NX'!$D$7=D241,OR(LEFT(L241,2)="15",AND(LEFT(M241,2)&lt;&gt;"15",LEFT(M241,2)&lt;&gt;"33"))),"x","")</f>
        <v/>
      </c>
      <c r="W241" s="52" t="str">
        <f>IF(AND(OR(LEFT(TH!L241,2)="15",LEFT(TH!M241,2)="15"),'152-CT'!$J$8=TH!F241),"x","")</f>
        <v/>
      </c>
      <c r="X241" s="52" t="str">
        <f>IF(AND(OR(LEFT(TH!L241,2)="15",LEFT(TH!M241,2)="15"),TK!$E$7=TH!F241),"x","")</f>
        <v/>
      </c>
      <c r="Y241" s="52" t="str">
        <f>IF(AND(B241&lt;=NKC!$N$8,B241&gt;=NKC!$M$8),"x","")</f>
        <v/>
      </c>
      <c r="Z241" s="208"/>
      <c r="AA241" s="587"/>
      <c r="AB241" s="195"/>
    </row>
    <row r="242" spans="1:28" s="767" customFormat="1" ht="15.75" customHeight="1">
      <c r="A242" s="201" t="str">
        <f>IF(B242&lt;&gt;"",IF(AND(B242&gt;=_TM1,B242&lt;=_TM2,OR(TH!L242="1111",TH!M242="1111")),TH!D242,""),"")</f>
        <v/>
      </c>
      <c r="B242" s="36">
        <f t="shared" si="11"/>
        <v>3</v>
      </c>
      <c r="C242" s="188">
        <f t="shared" si="12"/>
        <v>41363</v>
      </c>
      <c r="D242" s="181" t="s">
        <v>1041</v>
      </c>
      <c r="E242" s="188">
        <v>41363</v>
      </c>
      <c r="F242" s="189" t="s">
        <v>693</v>
      </c>
      <c r="G242" s="189" t="s">
        <v>755</v>
      </c>
      <c r="H242" s="7" t="s">
        <v>427</v>
      </c>
      <c r="I242" s="249"/>
      <c r="J242" s="249"/>
      <c r="K242" s="38">
        <v>762000</v>
      </c>
      <c r="L242" s="191" t="s">
        <v>262</v>
      </c>
      <c r="M242" s="191" t="s">
        <v>425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IF(OR(TH!L242=TH!$U$7,M242=TH!$U$7),"x","")</f>
        <v/>
      </c>
      <c r="V242" s="52" t="str">
        <f>IF(AND(B242&gt;='IN-NX'!$P$3,B242&lt;='IN-NX'!$Q$3,'IN-NX'!$D$7=D242,OR(LEFT(L242,2)="15",AND(LEFT(M242,2)&lt;&gt;"15",LEFT(M242,2)&lt;&gt;"33"))),"x","")</f>
        <v/>
      </c>
      <c r="W242" s="52" t="str">
        <f>IF(AND(OR(LEFT(TH!L242,2)="15",LEFT(TH!M242,2)="15"),'152-CT'!$J$8=TH!F242),"x","")</f>
        <v/>
      </c>
      <c r="X242" s="52" t="str">
        <f>IF(AND(OR(LEFT(TH!L242,2)="15",LEFT(TH!M242,2)="15"),TK!$E$7=TH!F242),"x","")</f>
        <v/>
      </c>
      <c r="Y242" s="52" t="str">
        <f>IF(AND(B242&lt;=NKC!$N$8,B242&gt;=NKC!$M$8),"x","")</f>
        <v/>
      </c>
      <c r="Z242" s="208"/>
      <c r="AA242" s="587" t="str">
        <f>IF(VLOOKUP(H242,DS_131,1,0)&lt;&gt;"","","x")</f>
        <v/>
      </c>
      <c r="AB242" s="195"/>
    </row>
    <row r="243" spans="1:28" s="767" customFormat="1" ht="15.75" customHeight="1">
      <c r="A243" s="201" t="str">
        <f>IF(B243&lt;&gt;"",IF(AND(B243&gt;=_TM1,B243&lt;=_TM2,OR(TH!L243="1111",TH!M243="1111")),TH!D243,""),"")</f>
        <v/>
      </c>
      <c r="B243" s="36">
        <f t="shared" si="11"/>
        <v>3</v>
      </c>
      <c r="C243" s="771">
        <f t="shared" si="12"/>
        <v>41364</v>
      </c>
      <c r="D243" s="771" t="s">
        <v>339</v>
      </c>
      <c r="E243" s="771">
        <v>41364</v>
      </c>
      <c r="F243" s="696" t="s">
        <v>1255</v>
      </c>
      <c r="G243" s="697"/>
      <c r="H243" s="609"/>
      <c r="I243" s="477"/>
      <c r="J243" s="477"/>
      <c r="K243" s="698">
        <v>5880000</v>
      </c>
      <c r="L243" s="699" t="s">
        <v>83</v>
      </c>
      <c r="M243" s="699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IF(OR(TH!L243=TH!$U$7,M243=TH!$U$7),"x","")</f>
        <v>x</v>
      </c>
      <c r="V243" s="52" t="str">
        <f>IF(AND(B243&gt;='IN-NX'!$P$3,B243&lt;='IN-NX'!$Q$3,'IN-NX'!$D$7=D243,OR(LEFT(L243,2)="15",AND(LEFT(M243,2)&lt;&gt;"15",LEFT(M243,2)&lt;&gt;"33"))),"x","")</f>
        <v/>
      </c>
      <c r="W243" s="52" t="str">
        <f>IF(AND(OR(LEFT(TH!L243,2)="15",LEFT(TH!M243,2)="15"),'152-CT'!$J$8=TH!F243),"x","")</f>
        <v/>
      </c>
      <c r="X243" s="52" t="str">
        <f>IF(AND(OR(LEFT(TH!L243,2)="15",LEFT(TH!M243,2)="15"),TK!$E$7=TH!F243),"x","")</f>
        <v/>
      </c>
      <c r="Y243" s="52" t="str">
        <f>IF(AND(B243&lt;=NKC!$N$8,B243&gt;=NKC!$M$8),"x","")</f>
        <v/>
      </c>
      <c r="Z243" s="195"/>
      <c r="AA243" s="195"/>
      <c r="AB243" s="195"/>
    </row>
    <row r="244" spans="1:28" s="767" customFormat="1" ht="15.75" customHeight="1">
      <c r="A244" s="201" t="str">
        <f>IF(B244&lt;&gt;"",IF(AND(B244&gt;=_TM1,B244&lt;=_TM2,OR(TH!L244="1111",TH!M244="1111")),TH!D244,""),"")</f>
        <v/>
      </c>
      <c r="B244" s="36">
        <f t="shared" si="11"/>
        <v>3</v>
      </c>
      <c r="C244" s="771">
        <f t="shared" si="12"/>
        <v>41364</v>
      </c>
      <c r="D244" s="771" t="s">
        <v>339</v>
      </c>
      <c r="E244" s="771">
        <v>41364</v>
      </c>
      <c r="F244" s="696" t="s">
        <v>1256</v>
      </c>
      <c r="G244" s="697"/>
      <c r="H244" s="609"/>
      <c r="I244" s="477"/>
      <c r="J244" s="477"/>
      <c r="K244" s="698">
        <v>7570000</v>
      </c>
      <c r="L244" s="699" t="s">
        <v>162</v>
      </c>
      <c r="M244" s="699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IF(OR(TH!L244=TH!$U$7,M244=TH!$U$7),"x","")</f>
        <v/>
      </c>
      <c r="V244" s="52" t="str">
        <f>IF(AND(B244&gt;='IN-NX'!$P$3,B244&lt;='IN-NX'!$Q$3,'IN-NX'!$D$7=D244,OR(LEFT(L244,2)="15",AND(LEFT(M244,2)&lt;&gt;"15",LEFT(M244,2)&lt;&gt;"33"))),"x","")</f>
        <v/>
      </c>
      <c r="W244" s="52" t="str">
        <f>IF(AND(OR(LEFT(TH!L244,2)="15",LEFT(TH!M244,2)="15"),'152-CT'!$J$8=TH!F244),"x","")</f>
        <v/>
      </c>
      <c r="X244" s="52" t="str">
        <f>IF(AND(OR(LEFT(TH!L244,2)="15",LEFT(TH!M244,2)="15"),TK!$E$7=TH!F244),"x","")</f>
        <v/>
      </c>
      <c r="Y244" s="52" t="str">
        <f>IF(AND(B244&lt;=NKC!$N$8,B244&gt;=NKC!$M$8),"x","")</f>
        <v/>
      </c>
      <c r="Z244" s="195"/>
      <c r="AA244" s="195"/>
      <c r="AB244" s="195"/>
    </row>
    <row r="245" spans="1:28" s="767" customFormat="1" ht="15.75" customHeight="1">
      <c r="A245" s="201" t="str">
        <f>IF(B245&lt;&gt;"",IF(AND(B245&gt;=_TM1,B245&lt;=_TM2,OR(TH!L245="1111",TH!M245="1111")),TH!D245,""),"")</f>
        <v/>
      </c>
      <c r="B245" s="36">
        <f t="shared" si="11"/>
        <v>3</v>
      </c>
      <c r="C245" s="771">
        <f t="shared" si="12"/>
        <v>41364</v>
      </c>
      <c r="D245" s="771" t="s">
        <v>1281</v>
      </c>
      <c r="E245" s="771">
        <v>41364</v>
      </c>
      <c r="F245" s="696" t="str">
        <f>"Thanh toán tiền lương tháng "&amp;MONTH(E245)&amp;"/"&amp;YEAR(E245)</f>
        <v>Thanh toán tiền lương tháng 3/2013</v>
      </c>
      <c r="G245" s="697"/>
      <c r="H245" s="609" t="s">
        <v>364</v>
      </c>
      <c r="I245" s="477"/>
      <c r="J245" s="477"/>
      <c r="K245" s="698">
        <f>K243+K244</f>
        <v>13450000</v>
      </c>
      <c r="L245" s="699" t="s">
        <v>265</v>
      </c>
      <c r="M245" s="699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IF(OR(TH!L245=TH!$U$7,M245=TH!$U$7),"x","")</f>
        <v/>
      </c>
      <c r="V245" s="52" t="str">
        <f>IF(AND(B245&gt;='IN-NX'!$P$3,B245&lt;='IN-NX'!$Q$3,'IN-NX'!$D$7=D245,OR(LEFT(L245,2)="15",AND(LEFT(M245,2)&lt;&gt;"15",LEFT(M245,2)&lt;&gt;"33"))),"x","")</f>
        <v/>
      </c>
      <c r="W245" s="52" t="str">
        <f>IF(AND(OR(LEFT(TH!L245,2)="15",LEFT(TH!M245,2)="15"),'152-CT'!$J$8=TH!F245),"x","")</f>
        <v/>
      </c>
      <c r="X245" s="52" t="str">
        <f>IF(AND(OR(LEFT(TH!L245,2)="15",LEFT(TH!M245,2)="15"),TK!$E$7=TH!F245),"x","")</f>
        <v/>
      </c>
      <c r="Y245" s="52" t="str">
        <f>IF(AND(B245&lt;=NKC!$N$8,B245&gt;=NKC!$M$8),"x","")</f>
        <v/>
      </c>
      <c r="Z245" s="195"/>
      <c r="AA245" s="195"/>
      <c r="AB245" s="195"/>
    </row>
    <row r="246" spans="1:28" s="767" customFormat="1" ht="15.75" customHeight="1">
      <c r="A246" s="201" t="str">
        <f>IF(B246&lt;&gt;"",IF(AND(B246&gt;=_TM1,B246&lt;=_TM2,OR(TH!L246="1111",TH!M246="1111")),TH!D246,""),"")</f>
        <v/>
      </c>
      <c r="B246" s="36">
        <f t="shared" si="11"/>
        <v>4</v>
      </c>
      <c r="C246" s="181">
        <f t="shared" si="12"/>
        <v>41365</v>
      </c>
      <c r="D246" s="181" t="s">
        <v>336</v>
      </c>
      <c r="E246" s="188">
        <v>41365</v>
      </c>
      <c r="F246" s="186" t="s">
        <v>476</v>
      </c>
      <c r="G246" s="597" t="s">
        <v>332</v>
      </c>
      <c r="H246" s="7"/>
      <c r="I246" s="250"/>
      <c r="J246" s="251"/>
      <c r="K246" s="38">
        <v>30000</v>
      </c>
      <c r="L246" s="596" t="s">
        <v>83</v>
      </c>
      <c r="M246" s="596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>x</v>
      </c>
      <c r="U246" s="52" t="str">
        <f>IF(OR(TH!L246=TH!$U$7,M246=TH!$U$7),"x","")</f>
        <v>x</v>
      </c>
      <c r="V246" s="52" t="str">
        <f>IF(AND(B246&gt;='IN-NX'!$P$3,B246&lt;='IN-NX'!$Q$3,'IN-NX'!$D$7=D246,OR(LEFT(L246,2)="15",AND(LEFT(M246,2)&lt;&gt;"15",LEFT(M246,2)&lt;&gt;"33"))),"x","")</f>
        <v/>
      </c>
      <c r="W246" s="52" t="str">
        <f>IF(AND(OR(LEFT(TH!L246,2)="15",LEFT(TH!M246,2)="15"),'152-CT'!$J$8=TH!F246),"x","")</f>
        <v/>
      </c>
      <c r="X246" s="52" t="str">
        <f>IF(AND(OR(LEFT(TH!L246,2)="15",LEFT(TH!M246,2)="15"),TK!$E$7=TH!F246),"x","")</f>
        <v/>
      </c>
      <c r="Y246" s="52" t="str">
        <f>IF(AND(B246&lt;=NKC!$N$8,B246&gt;=NKC!$M$8),"x","")</f>
        <v/>
      </c>
      <c r="Z246" s="587"/>
      <c r="AA246" s="587"/>
      <c r="AB246" s="587"/>
    </row>
    <row r="247" spans="1:28" s="767" customFormat="1" ht="15.75" customHeight="1">
      <c r="A247" s="201" t="str">
        <f>IF(B247&lt;&gt;"",IF(AND(B247&gt;=_TM1,B247&lt;=_TM2,OR(TH!L247="1111",TH!M247="1111")),TH!D247,""),"")</f>
        <v/>
      </c>
      <c r="B247" s="36">
        <f t="shared" si="11"/>
        <v>4</v>
      </c>
      <c r="C247" s="181">
        <f t="shared" si="12"/>
        <v>41366</v>
      </c>
      <c r="D247" s="181" t="s">
        <v>335</v>
      </c>
      <c r="E247" s="188">
        <v>41366</v>
      </c>
      <c r="F247" s="186" t="s">
        <v>337</v>
      </c>
      <c r="G247" s="597" t="s">
        <v>332</v>
      </c>
      <c r="H247" s="7" t="s">
        <v>468</v>
      </c>
      <c r="I247" s="250"/>
      <c r="J247" s="251"/>
      <c r="K247" s="38">
        <v>30050350</v>
      </c>
      <c r="L247" s="596" t="s">
        <v>24</v>
      </c>
      <c r="M247" s="596" t="s">
        <v>262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IF(OR(TH!L247=TH!$U$7,M247=TH!$U$7),"x","")</f>
        <v/>
      </c>
      <c r="V247" s="52" t="str">
        <f>IF(AND(B247&gt;='IN-NX'!$P$3,B247&lt;='IN-NX'!$Q$3,'IN-NX'!$D$7=D247,OR(LEFT(L247,2)="15",AND(LEFT(M247,2)&lt;&gt;"15",LEFT(M247,2)&lt;&gt;"33"))),"x","")</f>
        <v/>
      </c>
      <c r="W247" s="52" t="str">
        <f>IF(AND(OR(LEFT(TH!L247,2)="15",LEFT(TH!M247,2)="15"),'152-CT'!$J$8=TH!F247),"x","")</f>
        <v/>
      </c>
      <c r="X247" s="52" t="str">
        <f>IF(AND(OR(LEFT(TH!L247,2)="15",LEFT(TH!M247,2)="15"),TK!$E$7=TH!F247),"x","")</f>
        <v/>
      </c>
      <c r="Y247" s="52" t="str">
        <f>IF(AND(B247&lt;=NKC!$N$8,B247&gt;=NKC!$M$8),"x","")</f>
        <v/>
      </c>
      <c r="Z247" s="208"/>
      <c r="AA247" s="587"/>
      <c r="AB247" s="587"/>
    </row>
    <row r="248" spans="1:28" s="767" customFormat="1" ht="15.75" customHeight="1">
      <c r="A248" s="201" t="str">
        <f>IF(B248&lt;&gt;"",IF(AND(B248&gt;=_TM1,B248&lt;=_TM2,OR(TH!L248="1111",TH!M248="1111")),TH!D248,""),"")</f>
        <v/>
      </c>
      <c r="B248" s="36">
        <f t="shared" si="11"/>
        <v>4</v>
      </c>
      <c r="C248" s="181">
        <f t="shared" si="12"/>
        <v>41367</v>
      </c>
      <c r="D248" s="181" t="s">
        <v>372</v>
      </c>
      <c r="E248" s="181">
        <v>41367</v>
      </c>
      <c r="F248" s="186" t="s">
        <v>469</v>
      </c>
      <c r="G248" s="597" t="s">
        <v>332</v>
      </c>
      <c r="H248" s="7" t="s">
        <v>464</v>
      </c>
      <c r="I248" s="248"/>
      <c r="J248" s="248"/>
      <c r="K248" s="595">
        <v>30000000</v>
      </c>
      <c r="L248" s="596" t="s">
        <v>47</v>
      </c>
      <c r="M248" s="596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>x</v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>x</v>
      </c>
      <c r="U248" s="52" t="str">
        <f>IF(OR(TH!L248=TH!$U$7,M248=TH!$U$7),"x","")</f>
        <v/>
      </c>
      <c r="V248" s="52" t="str">
        <f>IF(AND(B248&gt;='IN-NX'!$P$3,B248&lt;='IN-NX'!$Q$3,'IN-NX'!$D$7=D248,OR(LEFT(L248,2)="15",AND(LEFT(M248,2)&lt;&gt;"15",LEFT(M248,2)&lt;&gt;"33"))),"x","")</f>
        <v/>
      </c>
      <c r="W248" s="52" t="str">
        <f>IF(AND(OR(LEFT(TH!L248,2)="15",LEFT(TH!M248,2)="15"),'152-CT'!$J$8=TH!F248),"x","")</f>
        <v/>
      </c>
      <c r="X248" s="52" t="str">
        <f>IF(AND(OR(LEFT(TH!L248,2)="15",LEFT(TH!M248,2)="15"),TK!$E$7=TH!F248),"x","")</f>
        <v/>
      </c>
      <c r="Y248" s="52" t="str">
        <f>IF(AND(B248&lt;=NKC!$N$8,B248&gt;=NKC!$M$8),"x","")</f>
        <v/>
      </c>
      <c r="Z248" s="208"/>
      <c r="AA248" s="587"/>
      <c r="AB248" s="587"/>
    </row>
    <row r="249" spans="1:28" s="767" customFormat="1" ht="15.75" customHeight="1">
      <c r="A249" s="201" t="str">
        <f>IF(B249&lt;&gt;"",IF(AND(B249&gt;=_TM1,B249&lt;=_TM2,OR(TH!L249="1111",TH!M249="1111")),TH!D249,""),"")</f>
        <v/>
      </c>
      <c r="B249" s="36">
        <f t="shared" si="11"/>
        <v>4</v>
      </c>
      <c r="C249" s="188">
        <f t="shared" si="12"/>
        <v>41367</v>
      </c>
      <c r="D249" s="181" t="s">
        <v>1014</v>
      </c>
      <c r="E249" s="188">
        <v>41367</v>
      </c>
      <c r="F249" s="189" t="s">
        <v>1095</v>
      </c>
      <c r="G249" s="189" t="s">
        <v>756</v>
      </c>
      <c r="H249" s="7" t="s">
        <v>757</v>
      </c>
      <c r="I249" s="249">
        <v>515</v>
      </c>
      <c r="J249" s="249">
        <v>16380</v>
      </c>
      <c r="K249" s="38">
        <f>ROUND(I249*J249,0)</f>
        <v>8435700</v>
      </c>
      <c r="L249" s="191" t="s">
        <v>262</v>
      </c>
      <c r="M249" s="191" t="s">
        <v>172</v>
      </c>
      <c r="N249" s="52" t="str">
        <f>IF(AND('331-CT'!$E$7=TH!H249,OR(L249="331",M249="331")),"331",IF(AND(OR(L249="131",M249="131"),H249='131-CT'!$E$7),"131",""))</f>
        <v>131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IF(OR(TH!L249=TH!$U$7,M249=TH!$U$7),"x","")</f>
        <v/>
      </c>
      <c r="V249" s="52" t="str">
        <f>IF(AND(B249&gt;='IN-NX'!$P$3,B249&lt;='IN-NX'!$Q$3,'IN-NX'!$D$7=D249,OR(LEFT(L249,2)="15",AND(LEFT(M249,2)&lt;&gt;"15",LEFT(M249,2)&lt;&gt;"33"))),"x","")</f>
        <v/>
      </c>
      <c r="W249" s="52" t="str">
        <f>IF(AND(OR(LEFT(TH!L249,2)="15",LEFT(TH!M249,2)="15"),'152-CT'!$J$8=TH!F249),"x","")</f>
        <v/>
      </c>
      <c r="X249" s="52" t="str">
        <f>IF(AND(OR(LEFT(TH!L249,2)="15",LEFT(TH!M249,2)="15"),TK!$E$7=TH!F249),"x","")</f>
        <v/>
      </c>
      <c r="Y249" s="52" t="str">
        <f>IF(AND(B249&lt;=NKC!$N$8,B249&gt;=NKC!$M$8),"x","")</f>
        <v/>
      </c>
      <c r="Z249" s="208"/>
      <c r="AA249" s="587"/>
      <c r="AB249" s="195"/>
    </row>
    <row r="250" spans="1:28" s="767" customFormat="1" ht="15.75" customHeight="1">
      <c r="A250" s="201" t="str">
        <f>IF(B250&lt;&gt;"",IF(AND(B250&gt;=_TM1,B250&lt;=_TM2,OR(TH!L250="1111",TH!M250="1111")),TH!D250,""),"")</f>
        <v/>
      </c>
      <c r="B250" s="36">
        <f t="shared" si="11"/>
        <v>4</v>
      </c>
      <c r="C250" s="188">
        <f t="shared" si="12"/>
        <v>41367</v>
      </c>
      <c r="D250" s="181" t="s">
        <v>1014</v>
      </c>
      <c r="E250" s="188">
        <v>41367</v>
      </c>
      <c r="F250" s="189" t="s">
        <v>693</v>
      </c>
      <c r="G250" s="189" t="s">
        <v>756</v>
      </c>
      <c r="H250" s="7" t="s">
        <v>757</v>
      </c>
      <c r="I250" s="250"/>
      <c r="J250" s="250"/>
      <c r="K250" s="38">
        <v>843570</v>
      </c>
      <c r="L250" s="191" t="s">
        <v>262</v>
      </c>
      <c r="M250" s="191" t="s">
        <v>425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IF(OR(TH!L250=TH!$U$7,M250=TH!$U$7),"x","")</f>
        <v/>
      </c>
      <c r="V250" s="52" t="str">
        <f>IF(AND(B250&gt;='IN-NX'!$P$3,B250&lt;='IN-NX'!$Q$3,'IN-NX'!$D$7=D250,OR(LEFT(L250,2)="15",AND(LEFT(M250,2)&lt;&gt;"15",LEFT(M250,2)&lt;&gt;"33"))),"x","")</f>
        <v/>
      </c>
      <c r="W250" s="52" t="str">
        <f>IF(AND(OR(LEFT(TH!L250,2)="15",LEFT(TH!M250,2)="15"),'152-CT'!$J$8=TH!F250),"x","")</f>
        <v/>
      </c>
      <c r="X250" s="52" t="str">
        <f>IF(AND(OR(LEFT(TH!L250,2)="15",LEFT(TH!M250,2)="15"),TK!$E$7=TH!F250),"x","")</f>
        <v/>
      </c>
      <c r="Y250" s="52" t="str">
        <f>IF(AND(B250&lt;=NKC!$N$8,B250&gt;=NKC!$M$8),"x","")</f>
        <v/>
      </c>
      <c r="Z250" s="208"/>
      <c r="AA250" s="587" t="str">
        <f>IF(VLOOKUP(H250,DS_131,1,0)&lt;&gt;"","","x")</f>
        <v/>
      </c>
      <c r="AB250" s="195"/>
    </row>
    <row r="251" spans="1:28" s="767" customFormat="1" ht="15.75" customHeight="1">
      <c r="A251" s="201" t="str">
        <f>IF(B251&lt;&gt;"",IF(AND(B251&gt;=_TM1,B251&lt;=_TM2,OR(TH!L251="1111",TH!M251="1111")),TH!D251,""),"")</f>
        <v/>
      </c>
      <c r="B251" s="36">
        <f t="shared" si="11"/>
        <v>4</v>
      </c>
      <c r="C251" s="188">
        <f t="shared" si="12"/>
        <v>41368</v>
      </c>
      <c r="D251" s="181" t="s">
        <v>1015</v>
      </c>
      <c r="E251" s="188">
        <v>41368</v>
      </c>
      <c r="F251" s="189" t="s">
        <v>708</v>
      </c>
      <c r="G251" s="480" t="s">
        <v>758</v>
      </c>
      <c r="H251" s="190" t="s">
        <v>710</v>
      </c>
      <c r="I251" s="249">
        <v>500</v>
      </c>
      <c r="J251" s="249">
        <v>8000</v>
      </c>
      <c r="K251" s="38">
        <f>ROUND(I251*J251,0)</f>
        <v>4000000</v>
      </c>
      <c r="L251" s="191" t="s">
        <v>262</v>
      </c>
      <c r="M251" s="191" t="s">
        <v>172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IF(OR(TH!L251=TH!$U$7,M251=TH!$U$7),"x","")</f>
        <v/>
      </c>
      <c r="V251" s="52" t="str">
        <f>IF(AND(B251&gt;='IN-NX'!$P$3,B251&lt;='IN-NX'!$Q$3,'IN-NX'!$D$7=D251,OR(LEFT(L251,2)="15",AND(LEFT(M251,2)&lt;&gt;"15",LEFT(M251,2)&lt;&gt;"33"))),"x","")</f>
        <v/>
      </c>
      <c r="W251" s="52" t="str">
        <f>IF(AND(OR(LEFT(TH!L251,2)="15",LEFT(TH!M251,2)="15"),'152-CT'!$J$8=TH!F251),"x","")</f>
        <v/>
      </c>
      <c r="X251" s="52" t="str">
        <f>IF(AND(OR(LEFT(TH!L251,2)="15",LEFT(TH!M251,2)="15"),TK!$E$7=TH!F251),"x","")</f>
        <v/>
      </c>
      <c r="Y251" s="52" t="str">
        <f>IF(AND(B251&lt;=NKC!$N$8,B251&gt;=NKC!$M$8),"x","")</f>
        <v/>
      </c>
      <c r="Z251" s="208"/>
      <c r="AA251" s="587"/>
      <c r="AB251" s="195"/>
    </row>
    <row r="252" spans="1:28" s="767" customFormat="1" ht="15.75" customHeight="1">
      <c r="A252" s="201" t="str">
        <f>IF(B252&lt;&gt;"",IF(AND(B252&gt;=_TM1,B252&lt;=_TM2,OR(TH!L252="1111",TH!M252="1111")),TH!D252,""),"")</f>
        <v/>
      </c>
      <c r="B252" s="36">
        <f t="shared" si="11"/>
        <v>4</v>
      </c>
      <c r="C252" s="188">
        <f t="shared" si="12"/>
        <v>41368</v>
      </c>
      <c r="D252" s="181" t="s">
        <v>1015</v>
      </c>
      <c r="E252" s="188">
        <v>41368</v>
      </c>
      <c r="F252" s="189" t="s">
        <v>693</v>
      </c>
      <c r="G252" s="480" t="s">
        <v>758</v>
      </c>
      <c r="H252" s="190" t="s">
        <v>710</v>
      </c>
      <c r="I252" s="249"/>
      <c r="J252" s="249"/>
      <c r="K252" s="38">
        <v>400000</v>
      </c>
      <c r="L252" s="191" t="s">
        <v>262</v>
      </c>
      <c r="M252" s="191" t="s">
        <v>425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IF(OR(TH!L252=TH!$U$7,M252=TH!$U$7),"x","")</f>
        <v/>
      </c>
      <c r="V252" s="52" t="str">
        <f>IF(AND(B252&gt;='IN-NX'!$P$3,B252&lt;='IN-NX'!$Q$3,'IN-NX'!$D$7=D252,OR(LEFT(L252,2)="15",AND(LEFT(M252,2)&lt;&gt;"15",LEFT(M252,2)&lt;&gt;"33"))),"x","")</f>
        <v/>
      </c>
      <c r="W252" s="52" t="str">
        <f>IF(AND(OR(LEFT(TH!L252,2)="15",LEFT(TH!M252,2)="15"),'152-CT'!$J$8=TH!F252),"x","")</f>
        <v/>
      </c>
      <c r="X252" s="52" t="str">
        <f>IF(AND(OR(LEFT(TH!L252,2)="15",LEFT(TH!M252,2)="15"),TK!$E$7=TH!F252),"x","")</f>
        <v/>
      </c>
      <c r="Y252" s="52" t="str">
        <f>IF(AND(B252&lt;=NKC!$N$8,B252&gt;=NKC!$M$8),"x","")</f>
        <v/>
      </c>
      <c r="Z252" s="208"/>
      <c r="AA252" s="587" t="str">
        <f>IF(VLOOKUP(H252,DS_131,1,0)&lt;&gt;"","","x")</f>
        <v/>
      </c>
      <c r="AB252" s="195"/>
    </row>
    <row r="253" spans="1:28" s="767" customFormat="1" ht="15.75" customHeight="1">
      <c r="A253" s="201" t="str">
        <f>IF(B253&lt;&gt;"",IF(AND(B253&gt;=_TM1,B253&lt;=_TM2,OR(TH!L253="1111",TH!M253="1111")),TH!D253,""),"")</f>
        <v/>
      </c>
      <c r="B253" s="36">
        <f t="shared" si="11"/>
        <v>4</v>
      </c>
      <c r="C253" s="188">
        <f t="shared" si="12"/>
        <v>41368</v>
      </c>
      <c r="D253" s="181" t="s">
        <v>1016</v>
      </c>
      <c r="E253" s="188">
        <v>41368</v>
      </c>
      <c r="F253" s="189" t="s">
        <v>451</v>
      </c>
      <c r="G253" s="480" t="s">
        <v>759</v>
      </c>
      <c r="H253" s="7" t="s">
        <v>760</v>
      </c>
      <c r="I253" s="249">
        <v>400</v>
      </c>
      <c r="J253" s="249">
        <v>12000</v>
      </c>
      <c r="K253" s="38">
        <f>ROUND(I253*J253,0)</f>
        <v>4800000</v>
      </c>
      <c r="L253" s="191" t="s">
        <v>262</v>
      </c>
      <c r="M253" s="191" t="s">
        <v>172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IF(OR(TH!L253=TH!$U$7,M253=TH!$U$7),"x","")</f>
        <v/>
      </c>
      <c r="V253" s="52" t="str">
        <f>IF(AND(B253&gt;='IN-NX'!$P$3,B253&lt;='IN-NX'!$Q$3,'IN-NX'!$D$7=D253,OR(LEFT(L253,2)="15",AND(LEFT(M253,2)&lt;&gt;"15",LEFT(M253,2)&lt;&gt;"33"))),"x","")</f>
        <v/>
      </c>
      <c r="W253" s="52" t="str">
        <f>IF(AND(OR(LEFT(TH!L253,2)="15",LEFT(TH!M253,2)="15"),'152-CT'!$J$8=TH!F253),"x","")</f>
        <v/>
      </c>
      <c r="X253" s="52" t="str">
        <f>IF(AND(OR(LEFT(TH!L253,2)="15",LEFT(TH!M253,2)="15"),TK!$E$7=TH!F253),"x","")</f>
        <v/>
      </c>
      <c r="Y253" s="52" t="str">
        <f>IF(AND(B253&lt;=NKC!$N$8,B253&gt;=NKC!$M$8),"x","")</f>
        <v/>
      </c>
      <c r="Z253" s="208"/>
      <c r="AA253" s="587"/>
      <c r="AB253" s="195"/>
    </row>
    <row r="254" spans="1:28" s="767" customFormat="1" ht="15.75" customHeight="1">
      <c r="A254" s="201" t="str">
        <f>IF(B254&lt;&gt;"",IF(AND(B254&gt;=_TM1,B254&lt;=_TM2,OR(TH!L254="1111",TH!M254="1111")),TH!D254,""),"")</f>
        <v/>
      </c>
      <c r="B254" s="36">
        <f t="shared" si="11"/>
        <v>4</v>
      </c>
      <c r="C254" s="188">
        <f t="shared" si="12"/>
        <v>41368</v>
      </c>
      <c r="D254" s="181" t="s">
        <v>1016</v>
      </c>
      <c r="E254" s="188">
        <v>41368</v>
      </c>
      <c r="F254" s="189" t="s">
        <v>693</v>
      </c>
      <c r="G254" s="480" t="s">
        <v>759</v>
      </c>
      <c r="H254" s="7" t="s">
        <v>760</v>
      </c>
      <c r="I254" s="249"/>
      <c r="J254" s="249"/>
      <c r="K254" s="38">
        <v>480000</v>
      </c>
      <c r="L254" s="191" t="s">
        <v>262</v>
      </c>
      <c r="M254" s="191" t="s">
        <v>425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IF(OR(TH!L254=TH!$U$7,M254=TH!$U$7),"x","")</f>
        <v/>
      </c>
      <c r="V254" s="52" t="str">
        <f>IF(AND(B254&gt;='IN-NX'!$P$3,B254&lt;='IN-NX'!$Q$3,'IN-NX'!$D$7=D254,OR(LEFT(L254,2)="15",AND(LEFT(M254,2)&lt;&gt;"15",LEFT(M254,2)&lt;&gt;"33"))),"x","")</f>
        <v/>
      </c>
      <c r="W254" s="52" t="str">
        <f>IF(AND(OR(LEFT(TH!L254,2)="15",LEFT(TH!M254,2)="15"),'152-CT'!$J$8=TH!F254),"x","")</f>
        <v/>
      </c>
      <c r="X254" s="52" t="str">
        <f>IF(AND(OR(LEFT(TH!L254,2)="15",LEFT(TH!M254,2)="15"),TK!$E$7=TH!F254),"x","")</f>
        <v/>
      </c>
      <c r="Y254" s="52" t="str">
        <f>IF(AND(B254&lt;=NKC!$N$8,B254&gt;=NKC!$M$8),"x","")</f>
        <v/>
      </c>
      <c r="Z254" s="208"/>
      <c r="AA254" s="587" t="str">
        <f>IF(VLOOKUP(H254,DS_131,1,0)&lt;&gt;"","","x")</f>
        <v/>
      </c>
      <c r="AB254" s="195"/>
    </row>
    <row r="255" spans="1:28" s="767" customFormat="1" ht="15.75" customHeight="1">
      <c r="A255" s="201" t="str">
        <f>IF(B255&lt;&gt;"",IF(AND(B255&gt;=_TM1,B255&lt;=_TM2,OR(TH!L255="1111",TH!M255="1111")),TH!D255,""),"")</f>
        <v/>
      </c>
      <c r="B255" s="36">
        <f t="shared" si="11"/>
        <v>4</v>
      </c>
      <c r="C255" s="188">
        <f t="shared" si="12"/>
        <v>41368</v>
      </c>
      <c r="D255" s="181" t="s">
        <v>373</v>
      </c>
      <c r="E255" s="188">
        <v>41368</v>
      </c>
      <c r="F255" s="186" t="s">
        <v>337</v>
      </c>
      <c r="G255" s="480" t="s">
        <v>759</v>
      </c>
      <c r="H255" s="7" t="s">
        <v>760</v>
      </c>
      <c r="I255" s="249"/>
      <c r="J255" s="249"/>
      <c r="K255" s="38">
        <v>5280000</v>
      </c>
      <c r="L255" s="191" t="s">
        <v>47</v>
      </c>
      <c r="M255" s="191" t="s">
        <v>262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IF(OR(TH!L255=TH!$U$7,M255=TH!$U$7),"x","")</f>
        <v/>
      </c>
      <c r="V255" s="52" t="str">
        <f>IF(AND(B255&gt;='IN-NX'!$P$3,B255&lt;='IN-NX'!$Q$3,'IN-NX'!$D$7=D255,OR(LEFT(L255,2)="15",AND(LEFT(M255,2)&lt;&gt;"15",LEFT(M255,2)&lt;&gt;"33"))),"x","")</f>
        <v/>
      </c>
      <c r="W255" s="52" t="str">
        <f>IF(AND(OR(LEFT(TH!L255,2)="15",LEFT(TH!M255,2)="15"),'152-CT'!$J$8=TH!F255),"x","")</f>
        <v/>
      </c>
      <c r="X255" s="52" t="str">
        <f>IF(AND(OR(LEFT(TH!L255,2)="15",LEFT(TH!M255,2)="15"),TK!$E$7=TH!F255),"x","")</f>
        <v/>
      </c>
      <c r="Y255" s="52" t="str">
        <f>IF(AND(B255&lt;=NKC!$N$8,B255&gt;=NKC!$M$8),"x","")</f>
        <v/>
      </c>
      <c r="Z255" s="208"/>
      <c r="AA255" s="587" t="str">
        <f>IF(VLOOKUP(H255,DS_131,1,0)&lt;&gt;"","","x")</f>
        <v/>
      </c>
      <c r="AB255" s="195"/>
    </row>
    <row r="256" spans="1:28" s="767" customFormat="1" ht="15.75" customHeight="1">
      <c r="A256" s="201" t="str">
        <f>IF(B256&lt;&gt;"",IF(AND(B256&gt;=_TM1,B256&lt;=_TM2,OR(TH!L256="1111",TH!M256="1111")),TH!D256,""),"")</f>
        <v/>
      </c>
      <c r="B256" s="36">
        <f t="shared" si="11"/>
        <v>4</v>
      </c>
      <c r="C256" s="188">
        <f t="shared" si="12"/>
        <v>41369</v>
      </c>
      <c r="D256" s="181" t="s">
        <v>1017</v>
      </c>
      <c r="E256" s="188">
        <v>41369</v>
      </c>
      <c r="F256" s="189" t="s">
        <v>451</v>
      </c>
      <c r="G256" s="189" t="s">
        <v>546</v>
      </c>
      <c r="H256" s="7" t="s">
        <v>761</v>
      </c>
      <c r="I256" s="249">
        <v>500</v>
      </c>
      <c r="J256" s="249">
        <v>12000</v>
      </c>
      <c r="K256" s="38">
        <f>ROUND(I256*J256,0)</f>
        <v>6000000</v>
      </c>
      <c r="L256" s="191" t="s">
        <v>262</v>
      </c>
      <c r="M256" s="191" t="s">
        <v>172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IF(OR(TH!L256=TH!$U$7,M256=TH!$U$7),"x","")</f>
        <v/>
      </c>
      <c r="V256" s="52" t="str">
        <f>IF(AND(B256&gt;='IN-NX'!$P$3,B256&lt;='IN-NX'!$Q$3,'IN-NX'!$D$7=D256,OR(LEFT(L256,2)="15",AND(LEFT(M256,2)&lt;&gt;"15",LEFT(M256,2)&lt;&gt;"33"))),"x","")</f>
        <v/>
      </c>
      <c r="W256" s="52" t="str">
        <f>IF(AND(OR(LEFT(TH!L256,2)="15",LEFT(TH!M256,2)="15"),'152-CT'!$J$8=TH!F256),"x","")</f>
        <v/>
      </c>
      <c r="X256" s="52" t="str">
        <f>IF(AND(OR(LEFT(TH!L256,2)="15",LEFT(TH!M256,2)="15"),TK!$E$7=TH!F256),"x","")</f>
        <v/>
      </c>
      <c r="Y256" s="52" t="str">
        <f>IF(AND(B256&lt;=NKC!$N$8,B256&gt;=NKC!$M$8),"x","")</f>
        <v/>
      </c>
      <c r="Z256" s="208"/>
      <c r="AA256" s="587"/>
      <c r="AB256" s="195"/>
    </row>
    <row r="257" spans="1:28" s="767" customFormat="1" ht="15.75" customHeight="1">
      <c r="A257" s="201" t="str">
        <f>IF(B257&lt;&gt;"",IF(AND(B257&gt;=_TM1,B257&lt;=_TM2,OR(TH!L257="1111",TH!M257="1111")),TH!D257,""),"")</f>
        <v/>
      </c>
      <c r="B257" s="36">
        <f t="shared" si="11"/>
        <v>4</v>
      </c>
      <c r="C257" s="188">
        <f t="shared" si="12"/>
        <v>41369</v>
      </c>
      <c r="D257" s="181" t="s">
        <v>1017</v>
      </c>
      <c r="E257" s="188">
        <v>41369</v>
      </c>
      <c r="F257" s="189" t="s">
        <v>693</v>
      </c>
      <c r="G257" s="189" t="s">
        <v>546</v>
      </c>
      <c r="H257" s="7" t="s">
        <v>761</v>
      </c>
      <c r="I257" s="249"/>
      <c r="J257" s="249"/>
      <c r="K257" s="38">
        <v>600000</v>
      </c>
      <c r="L257" s="191" t="s">
        <v>262</v>
      </c>
      <c r="M257" s="191" t="s">
        <v>425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IF(OR(TH!L257=TH!$U$7,M257=TH!$U$7),"x","")</f>
        <v/>
      </c>
      <c r="V257" s="52" t="str">
        <f>IF(AND(B257&gt;='IN-NX'!$P$3,B257&lt;='IN-NX'!$Q$3,'IN-NX'!$D$7=D257,OR(LEFT(L257,2)="15",AND(LEFT(M257,2)&lt;&gt;"15",LEFT(M257,2)&lt;&gt;"33"))),"x","")</f>
        <v/>
      </c>
      <c r="W257" s="52" t="str">
        <f>IF(AND(OR(LEFT(TH!L257,2)="15",LEFT(TH!M257,2)="15"),'152-CT'!$J$8=TH!F257),"x","")</f>
        <v/>
      </c>
      <c r="X257" s="52" t="str">
        <f>IF(AND(OR(LEFT(TH!L257,2)="15",LEFT(TH!M257,2)="15"),TK!$E$7=TH!F257),"x","")</f>
        <v/>
      </c>
      <c r="Y257" s="52" t="str">
        <f>IF(AND(B257&lt;=NKC!$N$8,B257&gt;=NKC!$M$8),"x","")</f>
        <v/>
      </c>
      <c r="Z257" s="208"/>
      <c r="AA257" s="587" t="str">
        <f>IF(VLOOKUP(H257,DS_131,1,0)&lt;&gt;"","","x")</f>
        <v/>
      </c>
      <c r="AB257" s="195"/>
    </row>
    <row r="258" spans="1:28" s="767" customFormat="1" ht="15.75" customHeight="1">
      <c r="A258" s="201" t="str">
        <f>IF(B258&lt;&gt;"",IF(AND(B258&gt;=_TM1,B258&lt;=_TM2,OR(TH!L258="1111",TH!M258="1111")),TH!D258,""),"")</f>
        <v/>
      </c>
      <c r="B258" s="36">
        <f t="shared" si="11"/>
        <v>4</v>
      </c>
      <c r="C258" s="188">
        <f t="shared" si="12"/>
        <v>41369</v>
      </c>
      <c r="D258" s="181" t="s">
        <v>392</v>
      </c>
      <c r="E258" s="188">
        <v>41369</v>
      </c>
      <c r="F258" s="186" t="s">
        <v>337</v>
      </c>
      <c r="G258" s="189" t="s">
        <v>546</v>
      </c>
      <c r="H258" s="7" t="s">
        <v>761</v>
      </c>
      <c r="I258" s="249"/>
      <c r="J258" s="249"/>
      <c r="K258" s="38">
        <v>6600000</v>
      </c>
      <c r="L258" s="191" t="s">
        <v>47</v>
      </c>
      <c r="M258" s="191" t="s">
        <v>262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IF(OR(TH!L258=TH!$U$7,M258=TH!$U$7),"x","")</f>
        <v/>
      </c>
      <c r="V258" s="52" t="str">
        <f>IF(AND(B258&gt;='IN-NX'!$P$3,B258&lt;='IN-NX'!$Q$3,'IN-NX'!$D$7=D258,OR(LEFT(L258,2)="15",AND(LEFT(M258,2)&lt;&gt;"15",LEFT(M258,2)&lt;&gt;"33"))),"x","")</f>
        <v/>
      </c>
      <c r="W258" s="52" t="str">
        <f>IF(AND(OR(LEFT(TH!L258,2)="15",LEFT(TH!M258,2)="15"),'152-CT'!$J$8=TH!F258),"x","")</f>
        <v/>
      </c>
      <c r="X258" s="52" t="str">
        <f>IF(AND(OR(LEFT(TH!L258,2)="15",LEFT(TH!M258,2)="15"),TK!$E$7=TH!F258),"x","")</f>
        <v/>
      </c>
      <c r="Y258" s="52" t="str">
        <f>IF(AND(B258&lt;=NKC!$N$8,B258&gt;=NKC!$M$8),"x","")</f>
        <v/>
      </c>
      <c r="Z258" s="208"/>
      <c r="AA258" s="587" t="str">
        <f>IF(VLOOKUP(H258,DS_131,1,0)&lt;&gt;"","","x")</f>
        <v/>
      </c>
      <c r="AB258" s="195"/>
    </row>
    <row r="259" spans="1:28" s="767" customFormat="1" ht="15.75" customHeight="1">
      <c r="A259" s="201" t="str">
        <f>IF(B259&lt;&gt;"",IF(AND(B259&gt;=_TM1,B259&lt;=_TM2,OR(TH!L259="1111",TH!M259="1111")),TH!D259,""),"")</f>
        <v/>
      </c>
      <c r="B259" s="36">
        <f t="shared" si="11"/>
        <v>4</v>
      </c>
      <c r="C259" s="188">
        <f t="shared" si="12"/>
        <v>41369</v>
      </c>
      <c r="D259" s="181" t="s">
        <v>1018</v>
      </c>
      <c r="E259" s="188">
        <v>41369</v>
      </c>
      <c r="F259" s="189" t="s">
        <v>762</v>
      </c>
      <c r="G259" s="480" t="s">
        <v>763</v>
      </c>
      <c r="H259" s="7" t="s">
        <v>477</v>
      </c>
      <c r="I259" s="249">
        <v>1000</v>
      </c>
      <c r="J259" s="249">
        <v>12800</v>
      </c>
      <c r="K259" s="38">
        <f>ROUND(I259*J259,0)</f>
        <v>12800000</v>
      </c>
      <c r="L259" s="191" t="s">
        <v>262</v>
      </c>
      <c r="M259" s="191" t="s">
        <v>172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IF(OR(TH!L259=TH!$U$7,M259=TH!$U$7),"x","")</f>
        <v/>
      </c>
      <c r="V259" s="52" t="str">
        <f>IF(AND(B259&gt;='IN-NX'!$P$3,B259&lt;='IN-NX'!$Q$3,'IN-NX'!$D$7=D259,OR(LEFT(L259,2)="15",AND(LEFT(M259,2)&lt;&gt;"15",LEFT(M259,2)&lt;&gt;"33"))),"x","")</f>
        <v/>
      </c>
      <c r="W259" s="52" t="str">
        <f>IF(AND(OR(LEFT(TH!L259,2)="15",LEFT(TH!M259,2)="15"),'152-CT'!$J$8=TH!F259),"x","")</f>
        <v/>
      </c>
      <c r="X259" s="52" t="str">
        <f>IF(AND(OR(LEFT(TH!L259,2)="15",LEFT(TH!M259,2)="15"),TK!$E$7=TH!F259),"x","")</f>
        <v/>
      </c>
      <c r="Y259" s="52" t="str">
        <f>IF(AND(B259&lt;=NKC!$N$8,B259&gt;=NKC!$M$8),"x","")</f>
        <v/>
      </c>
      <c r="Z259" s="208"/>
      <c r="AA259" s="587"/>
      <c r="AB259" s="195"/>
    </row>
    <row r="260" spans="1:28" s="767" customFormat="1" ht="15.75" customHeight="1">
      <c r="A260" s="201" t="str">
        <f>IF(B260&lt;&gt;"",IF(AND(B260&gt;=_TM1,B260&lt;=_TM2,OR(TH!L260="1111",TH!M260="1111")),TH!D260,""),"")</f>
        <v/>
      </c>
      <c r="B260" s="36">
        <f t="shared" si="11"/>
        <v>4</v>
      </c>
      <c r="C260" s="188">
        <f t="shared" si="12"/>
        <v>41369</v>
      </c>
      <c r="D260" s="181" t="s">
        <v>1018</v>
      </c>
      <c r="E260" s="188">
        <v>41369</v>
      </c>
      <c r="F260" s="189" t="s">
        <v>693</v>
      </c>
      <c r="G260" s="480" t="s">
        <v>763</v>
      </c>
      <c r="H260" s="7" t="s">
        <v>477</v>
      </c>
      <c r="I260" s="249"/>
      <c r="J260" s="249"/>
      <c r="K260" s="38">
        <v>1280000</v>
      </c>
      <c r="L260" s="191" t="s">
        <v>262</v>
      </c>
      <c r="M260" s="191" t="s">
        <v>425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IF(OR(TH!L260=TH!$U$7,M260=TH!$U$7),"x","")</f>
        <v/>
      </c>
      <c r="V260" s="52" t="str">
        <f>IF(AND(B260&gt;='IN-NX'!$P$3,B260&lt;='IN-NX'!$Q$3,'IN-NX'!$D$7=D260,OR(LEFT(L260,2)="15",AND(LEFT(M260,2)&lt;&gt;"15",LEFT(M260,2)&lt;&gt;"33"))),"x","")</f>
        <v/>
      </c>
      <c r="W260" s="52" t="str">
        <f>IF(AND(OR(LEFT(TH!L260,2)="15",LEFT(TH!M260,2)="15"),'152-CT'!$J$8=TH!F260),"x","")</f>
        <v/>
      </c>
      <c r="X260" s="52" t="str">
        <f>IF(AND(OR(LEFT(TH!L260,2)="15",LEFT(TH!M260,2)="15"),TK!$E$7=TH!F260),"x","")</f>
        <v/>
      </c>
      <c r="Y260" s="52" t="str">
        <f>IF(AND(B260&lt;=NKC!$N$8,B260&gt;=NKC!$M$8),"x","")</f>
        <v/>
      </c>
      <c r="Z260" s="208"/>
      <c r="AA260" s="587" t="str">
        <f>IF(VLOOKUP(H260,DS_131,1,0)&lt;&gt;"","","x")</f>
        <v/>
      </c>
      <c r="AB260" s="195"/>
    </row>
    <row r="261" spans="1:28" s="767" customFormat="1" ht="15.75" customHeight="1">
      <c r="A261" s="201" t="str">
        <f>IF(B261&lt;&gt;"",IF(AND(B261&gt;=_TM1,B261&lt;=_TM2,OR(TH!L261="1111",TH!M261="1111")),TH!D261,""),"")</f>
        <v/>
      </c>
      <c r="B261" s="36">
        <f t="shared" si="11"/>
        <v>4</v>
      </c>
      <c r="C261" s="188">
        <f t="shared" si="12"/>
        <v>41370</v>
      </c>
      <c r="D261" s="181" t="s">
        <v>1019</v>
      </c>
      <c r="E261" s="188">
        <v>41370</v>
      </c>
      <c r="F261" s="189" t="s">
        <v>764</v>
      </c>
      <c r="G261" s="480" t="s">
        <v>765</v>
      </c>
      <c r="H261" s="7" t="s">
        <v>477</v>
      </c>
      <c r="I261" s="249">
        <v>500</v>
      </c>
      <c r="J261" s="249">
        <v>12800</v>
      </c>
      <c r="K261" s="38">
        <f>ROUND(I261*J261,0)</f>
        <v>6400000</v>
      </c>
      <c r="L261" s="191" t="s">
        <v>262</v>
      </c>
      <c r="M261" s="191" t="s">
        <v>172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IF(OR(TH!L261=TH!$U$7,M261=TH!$U$7),"x","")</f>
        <v/>
      </c>
      <c r="V261" s="52" t="str">
        <f>IF(AND(B261&gt;='IN-NX'!$P$3,B261&lt;='IN-NX'!$Q$3,'IN-NX'!$D$7=D261,OR(LEFT(L261,2)="15",AND(LEFT(M261,2)&lt;&gt;"15",LEFT(M261,2)&lt;&gt;"33"))),"x","")</f>
        <v/>
      </c>
      <c r="W261" s="52" t="str">
        <f>IF(AND(OR(LEFT(TH!L261,2)="15",LEFT(TH!M261,2)="15"),'152-CT'!$J$8=TH!F261),"x","")</f>
        <v/>
      </c>
      <c r="X261" s="52" t="str">
        <f>IF(AND(OR(LEFT(TH!L261,2)="15",LEFT(TH!M261,2)="15"),TK!$E$7=TH!F261),"x","")</f>
        <v/>
      </c>
      <c r="Y261" s="52" t="str">
        <f>IF(AND(B261&lt;=NKC!$N$8,B261&gt;=NKC!$M$8),"x","")</f>
        <v/>
      </c>
      <c r="Z261" s="208"/>
      <c r="AA261" s="587"/>
      <c r="AB261" s="195"/>
    </row>
    <row r="262" spans="1:28" s="767" customFormat="1" ht="15.75" customHeight="1">
      <c r="A262" s="201" t="str">
        <f>IF(B262&lt;&gt;"",IF(AND(B262&gt;=_TM1,B262&lt;=_TM2,OR(TH!L262="1111",TH!M262="1111")),TH!D262,""),"")</f>
        <v/>
      </c>
      <c r="B262" s="36">
        <f t="shared" si="11"/>
        <v>4</v>
      </c>
      <c r="C262" s="188">
        <f t="shared" si="12"/>
        <v>41370</v>
      </c>
      <c r="D262" s="181" t="s">
        <v>1019</v>
      </c>
      <c r="E262" s="188">
        <v>41370</v>
      </c>
      <c r="F262" s="189" t="s">
        <v>764</v>
      </c>
      <c r="G262" s="480" t="s">
        <v>765</v>
      </c>
      <c r="H262" s="7" t="s">
        <v>477</v>
      </c>
      <c r="I262" s="249">
        <v>100</v>
      </c>
      <c r="J262" s="249">
        <v>12800</v>
      </c>
      <c r="K262" s="38">
        <f>ROUND(I262*J262,0)</f>
        <v>1280000</v>
      </c>
      <c r="L262" s="191" t="s">
        <v>262</v>
      </c>
      <c r="M262" s="191" t="s">
        <v>172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IF(OR(TH!L262=TH!$U$7,M262=TH!$U$7),"x","")</f>
        <v/>
      </c>
      <c r="V262" s="52" t="str">
        <f>IF(AND(B262&gt;='IN-NX'!$P$3,B262&lt;='IN-NX'!$Q$3,'IN-NX'!$D$7=D262,OR(LEFT(L262,2)="15",AND(LEFT(M262,2)&lt;&gt;"15",LEFT(M262,2)&lt;&gt;"33"))),"x","")</f>
        <v/>
      </c>
      <c r="W262" s="52" t="str">
        <f>IF(AND(OR(LEFT(TH!L262,2)="15",LEFT(TH!M262,2)="15"),'152-CT'!$J$8=TH!F262),"x","")</f>
        <v/>
      </c>
      <c r="X262" s="52" t="str">
        <f>IF(AND(OR(LEFT(TH!L262,2)="15",LEFT(TH!M262,2)="15"),TK!$E$7=TH!F262),"x","")</f>
        <v/>
      </c>
      <c r="Y262" s="52" t="str">
        <f>IF(AND(B262&lt;=NKC!$N$8,B262&gt;=NKC!$M$8),"x","")</f>
        <v/>
      </c>
      <c r="Z262" s="208"/>
      <c r="AA262" s="587"/>
      <c r="AB262" s="195"/>
    </row>
    <row r="263" spans="1:28" s="767" customFormat="1" ht="15.75" customHeight="1">
      <c r="A263" s="201" t="str">
        <f>IF(B263&lt;&gt;"",IF(AND(B263&gt;=_TM1,B263&lt;=_TM2,OR(TH!L263="1111",TH!M263="1111")),TH!D263,""),"")</f>
        <v/>
      </c>
      <c r="B263" s="36">
        <f t="shared" si="11"/>
        <v>4</v>
      </c>
      <c r="C263" s="188">
        <f t="shared" si="12"/>
        <v>41370</v>
      </c>
      <c r="D263" s="181" t="s">
        <v>1019</v>
      </c>
      <c r="E263" s="188">
        <v>41370</v>
      </c>
      <c r="F263" s="189" t="s">
        <v>693</v>
      </c>
      <c r="G263" s="480" t="s">
        <v>765</v>
      </c>
      <c r="H263" s="7" t="s">
        <v>477</v>
      </c>
      <c r="I263" s="249"/>
      <c r="J263" s="249"/>
      <c r="K263" s="38">
        <v>768000</v>
      </c>
      <c r="L263" s="191" t="s">
        <v>262</v>
      </c>
      <c r="M263" s="191" t="s">
        <v>425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IF(OR(TH!L263=TH!$U$7,M263=TH!$U$7),"x","")</f>
        <v/>
      </c>
      <c r="V263" s="52" t="str">
        <f>IF(AND(B263&gt;='IN-NX'!$P$3,B263&lt;='IN-NX'!$Q$3,'IN-NX'!$D$7=D263,OR(LEFT(L263,2)="15",AND(LEFT(M263,2)&lt;&gt;"15",LEFT(M263,2)&lt;&gt;"33"))),"x","")</f>
        <v/>
      </c>
      <c r="W263" s="52" t="str">
        <f>IF(AND(OR(LEFT(TH!L263,2)="15",LEFT(TH!M263,2)="15"),'152-CT'!$J$8=TH!F263),"x","")</f>
        <v/>
      </c>
      <c r="X263" s="52" t="str">
        <f>IF(AND(OR(LEFT(TH!L263,2)="15",LEFT(TH!M263,2)="15"),TK!$E$7=TH!F263),"x","")</f>
        <v/>
      </c>
      <c r="Y263" s="52" t="str">
        <f>IF(AND(B263&lt;=NKC!$N$8,B263&gt;=NKC!$M$8),"x","")</f>
        <v/>
      </c>
      <c r="Z263" s="208"/>
      <c r="AA263" s="587" t="str">
        <f>IF(VLOOKUP(H263,DS_131,1,0)&lt;&gt;"","","x")</f>
        <v/>
      </c>
      <c r="AB263" s="195"/>
    </row>
    <row r="264" spans="1:28" s="767" customFormat="1" ht="15.75" customHeight="1">
      <c r="A264" s="201" t="str">
        <f>IF(B264&lt;&gt;"",IF(AND(B264&gt;=_TM1,B264&lt;=_TM2,OR(TH!L264="1111",TH!M264="1111")),TH!D264,""),"")</f>
        <v/>
      </c>
      <c r="B264" s="36">
        <f t="shared" si="11"/>
        <v>4</v>
      </c>
      <c r="C264" s="188">
        <f t="shared" si="12"/>
        <v>41370</v>
      </c>
      <c r="D264" s="181" t="s">
        <v>397</v>
      </c>
      <c r="E264" s="188">
        <v>41370</v>
      </c>
      <c r="F264" s="186" t="s">
        <v>337</v>
      </c>
      <c r="G264" s="480" t="s">
        <v>765</v>
      </c>
      <c r="H264" s="7" t="s">
        <v>477</v>
      </c>
      <c r="I264" s="249"/>
      <c r="J264" s="249"/>
      <c r="K264" s="38">
        <v>5528000</v>
      </c>
      <c r="L264" s="191" t="s">
        <v>47</v>
      </c>
      <c r="M264" s="191" t="s">
        <v>262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IF(OR(TH!L264=TH!$U$7,M264=TH!$U$7),"x","")</f>
        <v/>
      </c>
      <c r="V264" s="52" t="str">
        <f>IF(AND(B264&gt;='IN-NX'!$P$3,B264&lt;='IN-NX'!$Q$3,'IN-NX'!$D$7=D264,OR(LEFT(L264,2)="15",AND(LEFT(M264,2)&lt;&gt;"15",LEFT(M264,2)&lt;&gt;"33"))),"x","")</f>
        <v/>
      </c>
      <c r="W264" s="52" t="str">
        <f>IF(AND(OR(LEFT(TH!L264,2)="15",LEFT(TH!M264,2)="15"),'152-CT'!$J$8=TH!F264),"x","")</f>
        <v/>
      </c>
      <c r="X264" s="52" t="str">
        <f>IF(AND(OR(LEFT(TH!L264,2)="15",LEFT(TH!M264,2)="15"),TK!$E$7=TH!F264),"x","")</f>
        <v/>
      </c>
      <c r="Y264" s="52" t="str">
        <f>IF(AND(B264&lt;=NKC!$N$8,B264&gt;=NKC!$M$8),"x","")</f>
        <v/>
      </c>
      <c r="Z264" s="208"/>
      <c r="AA264" s="587" t="str">
        <f>IF(VLOOKUP(H264,DS_131,1,0)&lt;&gt;"","","x")</f>
        <v/>
      </c>
      <c r="AB264" s="195"/>
    </row>
    <row r="265" spans="1:28" s="767" customFormat="1" ht="15.75" customHeight="1">
      <c r="A265" s="201" t="str">
        <f>IF(B265&lt;&gt;"",IF(AND(B265&gt;=_TM1,B265&lt;=_TM2,OR(TH!L265="1111",TH!M265="1111")),TH!D265,""),"")</f>
        <v/>
      </c>
      <c r="B265" s="36">
        <f t="shared" si="11"/>
        <v>4</v>
      </c>
      <c r="C265" s="188">
        <f t="shared" si="12"/>
        <v>41375</v>
      </c>
      <c r="D265" s="181" t="s">
        <v>1020</v>
      </c>
      <c r="E265" s="188">
        <v>41375</v>
      </c>
      <c r="F265" s="189" t="s">
        <v>1129</v>
      </c>
      <c r="G265" s="480" t="s">
        <v>766</v>
      </c>
      <c r="H265" s="7" t="s">
        <v>427</v>
      </c>
      <c r="I265" s="249">
        <v>3990</v>
      </c>
      <c r="J265" s="249">
        <v>5200</v>
      </c>
      <c r="K265" s="38">
        <f>ROUND(I265*J265,0)</f>
        <v>20748000</v>
      </c>
      <c r="L265" s="191" t="s">
        <v>262</v>
      </c>
      <c r="M265" s="191" t="s">
        <v>172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IF(OR(TH!L265=TH!$U$7,M265=TH!$U$7),"x","")</f>
        <v/>
      </c>
      <c r="V265" s="52" t="str">
        <f>IF(AND(B265&gt;='IN-NX'!$P$3,B265&lt;='IN-NX'!$Q$3,'IN-NX'!$D$7=D265,OR(LEFT(L265,2)="15",AND(LEFT(M265,2)&lt;&gt;"15",LEFT(M265,2)&lt;&gt;"33"))),"x","")</f>
        <v/>
      </c>
      <c r="W265" s="52" t="str">
        <f>IF(AND(OR(LEFT(TH!L265,2)="15",LEFT(TH!M265,2)="15"),'152-CT'!$J$8=TH!F265),"x","")</f>
        <v/>
      </c>
      <c r="X265" s="52" t="str">
        <f>IF(AND(OR(LEFT(TH!L265,2)="15",LEFT(TH!M265,2)="15"),TK!$E$7=TH!F265),"x","")</f>
        <v/>
      </c>
      <c r="Y265" s="52" t="str">
        <f>IF(AND(B265&lt;=NKC!$N$8,B265&gt;=NKC!$M$8),"x","")</f>
        <v/>
      </c>
      <c r="Z265" s="208"/>
      <c r="AA265" s="587"/>
      <c r="AB265" s="195"/>
    </row>
    <row r="266" spans="1:28" s="767" customFormat="1" ht="15.75" customHeight="1">
      <c r="A266" s="201" t="str">
        <f>IF(B266&lt;&gt;"",IF(AND(B266&gt;=_TM1,B266&lt;=_TM2,OR(TH!L266="1111",TH!M266="1111")),TH!D266,""),"")</f>
        <v/>
      </c>
      <c r="B266" s="36">
        <f t="shared" si="11"/>
        <v>4</v>
      </c>
      <c r="C266" s="188">
        <f t="shared" si="12"/>
        <v>41375</v>
      </c>
      <c r="D266" s="181" t="s">
        <v>1020</v>
      </c>
      <c r="E266" s="188">
        <v>41375</v>
      </c>
      <c r="F266" s="189" t="s">
        <v>1103</v>
      </c>
      <c r="G266" s="189" t="s">
        <v>766</v>
      </c>
      <c r="H266" s="7" t="s">
        <v>427</v>
      </c>
      <c r="I266" s="249">
        <v>2763</v>
      </c>
      <c r="J266" s="249">
        <v>6350</v>
      </c>
      <c r="K266" s="38">
        <f>ROUND(I266*J266,0)</f>
        <v>17545050</v>
      </c>
      <c r="L266" s="191" t="s">
        <v>262</v>
      </c>
      <c r="M266" s="191" t="s">
        <v>172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IF(OR(TH!L266=TH!$U$7,M266=TH!$U$7),"x","")</f>
        <v/>
      </c>
      <c r="V266" s="52" t="str">
        <f>IF(AND(B266&gt;='IN-NX'!$P$3,B266&lt;='IN-NX'!$Q$3,'IN-NX'!$D$7=D266,OR(LEFT(L266,2)="15",AND(LEFT(M266,2)&lt;&gt;"15",LEFT(M266,2)&lt;&gt;"33"))),"x","")</f>
        <v/>
      </c>
      <c r="W266" s="52" t="str">
        <f>IF(AND(OR(LEFT(TH!L266,2)="15",LEFT(TH!M266,2)="15"),'152-CT'!$J$8=TH!F266),"x","")</f>
        <v/>
      </c>
      <c r="X266" s="52" t="str">
        <f>IF(AND(OR(LEFT(TH!L266,2)="15",LEFT(TH!M266,2)="15"),TK!$E$7=TH!F266),"x","")</f>
        <v/>
      </c>
      <c r="Y266" s="52" t="str">
        <f>IF(AND(B266&lt;=NKC!$N$8,B266&gt;=NKC!$M$8),"x","")</f>
        <v/>
      </c>
      <c r="Z266" s="208"/>
      <c r="AA266" s="587"/>
      <c r="AB266" s="195"/>
    </row>
    <row r="267" spans="1:28" s="767" customFormat="1" ht="15.75" customHeight="1">
      <c r="A267" s="201" t="str">
        <f>IF(B267&lt;&gt;"",IF(AND(B267&gt;=_TM1,B267&lt;=_TM2,OR(TH!L267="1111",TH!M267="1111")),TH!D267,""),"")</f>
        <v/>
      </c>
      <c r="B267" s="36">
        <f t="shared" ref="B267:B327" si="13">IF(C267&lt;&gt;"",MONTH(C267),"")</f>
        <v>4</v>
      </c>
      <c r="C267" s="188">
        <f t="shared" si="12"/>
        <v>41375</v>
      </c>
      <c r="D267" s="181" t="s">
        <v>1020</v>
      </c>
      <c r="E267" s="188">
        <v>41375</v>
      </c>
      <c r="F267" s="189" t="s">
        <v>693</v>
      </c>
      <c r="G267" s="480" t="s">
        <v>766</v>
      </c>
      <c r="H267" s="7" t="s">
        <v>427</v>
      </c>
      <c r="I267" s="249"/>
      <c r="J267" s="249"/>
      <c r="K267" s="38">
        <v>3829305</v>
      </c>
      <c r="L267" s="191" t="s">
        <v>262</v>
      </c>
      <c r="M267" s="191" t="s">
        <v>425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IF(OR(TH!L267=TH!$U$7,M267=TH!$U$7),"x","")</f>
        <v/>
      </c>
      <c r="V267" s="52" t="str">
        <f>IF(AND(B267&gt;='IN-NX'!$P$3,B267&lt;='IN-NX'!$Q$3,'IN-NX'!$D$7=D267,OR(LEFT(L267,2)="15",AND(LEFT(M267,2)&lt;&gt;"15",LEFT(M267,2)&lt;&gt;"33"))),"x","")</f>
        <v/>
      </c>
      <c r="W267" s="52" t="str">
        <f>IF(AND(OR(LEFT(TH!L267,2)="15",LEFT(TH!M267,2)="15"),'152-CT'!$J$8=TH!F267),"x","")</f>
        <v/>
      </c>
      <c r="X267" s="52" t="str">
        <f>IF(AND(OR(LEFT(TH!L267,2)="15",LEFT(TH!M267,2)="15"),TK!$E$7=TH!F267),"x","")</f>
        <v/>
      </c>
      <c r="Y267" s="52" t="str">
        <f>IF(AND(B267&lt;=NKC!$N$8,B267&gt;=NKC!$M$8),"x","")</f>
        <v/>
      </c>
      <c r="Z267" s="208"/>
      <c r="AA267" s="587" t="str">
        <f>IF(VLOOKUP(H267,DS_131,1,0)&lt;&gt;"","","x")</f>
        <v/>
      </c>
      <c r="AB267" s="195"/>
    </row>
    <row r="268" spans="1:28" s="767" customFormat="1" ht="15.75" customHeight="1">
      <c r="A268" s="201" t="str">
        <f>IF(B268&lt;&gt;"",IF(AND(B268&gt;=_TM1,B268&lt;=_TM2,OR(TH!L268="1111",TH!M268="1111")),TH!D268,""),"")</f>
        <v/>
      </c>
      <c r="B268" s="36">
        <f t="shared" si="13"/>
        <v>4</v>
      </c>
      <c r="C268" s="188">
        <f t="shared" si="12"/>
        <v>41375</v>
      </c>
      <c r="D268" s="181" t="s">
        <v>1021</v>
      </c>
      <c r="E268" s="188">
        <v>41375</v>
      </c>
      <c r="F268" s="189" t="s">
        <v>1110</v>
      </c>
      <c r="G268" s="480" t="s">
        <v>767</v>
      </c>
      <c r="H268" s="190" t="s">
        <v>757</v>
      </c>
      <c r="I268" s="249">
        <v>103</v>
      </c>
      <c r="J268" s="249">
        <v>17820</v>
      </c>
      <c r="K268" s="38">
        <f>ROUND(I268*J268,0)</f>
        <v>1835460</v>
      </c>
      <c r="L268" s="191" t="s">
        <v>262</v>
      </c>
      <c r="M268" s="191" t="s">
        <v>172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IF(OR(TH!L268=TH!$U$7,M268=TH!$U$7),"x","")</f>
        <v/>
      </c>
      <c r="V268" s="52" t="str">
        <f>IF(AND(B268&gt;='IN-NX'!$P$3,B268&lt;='IN-NX'!$Q$3,'IN-NX'!$D$7=D268,OR(LEFT(L268,2)="15",AND(LEFT(M268,2)&lt;&gt;"15",LEFT(M268,2)&lt;&gt;"33"))),"x","")</f>
        <v/>
      </c>
      <c r="W268" s="52" t="str">
        <f>IF(AND(OR(LEFT(TH!L268,2)="15",LEFT(TH!M268,2)="15"),'152-CT'!$J$8=TH!F268),"x","")</f>
        <v/>
      </c>
      <c r="X268" s="52" t="str">
        <f>IF(AND(OR(LEFT(TH!L268,2)="15",LEFT(TH!M268,2)="15"),TK!$E$7=TH!F268),"x","")</f>
        <v/>
      </c>
      <c r="Y268" s="52" t="str">
        <f>IF(AND(B268&lt;=NKC!$N$8,B268&gt;=NKC!$M$8),"x","")</f>
        <v/>
      </c>
      <c r="Z268" s="208"/>
      <c r="AA268" s="587"/>
      <c r="AB268" s="195"/>
    </row>
    <row r="269" spans="1:28" s="767" customFormat="1" ht="15.75" customHeight="1">
      <c r="A269" s="201" t="str">
        <f>IF(B269&lt;&gt;"",IF(AND(B269&gt;=_TM1,B269&lt;=_TM2,OR(TH!L269="1111",TH!M269="1111")),TH!D269,""),"")</f>
        <v/>
      </c>
      <c r="B269" s="36">
        <f t="shared" si="13"/>
        <v>4</v>
      </c>
      <c r="C269" s="188">
        <f t="shared" si="12"/>
        <v>41375</v>
      </c>
      <c r="D269" s="181" t="s">
        <v>1021</v>
      </c>
      <c r="E269" s="188">
        <v>41375</v>
      </c>
      <c r="F269" s="189" t="s">
        <v>768</v>
      </c>
      <c r="G269" s="480" t="s">
        <v>767</v>
      </c>
      <c r="H269" s="190" t="s">
        <v>757</v>
      </c>
      <c r="I269" s="249">
        <v>200</v>
      </c>
      <c r="J269" s="249">
        <v>1540</v>
      </c>
      <c r="K269" s="38">
        <f>ROUND(I269*J269,0)</f>
        <v>308000</v>
      </c>
      <c r="L269" s="191" t="s">
        <v>262</v>
      </c>
      <c r="M269" s="191" t="s">
        <v>172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IF(OR(TH!L269=TH!$U$7,M269=TH!$U$7),"x","")</f>
        <v/>
      </c>
      <c r="V269" s="52" t="str">
        <f>IF(AND(B269&gt;='IN-NX'!$P$3,B269&lt;='IN-NX'!$Q$3,'IN-NX'!$D$7=D269,OR(LEFT(L269,2)="15",AND(LEFT(M269,2)&lt;&gt;"15",LEFT(M269,2)&lt;&gt;"33"))),"x","")</f>
        <v/>
      </c>
      <c r="W269" s="52" t="str">
        <f>IF(AND(OR(LEFT(TH!L269,2)="15",LEFT(TH!M269,2)="15"),'152-CT'!$J$8=TH!F269),"x","")</f>
        <v/>
      </c>
      <c r="X269" s="52" t="str">
        <f>IF(AND(OR(LEFT(TH!L269,2)="15",LEFT(TH!M269,2)="15"),TK!$E$7=TH!F269),"x","")</f>
        <v/>
      </c>
      <c r="Y269" s="52" t="str">
        <f>IF(AND(B269&lt;=NKC!$N$8,B269&gt;=NKC!$M$8),"x","")</f>
        <v/>
      </c>
      <c r="Z269" s="208"/>
      <c r="AA269" s="587"/>
      <c r="AB269" s="195"/>
    </row>
    <row r="270" spans="1:28" s="767" customFormat="1" ht="15.75" customHeight="1">
      <c r="A270" s="201" t="str">
        <f>IF(B270&lt;&gt;"",IF(AND(B270&gt;=_TM1,B270&lt;=_TM2,OR(TH!L270="1111",TH!M270="1111")),TH!D270,""),"")</f>
        <v/>
      </c>
      <c r="B270" s="36">
        <f t="shared" si="13"/>
        <v>4</v>
      </c>
      <c r="C270" s="188">
        <f t="shared" si="12"/>
        <v>41375</v>
      </c>
      <c r="D270" s="181" t="s">
        <v>1021</v>
      </c>
      <c r="E270" s="188">
        <v>41375</v>
      </c>
      <c r="F270" s="186" t="s">
        <v>1108</v>
      </c>
      <c r="G270" s="480" t="s">
        <v>767</v>
      </c>
      <c r="H270" s="190" t="s">
        <v>757</v>
      </c>
      <c r="I270" s="249">
        <v>990</v>
      </c>
      <c r="J270" s="249">
        <v>5455</v>
      </c>
      <c r="K270" s="38">
        <f>ROUND(I270*J270,0)</f>
        <v>5400450</v>
      </c>
      <c r="L270" s="191" t="s">
        <v>262</v>
      </c>
      <c r="M270" s="191" t="s">
        <v>172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IF(OR(TH!L270=TH!$U$7,M270=TH!$U$7),"x","")</f>
        <v/>
      </c>
      <c r="V270" s="52" t="str">
        <f>IF(AND(B270&gt;='IN-NX'!$P$3,B270&lt;='IN-NX'!$Q$3,'IN-NX'!$D$7=D270,OR(LEFT(L270,2)="15",AND(LEFT(M270,2)&lt;&gt;"15",LEFT(M270,2)&lt;&gt;"33"))),"x","")</f>
        <v/>
      </c>
      <c r="W270" s="52" t="str">
        <f>IF(AND(OR(LEFT(TH!L270,2)="15",LEFT(TH!M270,2)="15"),'152-CT'!$J$8=TH!F270),"x","")</f>
        <v/>
      </c>
      <c r="X270" s="52" t="str">
        <f>IF(AND(OR(LEFT(TH!L270,2)="15",LEFT(TH!M270,2)="15"),TK!$E$7=TH!F270),"x","")</f>
        <v/>
      </c>
      <c r="Y270" s="52" t="str">
        <f>IF(AND(B270&lt;=NKC!$N$8,B270&gt;=NKC!$M$8),"x","")</f>
        <v/>
      </c>
      <c r="Z270" s="208"/>
      <c r="AA270" s="587"/>
      <c r="AB270" s="195"/>
    </row>
    <row r="271" spans="1:28" s="767" customFormat="1" ht="15.75" customHeight="1">
      <c r="A271" s="201" t="str">
        <f>IF(B271&lt;&gt;"",IF(AND(B271&gt;=_TM1,B271&lt;=_TM2,OR(TH!L271="1111",TH!M271="1111")),TH!D271,""),"")</f>
        <v/>
      </c>
      <c r="B271" s="36">
        <f t="shared" si="13"/>
        <v>4</v>
      </c>
      <c r="C271" s="188">
        <f t="shared" ref="C271:C331" si="14">E271</f>
        <v>41375</v>
      </c>
      <c r="D271" s="181" t="s">
        <v>1021</v>
      </c>
      <c r="E271" s="188">
        <v>41375</v>
      </c>
      <c r="F271" s="189" t="s">
        <v>693</v>
      </c>
      <c r="G271" s="189" t="s">
        <v>767</v>
      </c>
      <c r="H271" s="207" t="s">
        <v>757</v>
      </c>
      <c r="I271" s="249"/>
      <c r="J271" s="249"/>
      <c r="K271" s="38">
        <v>754391</v>
      </c>
      <c r="L271" s="191" t="s">
        <v>262</v>
      </c>
      <c r="M271" s="191" t="s">
        <v>425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IF(OR(TH!L271=TH!$U$7,M271=TH!$U$7),"x","")</f>
        <v/>
      </c>
      <c r="V271" s="52" t="str">
        <f>IF(AND(B271&gt;='IN-NX'!$P$3,B271&lt;='IN-NX'!$Q$3,'IN-NX'!$D$7=D271,OR(LEFT(L271,2)="15",AND(LEFT(M271,2)&lt;&gt;"15",LEFT(M271,2)&lt;&gt;"33"))),"x","")</f>
        <v/>
      </c>
      <c r="W271" s="52" t="str">
        <f>IF(AND(OR(LEFT(TH!L271,2)="15",LEFT(TH!M271,2)="15"),'152-CT'!$J$8=TH!F271),"x","")</f>
        <v/>
      </c>
      <c r="X271" s="52" t="str">
        <f>IF(AND(OR(LEFT(TH!L271,2)="15",LEFT(TH!M271,2)="15"),TK!$E$7=TH!F271),"x","")</f>
        <v/>
      </c>
      <c r="Y271" s="52" t="str">
        <f>IF(AND(B271&lt;=NKC!$N$8,B271&gt;=NKC!$M$8),"x","")</f>
        <v/>
      </c>
      <c r="Z271" s="208"/>
      <c r="AA271" s="587" t="str">
        <f>IF(VLOOKUP(H271,DS_131,1,0)&lt;&gt;"","","x")</f>
        <v/>
      </c>
      <c r="AB271" s="195"/>
    </row>
    <row r="272" spans="1:28" s="767" customFormat="1" ht="15.75" customHeight="1">
      <c r="A272" s="201" t="str">
        <f>IF(B272&lt;&gt;"",IF(AND(B272&gt;=_TM1,B272&lt;=_TM2,OR(TH!L272="1111",TH!M272="1111")),TH!D272,""),"")</f>
        <v/>
      </c>
      <c r="B272" s="36">
        <f t="shared" si="13"/>
        <v>4</v>
      </c>
      <c r="C272" s="188">
        <f t="shared" si="14"/>
        <v>41375</v>
      </c>
      <c r="D272" s="181" t="s">
        <v>439</v>
      </c>
      <c r="E272" s="188">
        <v>41375</v>
      </c>
      <c r="F272" s="186" t="s">
        <v>337</v>
      </c>
      <c r="G272" s="189" t="s">
        <v>1303</v>
      </c>
      <c r="H272" s="207" t="s">
        <v>757</v>
      </c>
      <c r="I272" s="249"/>
      <c r="J272" s="249"/>
      <c r="K272" s="38">
        <v>17577571</v>
      </c>
      <c r="L272" s="191" t="s">
        <v>47</v>
      </c>
      <c r="M272" s="191" t="s">
        <v>262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IF(OR(TH!L272=TH!$U$7,M272=TH!$U$7),"x","")</f>
        <v/>
      </c>
      <c r="V272" s="52" t="str">
        <f>IF(AND(B272&gt;='IN-NX'!$P$3,B272&lt;='IN-NX'!$Q$3,'IN-NX'!$D$7=D272,OR(LEFT(L272,2)="15",AND(LEFT(M272,2)&lt;&gt;"15",LEFT(M272,2)&lt;&gt;"33"))),"x","")</f>
        <v/>
      </c>
      <c r="W272" s="52" t="str">
        <f>IF(AND(OR(LEFT(TH!L272,2)="15",LEFT(TH!M272,2)="15"),'152-CT'!$J$8=TH!F272),"x","")</f>
        <v/>
      </c>
      <c r="X272" s="52" t="str">
        <f>IF(AND(OR(LEFT(TH!L272,2)="15",LEFT(TH!M272,2)="15"),TK!$E$7=TH!F272),"x","")</f>
        <v/>
      </c>
      <c r="Y272" s="52" t="str">
        <f>IF(AND(B272&lt;=NKC!$N$8,B272&gt;=NKC!$M$8),"x","")</f>
        <v/>
      </c>
      <c r="Z272" s="208"/>
      <c r="AA272" s="587" t="str">
        <f>IF(VLOOKUP(H272,DS_131,1,0)&lt;&gt;"","","x")</f>
        <v/>
      </c>
      <c r="AB272" s="195"/>
    </row>
    <row r="273" spans="1:28" s="767" customFormat="1" ht="15.75" customHeight="1">
      <c r="A273" s="201" t="str">
        <f>IF(B273&lt;&gt;"",IF(AND(B273&gt;=_TM1,B273&lt;=_TM2,OR(TH!L273="1111",TH!M273="1111")),TH!D273,""),"")</f>
        <v/>
      </c>
      <c r="B273" s="36">
        <f t="shared" si="13"/>
        <v>4</v>
      </c>
      <c r="C273" s="188">
        <f t="shared" si="14"/>
        <v>41376</v>
      </c>
      <c r="D273" s="181" t="s">
        <v>403</v>
      </c>
      <c r="E273" s="188">
        <v>41376</v>
      </c>
      <c r="F273" s="189" t="s">
        <v>610</v>
      </c>
      <c r="G273" s="478" t="s">
        <v>611</v>
      </c>
      <c r="H273" s="190" t="s">
        <v>612</v>
      </c>
      <c r="I273" s="249">
        <v>350</v>
      </c>
      <c r="J273" s="249">
        <v>7823</v>
      </c>
      <c r="K273" s="38">
        <f>ROUND(I273*J273,0)</f>
        <v>2738050</v>
      </c>
      <c r="L273" s="191" t="s">
        <v>156</v>
      </c>
      <c r="M273" s="191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IF(OR(TH!L273=TH!$U$7,M273=TH!$U$7),"x","")</f>
        <v/>
      </c>
      <c r="V273" s="52" t="str">
        <f>IF(AND(B273&gt;='IN-NX'!$P$3,B273&lt;='IN-NX'!$Q$3,'IN-NX'!$D$7=D273,OR(LEFT(L273,2)="15",AND(LEFT(M273,2)&lt;&gt;"15",LEFT(M273,2)&lt;&gt;"33"))),"x","")</f>
        <v/>
      </c>
      <c r="W273" s="52" t="str">
        <f>IF(AND(OR(LEFT(TH!L273,2)="15",LEFT(TH!M273,2)="15"),'152-CT'!$J$8=TH!F273),"x","")</f>
        <v/>
      </c>
      <c r="X273" s="52" t="str">
        <f>IF(AND(OR(LEFT(TH!L273,2)="15",LEFT(TH!M273,2)="15"),TK!$E$7=TH!F273),"x","")</f>
        <v/>
      </c>
      <c r="Y273" s="52" t="str">
        <f>IF(AND(B273&lt;=NKC!$N$8,B273&gt;=NKC!$M$8),"x","")</f>
        <v/>
      </c>
      <c r="Z273" s="208">
        <v>4</v>
      </c>
      <c r="AA273" s="195"/>
      <c r="AB273" s="195"/>
    </row>
    <row r="274" spans="1:28" s="767" customFormat="1" ht="15.75" customHeight="1">
      <c r="A274" s="201" t="str">
        <f>IF(B274&lt;&gt;"",IF(AND(B274&gt;=_TM1,B274&lt;=_TM2,OR(TH!L274="1111",TH!M274="1111")),TH!D274,""),"")</f>
        <v/>
      </c>
      <c r="B274" s="36">
        <f t="shared" si="13"/>
        <v>4</v>
      </c>
      <c r="C274" s="188">
        <f t="shared" si="14"/>
        <v>41376</v>
      </c>
      <c r="D274" s="181" t="s">
        <v>403</v>
      </c>
      <c r="E274" s="188">
        <v>41376</v>
      </c>
      <c r="F274" s="189" t="s">
        <v>613</v>
      </c>
      <c r="G274" s="478" t="s">
        <v>611</v>
      </c>
      <c r="H274" s="190" t="s">
        <v>612</v>
      </c>
      <c r="I274" s="249">
        <v>500</v>
      </c>
      <c r="J274" s="249">
        <v>19312</v>
      </c>
      <c r="K274" s="38">
        <f>ROUND(I274*J274,0)</f>
        <v>9656000</v>
      </c>
      <c r="L274" s="191" t="s">
        <v>156</v>
      </c>
      <c r="M274" s="191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IF(OR(TH!L274=TH!$U$7,M274=TH!$U$7),"x","")</f>
        <v/>
      </c>
      <c r="V274" s="52" t="str">
        <f>IF(AND(B274&gt;='IN-NX'!$P$3,B274&lt;='IN-NX'!$Q$3,'IN-NX'!$D$7=D274,OR(LEFT(L274,2)="15",AND(LEFT(M274,2)&lt;&gt;"15",LEFT(M274,2)&lt;&gt;"33"))),"x","")</f>
        <v/>
      </c>
      <c r="W274" s="52" t="str">
        <f>IF(AND(OR(LEFT(TH!L274,2)="15",LEFT(TH!M274,2)="15"),'152-CT'!$J$8=TH!F274),"x","")</f>
        <v/>
      </c>
      <c r="X274" s="52" t="str">
        <f>IF(AND(OR(LEFT(TH!L274,2)="15",LEFT(TH!M274,2)="15"),TK!$E$7=TH!F274),"x","")</f>
        <v/>
      </c>
      <c r="Y274" s="52" t="str">
        <f>IF(AND(B274&lt;=NKC!$N$8,B274&gt;=NKC!$M$8),"x","")</f>
        <v/>
      </c>
      <c r="Z274" s="208">
        <v>4</v>
      </c>
      <c r="AA274" s="195"/>
      <c r="AB274" s="195"/>
    </row>
    <row r="275" spans="1:28" s="767" customFormat="1" ht="15.75" customHeight="1">
      <c r="A275" s="201" t="str">
        <f>IF(B275&lt;&gt;"",IF(AND(B275&gt;=_TM1,B275&lt;=_TM2,OR(TH!L275="1111",TH!M275="1111")),TH!D275,""),"")</f>
        <v/>
      </c>
      <c r="B275" s="36">
        <f t="shared" si="13"/>
        <v>4</v>
      </c>
      <c r="C275" s="188">
        <f t="shared" si="14"/>
        <v>41376</v>
      </c>
      <c r="D275" s="181" t="s">
        <v>403</v>
      </c>
      <c r="E275" s="188">
        <v>41376</v>
      </c>
      <c r="F275" s="189" t="s">
        <v>614</v>
      </c>
      <c r="G275" s="478" t="s">
        <v>611</v>
      </c>
      <c r="H275" s="190" t="s">
        <v>612</v>
      </c>
      <c r="I275" s="249">
        <v>250</v>
      </c>
      <c r="J275" s="249">
        <v>17792</v>
      </c>
      <c r="K275" s="38">
        <f>ROUND(I275*J275,0)</f>
        <v>4448000</v>
      </c>
      <c r="L275" s="191" t="s">
        <v>156</v>
      </c>
      <c r="M275" s="191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IF(OR(TH!L275=TH!$U$7,M275=TH!$U$7),"x","")</f>
        <v/>
      </c>
      <c r="V275" s="52" t="str">
        <f>IF(AND(B275&gt;='IN-NX'!$P$3,B275&lt;='IN-NX'!$Q$3,'IN-NX'!$D$7=D275,OR(LEFT(L275,2)="15",AND(LEFT(M275,2)&lt;&gt;"15",LEFT(M275,2)&lt;&gt;"33"))),"x","")</f>
        <v/>
      </c>
      <c r="W275" s="52" t="str">
        <f>IF(AND(OR(LEFT(TH!L275,2)="15",LEFT(TH!M275,2)="15"),'152-CT'!$J$8=TH!F275),"x","")</f>
        <v/>
      </c>
      <c r="X275" s="52" t="str">
        <f>IF(AND(OR(LEFT(TH!L275,2)="15",LEFT(TH!M275,2)="15"),TK!$E$7=TH!F275),"x","")</f>
        <v/>
      </c>
      <c r="Y275" s="52" t="str">
        <f>IF(AND(B275&lt;=NKC!$N$8,B275&gt;=NKC!$M$8),"x","")</f>
        <v/>
      </c>
      <c r="Z275" s="208">
        <v>4</v>
      </c>
      <c r="AA275" s="195"/>
      <c r="AB275" s="195"/>
    </row>
    <row r="276" spans="1:28" s="767" customFormat="1" ht="15.75" customHeight="1">
      <c r="A276" s="201" t="str">
        <f>IF(B276&lt;&gt;"",IF(AND(B276&gt;=_TM1,B276&lt;=_TM2,OR(TH!L276="1111",TH!M276="1111")),TH!D276,""),"")</f>
        <v/>
      </c>
      <c r="B276" s="36">
        <f t="shared" si="13"/>
        <v>4</v>
      </c>
      <c r="C276" s="188">
        <f t="shared" si="14"/>
        <v>41376</v>
      </c>
      <c r="D276" s="181" t="s">
        <v>403</v>
      </c>
      <c r="E276" s="188">
        <v>41376</v>
      </c>
      <c r="F276" s="189" t="s">
        <v>557</v>
      </c>
      <c r="G276" s="478" t="s">
        <v>611</v>
      </c>
      <c r="H276" s="190" t="s">
        <v>612</v>
      </c>
      <c r="I276" s="249"/>
      <c r="J276" s="249"/>
      <c r="K276" s="38">
        <v>1684205</v>
      </c>
      <c r="L276" s="191" t="s">
        <v>9</v>
      </c>
      <c r="M276" s="191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IF(OR(TH!L276=TH!$U$7,M276=TH!$U$7),"x","")</f>
        <v/>
      </c>
      <c r="V276" s="52" t="str">
        <f>IF(AND(B276&gt;='IN-NX'!$P$3,B276&lt;='IN-NX'!$Q$3,'IN-NX'!$D$7=D276,OR(LEFT(L276,2)="15",AND(LEFT(M276,2)&lt;&gt;"15",LEFT(M276,2)&lt;&gt;"33"))),"x","")</f>
        <v/>
      </c>
      <c r="W276" s="52" t="str">
        <f>IF(AND(OR(LEFT(TH!L276,2)="15",LEFT(TH!M276,2)="15"),'152-CT'!$J$8=TH!F276),"x","")</f>
        <v/>
      </c>
      <c r="X276" s="52" t="str">
        <f>IF(AND(OR(LEFT(TH!L276,2)="15",LEFT(TH!M276,2)="15"),TK!$E$7=TH!F276),"x","")</f>
        <v/>
      </c>
      <c r="Y276" s="52" t="str">
        <f>IF(AND(B276&lt;=NKC!$N$8,B276&gt;=NKC!$M$8),"x","")</f>
        <v/>
      </c>
      <c r="Z276" s="208">
        <v>4</v>
      </c>
      <c r="AA276" s="195"/>
      <c r="AB276" s="195"/>
    </row>
    <row r="277" spans="1:28" s="767" customFormat="1" ht="15.75" customHeight="1">
      <c r="A277" s="201" t="str">
        <f>IF(B277&lt;&gt;"",IF(AND(B277&gt;=_TM1,B277&lt;=_TM2,OR(TH!L277="1111",TH!M277="1111")),TH!D277,""),"")</f>
        <v/>
      </c>
      <c r="B277" s="36">
        <f t="shared" si="13"/>
        <v>4</v>
      </c>
      <c r="C277" s="188">
        <f t="shared" si="14"/>
        <v>41376</v>
      </c>
      <c r="D277" s="181" t="s">
        <v>374</v>
      </c>
      <c r="E277" s="188">
        <v>41376</v>
      </c>
      <c r="F277" s="189" t="s">
        <v>367</v>
      </c>
      <c r="G277" s="478" t="s">
        <v>611</v>
      </c>
      <c r="H277" s="190" t="s">
        <v>612</v>
      </c>
      <c r="I277" s="249"/>
      <c r="J277" s="249"/>
      <c r="K277" s="38">
        <v>18526255</v>
      </c>
      <c r="L277" s="191" t="s">
        <v>8</v>
      </c>
      <c r="M277" s="191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IF(OR(TH!L277=TH!$U$7,M277=TH!$U$7),"x","")</f>
        <v/>
      </c>
      <c r="V277" s="52" t="str">
        <f>IF(AND(B277&gt;='IN-NX'!$P$3,B277&lt;='IN-NX'!$Q$3,'IN-NX'!$D$7=D277,OR(LEFT(L277,2)="15",AND(LEFT(M277,2)&lt;&gt;"15",LEFT(M277,2)&lt;&gt;"33"))),"x","")</f>
        <v/>
      </c>
      <c r="W277" s="52" t="str">
        <f>IF(AND(OR(LEFT(TH!L277,2)="15",LEFT(TH!M277,2)="15"),'152-CT'!$J$8=TH!F277),"x","")</f>
        <v/>
      </c>
      <c r="X277" s="52" t="str">
        <f>IF(AND(OR(LEFT(TH!L277,2)="15",LEFT(TH!M277,2)="15"),TK!$E$7=TH!F277),"x","")</f>
        <v/>
      </c>
      <c r="Y277" s="52" t="str">
        <f>IF(AND(B277&lt;=NKC!$N$8,B277&gt;=NKC!$M$8),"x","")</f>
        <v/>
      </c>
      <c r="Z277" s="208"/>
      <c r="AA277" s="195"/>
      <c r="AB277" s="195"/>
    </row>
    <row r="278" spans="1:28" s="767" customFormat="1" ht="15.75" customHeight="1">
      <c r="A278" s="201" t="str">
        <f>IF(B278&lt;&gt;"",IF(AND(B278&gt;=_TM1,B278&lt;=_TM2,OR(TH!L278="1111",TH!M278="1111")),TH!D278,""),"")</f>
        <v/>
      </c>
      <c r="B278" s="36">
        <f t="shared" si="13"/>
        <v>4</v>
      </c>
      <c r="C278" s="188">
        <f t="shared" si="14"/>
        <v>41376</v>
      </c>
      <c r="D278" s="181" t="s">
        <v>1022</v>
      </c>
      <c r="E278" s="188">
        <v>41376</v>
      </c>
      <c r="F278" s="189" t="s">
        <v>722</v>
      </c>
      <c r="G278" s="189" t="s">
        <v>769</v>
      </c>
      <c r="H278" s="7" t="s">
        <v>472</v>
      </c>
      <c r="I278" s="249">
        <v>1095</v>
      </c>
      <c r="J278" s="249">
        <v>13700</v>
      </c>
      <c r="K278" s="38">
        <f>ROUND(I278*J278,0)</f>
        <v>15001500</v>
      </c>
      <c r="L278" s="191" t="s">
        <v>262</v>
      </c>
      <c r="M278" s="191" t="s">
        <v>172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IF(OR(TH!L278=TH!$U$7,M278=TH!$U$7),"x","")</f>
        <v/>
      </c>
      <c r="V278" s="52" t="str">
        <f>IF(AND(B278&gt;='IN-NX'!$P$3,B278&lt;='IN-NX'!$Q$3,'IN-NX'!$D$7=D278,OR(LEFT(L278,2)="15",AND(LEFT(M278,2)&lt;&gt;"15",LEFT(M278,2)&lt;&gt;"33"))),"x","")</f>
        <v/>
      </c>
      <c r="W278" s="52" t="str">
        <f>IF(AND(OR(LEFT(TH!L278,2)="15",LEFT(TH!M278,2)="15"),'152-CT'!$J$8=TH!F278),"x","")</f>
        <v/>
      </c>
      <c r="X278" s="52" t="str">
        <f>IF(AND(OR(LEFT(TH!L278,2)="15",LEFT(TH!M278,2)="15"),TK!$E$7=TH!F278),"x","")</f>
        <v/>
      </c>
      <c r="Y278" s="52" t="str">
        <f>IF(AND(B278&lt;=NKC!$N$8,B278&gt;=NKC!$M$8),"x","")</f>
        <v/>
      </c>
      <c r="Z278" s="208"/>
      <c r="AA278" s="587"/>
      <c r="AB278" s="195"/>
    </row>
    <row r="279" spans="1:28" s="767" customFormat="1" ht="15.75" customHeight="1">
      <c r="A279" s="201" t="str">
        <f>IF(B279&lt;&gt;"",IF(AND(B279&gt;=_TM1,B279&lt;=_TM2,OR(TH!L279="1111",TH!M279="1111")),TH!D279,""),"")</f>
        <v/>
      </c>
      <c r="B279" s="36">
        <f t="shared" si="13"/>
        <v>4</v>
      </c>
      <c r="C279" s="188">
        <f t="shared" si="14"/>
        <v>41376</v>
      </c>
      <c r="D279" s="181" t="s">
        <v>1022</v>
      </c>
      <c r="E279" s="188">
        <v>41376</v>
      </c>
      <c r="F279" s="189" t="s">
        <v>719</v>
      </c>
      <c r="G279" s="189" t="s">
        <v>769</v>
      </c>
      <c r="H279" s="7" t="s">
        <v>472</v>
      </c>
      <c r="I279" s="249">
        <v>360</v>
      </c>
      <c r="J279" s="249">
        <v>12600</v>
      </c>
      <c r="K279" s="38">
        <f>ROUND(I279*J279,0)</f>
        <v>4536000</v>
      </c>
      <c r="L279" s="191" t="s">
        <v>262</v>
      </c>
      <c r="M279" s="191" t="s">
        <v>172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IF(OR(TH!L279=TH!$U$7,M279=TH!$U$7),"x","")</f>
        <v/>
      </c>
      <c r="V279" s="52" t="str">
        <f>IF(AND(B279&gt;='IN-NX'!$P$3,B279&lt;='IN-NX'!$Q$3,'IN-NX'!$D$7=D279,OR(LEFT(L279,2)="15",AND(LEFT(M279,2)&lt;&gt;"15",LEFT(M279,2)&lt;&gt;"33"))),"x","")</f>
        <v/>
      </c>
      <c r="W279" s="52" t="str">
        <f>IF(AND(OR(LEFT(TH!L279,2)="15",LEFT(TH!M279,2)="15"),'152-CT'!$J$8=TH!F279),"x","")</f>
        <v/>
      </c>
      <c r="X279" s="52" t="str">
        <f>IF(AND(OR(LEFT(TH!L279,2)="15",LEFT(TH!M279,2)="15"),TK!$E$7=TH!F279),"x","")</f>
        <v/>
      </c>
      <c r="Y279" s="52" t="str">
        <f>IF(AND(B279&lt;=NKC!$N$8,B279&gt;=NKC!$M$8),"x","")</f>
        <v/>
      </c>
      <c r="Z279" s="208"/>
      <c r="AA279" s="587"/>
      <c r="AB279" s="195"/>
    </row>
    <row r="280" spans="1:28" s="767" customFormat="1" ht="15.75" customHeight="1">
      <c r="A280" s="201" t="str">
        <f>IF(B280&lt;&gt;"",IF(AND(B280&gt;=_TM1,B280&lt;=_TM2,OR(TH!L280="1111",TH!M280="1111")),TH!D280,""),"")</f>
        <v/>
      </c>
      <c r="B280" s="36">
        <f t="shared" si="13"/>
        <v>4</v>
      </c>
      <c r="C280" s="188">
        <f t="shared" si="14"/>
        <v>41376</v>
      </c>
      <c r="D280" s="181" t="s">
        <v>1022</v>
      </c>
      <c r="E280" s="188">
        <v>41376</v>
      </c>
      <c r="F280" s="189" t="s">
        <v>693</v>
      </c>
      <c r="G280" s="480" t="s">
        <v>769</v>
      </c>
      <c r="H280" s="7" t="s">
        <v>472</v>
      </c>
      <c r="I280" s="249"/>
      <c r="J280" s="249"/>
      <c r="K280" s="837">
        <v>1953750</v>
      </c>
      <c r="L280" s="191" t="s">
        <v>262</v>
      </c>
      <c r="M280" s="191" t="s">
        <v>425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IF(OR(TH!L280=TH!$U$7,M280=TH!$U$7),"x","")</f>
        <v/>
      </c>
      <c r="V280" s="52" t="str">
        <f>IF(AND(B280&gt;='IN-NX'!$P$3,B280&lt;='IN-NX'!$Q$3,'IN-NX'!$D$7=D280,OR(LEFT(L280,2)="15",AND(LEFT(M280,2)&lt;&gt;"15",LEFT(M280,2)&lt;&gt;"33"))),"x","")</f>
        <v/>
      </c>
      <c r="W280" s="52" t="str">
        <f>IF(AND(OR(LEFT(TH!L280,2)="15",LEFT(TH!M280,2)="15"),'152-CT'!$J$8=TH!F280),"x","")</f>
        <v/>
      </c>
      <c r="X280" s="52" t="str">
        <f>IF(AND(OR(LEFT(TH!L280,2)="15",LEFT(TH!M280,2)="15"),TK!$E$7=TH!F280),"x","")</f>
        <v/>
      </c>
      <c r="Y280" s="52" t="str">
        <f>IF(AND(B280&lt;=NKC!$N$8,B280&gt;=NKC!$M$8),"x","")</f>
        <v/>
      </c>
      <c r="Z280" s="208"/>
      <c r="AA280" s="587" t="str">
        <f>IF(VLOOKUP(H280,DS_131,1,0)&lt;&gt;"","","x")</f>
        <v/>
      </c>
      <c r="AB280" s="195"/>
    </row>
    <row r="281" spans="1:28" s="767" customFormat="1" ht="15.75" customHeight="1">
      <c r="A281" s="201" t="str">
        <f>IF(B281&lt;&gt;"",IF(AND(B281&gt;=_TM1,B281&lt;=_TM2,OR(TH!L281="1111",TH!M281="1111")),TH!D281,""),"")</f>
        <v/>
      </c>
      <c r="B281" s="36">
        <f t="shared" si="13"/>
        <v>4</v>
      </c>
      <c r="C281" s="188">
        <f t="shared" si="14"/>
        <v>41380</v>
      </c>
      <c r="D281" s="181" t="s">
        <v>1023</v>
      </c>
      <c r="E281" s="188">
        <v>41380</v>
      </c>
      <c r="F281" s="189" t="s">
        <v>1103</v>
      </c>
      <c r="G281" s="480" t="s">
        <v>770</v>
      </c>
      <c r="H281" s="7" t="s">
        <v>427</v>
      </c>
      <c r="I281" s="249">
        <v>3930</v>
      </c>
      <c r="J281" s="249">
        <v>6350</v>
      </c>
      <c r="K281" s="38">
        <f>ROUND(I281*J281,0)</f>
        <v>24955500</v>
      </c>
      <c r="L281" s="191" t="s">
        <v>262</v>
      </c>
      <c r="M281" s="191" t="s">
        <v>172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IF(OR(TH!L281=TH!$U$7,M281=TH!$U$7),"x","")</f>
        <v/>
      </c>
      <c r="V281" s="52" t="str">
        <f>IF(AND(B281&gt;='IN-NX'!$P$3,B281&lt;='IN-NX'!$Q$3,'IN-NX'!$D$7=D281,OR(LEFT(L281,2)="15",AND(LEFT(M281,2)&lt;&gt;"15",LEFT(M281,2)&lt;&gt;"33"))),"x","")</f>
        <v/>
      </c>
      <c r="W281" s="52" t="str">
        <f>IF(AND(OR(LEFT(TH!L281,2)="15",LEFT(TH!M281,2)="15"),'152-CT'!$J$8=TH!F281),"x","")</f>
        <v/>
      </c>
      <c r="X281" s="52" t="str">
        <f>IF(AND(OR(LEFT(TH!L281,2)="15",LEFT(TH!M281,2)="15"),TK!$E$7=TH!F281),"x","")</f>
        <v/>
      </c>
      <c r="Y281" s="52" t="str">
        <f>IF(AND(B281&lt;=NKC!$N$8,B281&gt;=NKC!$M$8),"x","")</f>
        <v/>
      </c>
      <c r="Z281" s="208"/>
      <c r="AA281" s="587"/>
      <c r="AB281" s="195"/>
    </row>
    <row r="282" spans="1:28" s="767" customFormat="1" ht="15.75" customHeight="1">
      <c r="A282" s="201" t="str">
        <f>IF(B282&lt;&gt;"",IF(AND(B282&gt;=_TM1,B282&lt;=_TM2,OR(TH!L282="1111",TH!M282="1111")),TH!D282,""),"")</f>
        <v/>
      </c>
      <c r="B282" s="36">
        <f t="shared" si="13"/>
        <v>4</v>
      </c>
      <c r="C282" s="188">
        <f t="shared" si="14"/>
        <v>41380</v>
      </c>
      <c r="D282" s="181" t="s">
        <v>1023</v>
      </c>
      <c r="E282" s="188">
        <v>41380</v>
      </c>
      <c r="F282" s="189" t="s">
        <v>693</v>
      </c>
      <c r="G282" s="480" t="s">
        <v>770</v>
      </c>
      <c r="H282" s="7" t="s">
        <v>427</v>
      </c>
      <c r="I282" s="249"/>
      <c r="J282" s="249"/>
      <c r="K282" s="38">
        <v>2495550</v>
      </c>
      <c r="L282" s="191" t="s">
        <v>262</v>
      </c>
      <c r="M282" s="191" t="s">
        <v>425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IF(OR(TH!L282=TH!$U$7,M282=TH!$U$7),"x","")</f>
        <v/>
      </c>
      <c r="V282" s="52" t="str">
        <f>IF(AND(B282&gt;='IN-NX'!$P$3,B282&lt;='IN-NX'!$Q$3,'IN-NX'!$D$7=D282,OR(LEFT(L282,2)="15",AND(LEFT(M282,2)&lt;&gt;"15",LEFT(M282,2)&lt;&gt;"33"))),"x","")</f>
        <v/>
      </c>
      <c r="W282" s="52" t="str">
        <f>IF(AND(OR(LEFT(TH!L282,2)="15",LEFT(TH!M282,2)="15"),'152-CT'!$J$8=TH!F282),"x","")</f>
        <v/>
      </c>
      <c r="X282" s="52" t="str">
        <f>IF(AND(OR(LEFT(TH!L282,2)="15",LEFT(TH!M282,2)="15"),TK!$E$7=TH!F282),"x","")</f>
        <v/>
      </c>
      <c r="Y282" s="52" t="str">
        <f>IF(AND(B282&lt;=NKC!$N$8,B282&gt;=NKC!$M$8),"x","")</f>
        <v/>
      </c>
      <c r="Z282" s="208"/>
      <c r="AA282" s="587" t="str">
        <f>IF(VLOOKUP(H282,DS_131,1,0)&lt;&gt;"","","x")</f>
        <v/>
      </c>
      <c r="AB282" s="587"/>
    </row>
    <row r="283" spans="1:28" s="767" customFormat="1" ht="15.75" customHeight="1">
      <c r="A283" s="201" t="str">
        <f>IF(B283&lt;&gt;"",IF(AND(B283&gt;=_TM1,B283&lt;=_TM2,OR(TH!L283="1111",TH!M283="1111")),TH!D283,""),"")</f>
        <v/>
      </c>
      <c r="B283" s="36">
        <f t="shared" si="13"/>
        <v>4</v>
      </c>
      <c r="C283" s="188">
        <f t="shared" si="14"/>
        <v>41380</v>
      </c>
      <c r="D283" s="181" t="s">
        <v>1024</v>
      </c>
      <c r="E283" s="188">
        <v>41380</v>
      </c>
      <c r="F283" s="189" t="s">
        <v>807</v>
      </c>
      <c r="G283" s="480" t="s">
        <v>771</v>
      </c>
      <c r="H283" s="7" t="s">
        <v>489</v>
      </c>
      <c r="I283" s="249">
        <v>1040</v>
      </c>
      <c r="J283" s="249">
        <v>6580</v>
      </c>
      <c r="K283" s="38">
        <f>ROUND(I283*J283,0)</f>
        <v>6843200</v>
      </c>
      <c r="L283" s="191" t="s">
        <v>262</v>
      </c>
      <c r="M283" s="191" t="s">
        <v>172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IF(OR(TH!L283=TH!$U$7,M283=TH!$U$7),"x","")</f>
        <v/>
      </c>
      <c r="V283" s="52" t="str">
        <f>IF(AND(B283&gt;='IN-NX'!$P$3,B283&lt;='IN-NX'!$Q$3,'IN-NX'!$D$7=D283,OR(LEFT(L283,2)="15",AND(LEFT(M283,2)&lt;&gt;"15",LEFT(M283,2)&lt;&gt;"33"))),"x","")</f>
        <v/>
      </c>
      <c r="W283" s="52" t="str">
        <f>IF(AND(OR(LEFT(TH!L283,2)="15",LEFT(TH!M283,2)="15"),'152-CT'!$J$8=TH!F283),"x","")</f>
        <v/>
      </c>
      <c r="X283" s="52" t="str">
        <f>IF(AND(OR(LEFT(TH!L283,2)="15",LEFT(TH!M283,2)="15"),TK!$E$7=TH!F283),"x","")</f>
        <v/>
      </c>
      <c r="Y283" s="52" t="str">
        <f>IF(AND(B283&lt;=NKC!$N$8,B283&gt;=NKC!$M$8),"x","")</f>
        <v/>
      </c>
      <c r="Z283" s="208"/>
      <c r="AA283" s="587"/>
      <c r="AB283" s="587"/>
    </row>
    <row r="284" spans="1:28" s="767" customFormat="1" ht="15.75" customHeight="1">
      <c r="A284" s="201" t="str">
        <f>IF(B284&lt;&gt;"",IF(AND(B284&gt;=_TM1,B284&lt;=_TM2,OR(TH!L284="1111",TH!M284="1111")),TH!D284,""),"")</f>
        <v/>
      </c>
      <c r="B284" s="36">
        <f t="shared" si="13"/>
        <v>4</v>
      </c>
      <c r="C284" s="188">
        <f t="shared" si="14"/>
        <v>41380</v>
      </c>
      <c r="D284" s="181" t="s">
        <v>1024</v>
      </c>
      <c r="E284" s="188">
        <v>41380</v>
      </c>
      <c r="F284" s="189" t="s">
        <v>693</v>
      </c>
      <c r="G284" s="480" t="s">
        <v>771</v>
      </c>
      <c r="H284" s="190" t="s">
        <v>489</v>
      </c>
      <c r="I284" s="249"/>
      <c r="J284" s="249"/>
      <c r="K284" s="38">
        <v>684320</v>
      </c>
      <c r="L284" s="191" t="s">
        <v>262</v>
      </c>
      <c r="M284" s="191" t="s">
        <v>425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IF(OR(TH!L284=TH!$U$7,M284=TH!$U$7),"x","")</f>
        <v/>
      </c>
      <c r="V284" s="52" t="str">
        <f>IF(AND(B284&gt;='IN-NX'!$P$3,B284&lt;='IN-NX'!$Q$3,'IN-NX'!$D$7=D284,OR(LEFT(L284,2)="15",AND(LEFT(M284,2)&lt;&gt;"15",LEFT(M284,2)&lt;&gt;"33"))),"x","")</f>
        <v/>
      </c>
      <c r="W284" s="52" t="str">
        <f>IF(AND(OR(LEFT(TH!L284,2)="15",LEFT(TH!M284,2)="15"),'152-CT'!$J$8=TH!F284),"x","")</f>
        <v/>
      </c>
      <c r="X284" s="52" t="str">
        <f>IF(AND(OR(LEFT(TH!L284,2)="15",LEFT(TH!M284,2)="15"),TK!$E$7=TH!F284),"x","")</f>
        <v/>
      </c>
      <c r="Y284" s="52" t="str">
        <f>IF(AND(B284&lt;=NKC!$N$8,B284&gt;=NKC!$M$8),"x","")</f>
        <v/>
      </c>
      <c r="Z284" s="208"/>
      <c r="AA284" s="587" t="str">
        <f>IF(VLOOKUP(H284,DS_131,1,0)&lt;&gt;"","","x")</f>
        <v/>
      </c>
      <c r="AB284" s="587"/>
    </row>
    <row r="285" spans="1:28" s="767" customFormat="1" ht="15.75" customHeight="1">
      <c r="A285" s="201" t="str">
        <f>IF(B285&lt;&gt;"",IF(AND(B285&gt;=_TM1,B285&lt;=_TM2,OR(TH!L285="1111",TH!M285="1111")),TH!D285,""),"")</f>
        <v/>
      </c>
      <c r="B285" s="36">
        <f t="shared" si="13"/>
        <v>4</v>
      </c>
      <c r="C285" s="188">
        <f t="shared" si="14"/>
        <v>41380</v>
      </c>
      <c r="D285" s="181" t="s">
        <v>449</v>
      </c>
      <c r="E285" s="188">
        <v>41380</v>
      </c>
      <c r="F285" s="186" t="s">
        <v>337</v>
      </c>
      <c r="G285" s="480" t="s">
        <v>771</v>
      </c>
      <c r="H285" s="190" t="s">
        <v>489</v>
      </c>
      <c r="I285" s="249"/>
      <c r="J285" s="249"/>
      <c r="K285" s="38">
        <v>7527520</v>
      </c>
      <c r="L285" s="191" t="s">
        <v>47</v>
      </c>
      <c r="M285" s="191" t="s">
        <v>262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>x</v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IF(OR(TH!L285=TH!$U$7,M285=TH!$U$7),"x","")</f>
        <v/>
      </c>
      <c r="V285" s="52" t="str">
        <f>IF(AND(B285&gt;='IN-NX'!$P$3,B285&lt;='IN-NX'!$Q$3,'IN-NX'!$D$7=D285,OR(LEFT(L285,2)="15",AND(LEFT(M285,2)&lt;&gt;"15",LEFT(M285,2)&lt;&gt;"33"))),"x","")</f>
        <v/>
      </c>
      <c r="W285" s="52" t="str">
        <f>IF(AND(OR(LEFT(TH!L285,2)="15",LEFT(TH!M285,2)="15"),'152-CT'!$J$8=TH!F285),"x","")</f>
        <v/>
      </c>
      <c r="X285" s="52" t="str">
        <f>IF(AND(OR(LEFT(TH!L285,2)="15",LEFT(TH!M285,2)="15"),TK!$E$7=TH!F285),"x","")</f>
        <v/>
      </c>
      <c r="Y285" s="52" t="str">
        <f>IF(AND(B285&lt;=NKC!$N$8,B285&gt;=NKC!$M$8),"x","")</f>
        <v/>
      </c>
      <c r="Z285" s="208"/>
      <c r="AA285" s="587" t="str">
        <f>IF(VLOOKUP(H285,DS_131,1,0)&lt;&gt;"","","x")</f>
        <v/>
      </c>
      <c r="AB285" s="587"/>
    </row>
    <row r="286" spans="1:28" s="767" customFormat="1" ht="15.75" customHeight="1">
      <c r="A286" s="201" t="str">
        <f>IF(B286&lt;&gt;"",IF(AND(B286&gt;=_TM1,B286&lt;=_TM2,OR(TH!L286="1111",TH!M286="1111")),TH!D286,""),"")</f>
        <v/>
      </c>
      <c r="B286" s="36">
        <f t="shared" si="13"/>
        <v>4</v>
      </c>
      <c r="C286" s="188">
        <f t="shared" si="14"/>
        <v>41381</v>
      </c>
      <c r="D286" s="181" t="s">
        <v>1025</v>
      </c>
      <c r="E286" s="188">
        <v>41381</v>
      </c>
      <c r="F286" s="189" t="s">
        <v>708</v>
      </c>
      <c r="G286" s="480" t="s">
        <v>452</v>
      </c>
      <c r="H286" s="190" t="s">
        <v>710</v>
      </c>
      <c r="I286" s="249">
        <v>670</v>
      </c>
      <c r="J286" s="249">
        <v>8000</v>
      </c>
      <c r="K286" s="38">
        <f>ROUND(I286*J286,0)</f>
        <v>5360000</v>
      </c>
      <c r="L286" s="191" t="s">
        <v>262</v>
      </c>
      <c r="M286" s="191" t="s">
        <v>172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IF(OR(TH!L286=TH!$U$7,M286=TH!$U$7),"x","")</f>
        <v/>
      </c>
      <c r="V286" s="52" t="str">
        <f>IF(AND(B286&gt;='IN-NX'!$P$3,B286&lt;='IN-NX'!$Q$3,'IN-NX'!$D$7=D286,OR(LEFT(L286,2)="15",AND(LEFT(M286,2)&lt;&gt;"15",LEFT(M286,2)&lt;&gt;"33"))),"x","")</f>
        <v/>
      </c>
      <c r="W286" s="52" t="str">
        <f>IF(AND(OR(LEFT(TH!L286,2)="15",LEFT(TH!M286,2)="15"),'152-CT'!$J$8=TH!F286),"x","")</f>
        <v/>
      </c>
      <c r="X286" s="52" t="str">
        <f>IF(AND(OR(LEFT(TH!L286,2)="15",LEFT(TH!M286,2)="15"),TK!$E$7=TH!F286),"x","")</f>
        <v/>
      </c>
      <c r="Y286" s="52" t="str">
        <f>IF(AND(B286&lt;=NKC!$N$8,B286&gt;=NKC!$M$8),"x","")</f>
        <v/>
      </c>
      <c r="Z286" s="208"/>
      <c r="AA286" s="587"/>
      <c r="AB286" s="195"/>
    </row>
    <row r="287" spans="1:28" s="767" customFormat="1" ht="15.75" customHeight="1">
      <c r="A287" s="201" t="str">
        <f>IF(B287&lt;&gt;"",IF(AND(B287&gt;=_TM1,B287&lt;=_TM2,OR(TH!L287="1111",TH!M287="1111")),TH!D287,""),"")</f>
        <v/>
      </c>
      <c r="B287" s="36">
        <f t="shared" si="13"/>
        <v>4</v>
      </c>
      <c r="C287" s="188">
        <f t="shared" si="14"/>
        <v>41381</v>
      </c>
      <c r="D287" s="181" t="s">
        <v>1025</v>
      </c>
      <c r="E287" s="188">
        <v>41381</v>
      </c>
      <c r="F287" s="189" t="s">
        <v>693</v>
      </c>
      <c r="G287" s="480" t="s">
        <v>452</v>
      </c>
      <c r="H287" s="190" t="s">
        <v>710</v>
      </c>
      <c r="I287" s="249"/>
      <c r="J287" s="249"/>
      <c r="K287" s="38">
        <v>536000</v>
      </c>
      <c r="L287" s="191" t="s">
        <v>262</v>
      </c>
      <c r="M287" s="191" t="s">
        <v>425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IF(OR(TH!L287=TH!$U$7,M287=TH!$U$7),"x","")</f>
        <v/>
      </c>
      <c r="V287" s="52" t="str">
        <f>IF(AND(B287&gt;='IN-NX'!$P$3,B287&lt;='IN-NX'!$Q$3,'IN-NX'!$D$7=D287,OR(LEFT(L287,2)="15",AND(LEFT(M287,2)&lt;&gt;"15",LEFT(M287,2)&lt;&gt;"33"))),"x","")</f>
        <v/>
      </c>
      <c r="W287" s="52" t="str">
        <f>IF(AND(OR(LEFT(TH!L287,2)="15",LEFT(TH!M287,2)="15"),'152-CT'!$J$8=TH!F287),"x","")</f>
        <v/>
      </c>
      <c r="X287" s="52" t="str">
        <f>IF(AND(OR(LEFT(TH!L287,2)="15",LEFT(TH!M287,2)="15"),TK!$E$7=TH!F287),"x","")</f>
        <v/>
      </c>
      <c r="Y287" s="52" t="str">
        <f>IF(AND(B287&lt;=NKC!$N$8,B287&gt;=NKC!$M$8),"x","")</f>
        <v/>
      </c>
      <c r="Z287" s="208"/>
      <c r="AA287" s="587" t="str">
        <f>IF(VLOOKUP(H287,DS_131,1,0)&lt;&gt;"","","x")</f>
        <v/>
      </c>
      <c r="AB287" s="195"/>
    </row>
    <row r="288" spans="1:28" s="767" customFormat="1" ht="15.75" customHeight="1">
      <c r="A288" s="201" t="str">
        <f>IF(B288&lt;&gt;"",IF(AND(B288&gt;=_TM1,B288&lt;=_TM2,OR(TH!L288="1111",TH!M288="1111")),TH!D288,""),"")</f>
        <v/>
      </c>
      <c r="B288" s="36">
        <f t="shared" si="13"/>
        <v>4</v>
      </c>
      <c r="C288" s="188">
        <f t="shared" si="14"/>
        <v>41381</v>
      </c>
      <c r="D288" s="181" t="s">
        <v>445</v>
      </c>
      <c r="E288" s="188">
        <v>41381</v>
      </c>
      <c r="F288" s="186" t="s">
        <v>337</v>
      </c>
      <c r="G288" s="480" t="s">
        <v>1320</v>
      </c>
      <c r="H288" s="190" t="s">
        <v>710</v>
      </c>
      <c r="I288" s="249"/>
      <c r="J288" s="249"/>
      <c r="K288" s="38">
        <v>10296000</v>
      </c>
      <c r="L288" s="191" t="s">
        <v>47</v>
      </c>
      <c r="M288" s="191" t="s">
        <v>262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>x</v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IF(OR(TH!L288=TH!$U$7,M288=TH!$U$7),"x","")</f>
        <v/>
      </c>
      <c r="V288" s="52" t="str">
        <f>IF(AND(B288&gt;='IN-NX'!$P$3,B288&lt;='IN-NX'!$Q$3,'IN-NX'!$D$7=D288,OR(LEFT(L288,2)="15",AND(LEFT(M288,2)&lt;&gt;"15",LEFT(M288,2)&lt;&gt;"33"))),"x","")</f>
        <v/>
      </c>
      <c r="W288" s="52" t="str">
        <f>IF(AND(OR(LEFT(TH!L288,2)="15",LEFT(TH!M288,2)="15"),'152-CT'!$J$8=TH!F288),"x","")</f>
        <v/>
      </c>
      <c r="X288" s="52" t="str">
        <f>IF(AND(OR(LEFT(TH!L288,2)="15",LEFT(TH!M288,2)="15"),TK!$E$7=TH!F288),"x","")</f>
        <v/>
      </c>
      <c r="Y288" s="52" t="str">
        <f>IF(AND(B288&lt;=NKC!$N$8,B288&gt;=NKC!$M$8),"x","")</f>
        <v/>
      </c>
      <c r="Z288" s="208"/>
      <c r="AA288" s="587" t="str">
        <f>IF(VLOOKUP(H288,DS_131,1,0)&lt;&gt;"","","x")</f>
        <v/>
      </c>
      <c r="AB288" s="195"/>
    </row>
    <row r="289" spans="1:28" s="767" customFormat="1" ht="15.75" customHeight="1">
      <c r="A289" s="201" t="str">
        <f>IF(B289&lt;&gt;"",IF(AND(B289&gt;=_TM1,B289&lt;=_TM2,OR(TH!L289="1111",TH!M289="1111")),TH!D289,""),"")</f>
        <v/>
      </c>
      <c r="B289" s="36">
        <f t="shared" si="13"/>
        <v>4</v>
      </c>
      <c r="C289" s="188">
        <f t="shared" si="14"/>
        <v>41387</v>
      </c>
      <c r="D289" s="181" t="s">
        <v>404</v>
      </c>
      <c r="E289" s="188">
        <v>41387</v>
      </c>
      <c r="F289" s="189" t="s">
        <v>615</v>
      </c>
      <c r="G289" s="480" t="s">
        <v>616</v>
      </c>
      <c r="H289" s="190" t="s">
        <v>612</v>
      </c>
      <c r="I289" s="249">
        <v>530</v>
      </c>
      <c r="J289" s="249">
        <v>7400</v>
      </c>
      <c r="K289" s="38">
        <f>ROUND(I289*J289,0)</f>
        <v>3922000</v>
      </c>
      <c r="L289" s="191" t="s">
        <v>156</v>
      </c>
      <c r="M289" s="191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IF(OR(TH!L289=TH!$U$7,M289=TH!$U$7),"x","")</f>
        <v/>
      </c>
      <c r="V289" s="52" t="str">
        <f>IF(AND(B289&gt;='IN-NX'!$P$3,B289&lt;='IN-NX'!$Q$3,'IN-NX'!$D$7=D289,OR(LEFT(L289,2)="15",AND(LEFT(M289,2)&lt;&gt;"15",LEFT(M289,2)&lt;&gt;"33"))),"x","")</f>
        <v/>
      </c>
      <c r="W289" s="52" t="str">
        <f>IF(AND(OR(LEFT(TH!L289,2)="15",LEFT(TH!M289,2)="15"),'152-CT'!$J$8=TH!F289),"x","")</f>
        <v/>
      </c>
      <c r="X289" s="52" t="str">
        <f>IF(AND(OR(LEFT(TH!L289,2)="15",LEFT(TH!M289,2)="15"),TK!$E$7=TH!F289),"x","")</f>
        <v/>
      </c>
      <c r="Y289" s="52" t="str">
        <f>IF(AND(B289&lt;=NKC!$N$8,B289&gt;=NKC!$M$8),"x","")</f>
        <v/>
      </c>
      <c r="Z289" s="587">
        <v>4</v>
      </c>
      <c r="AA289" s="195"/>
      <c r="AB289" s="195"/>
    </row>
    <row r="290" spans="1:28" s="767" customFormat="1" ht="15.75" customHeight="1">
      <c r="A290" s="201" t="str">
        <f>IF(B290&lt;&gt;"",IF(AND(B290&gt;=_TM1,B290&lt;=_TM2,OR(TH!L290="1111",TH!M290="1111")),TH!D290,""),"")</f>
        <v/>
      </c>
      <c r="B290" s="36">
        <f t="shared" si="13"/>
        <v>4</v>
      </c>
      <c r="C290" s="188">
        <f t="shared" si="14"/>
        <v>41387</v>
      </c>
      <c r="D290" s="181" t="s">
        <v>404</v>
      </c>
      <c r="E290" s="188">
        <v>41387</v>
      </c>
      <c r="F290" s="189" t="s">
        <v>617</v>
      </c>
      <c r="G290" s="480" t="s">
        <v>616</v>
      </c>
      <c r="H290" s="190" t="s">
        <v>612</v>
      </c>
      <c r="I290" s="249">
        <v>105</v>
      </c>
      <c r="J290" s="249">
        <v>6600</v>
      </c>
      <c r="K290" s="38">
        <f>ROUND(I290*J290,0)</f>
        <v>693000</v>
      </c>
      <c r="L290" s="191" t="s">
        <v>156</v>
      </c>
      <c r="M290" s="191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IF(OR(TH!L290=TH!$U$7,M290=TH!$U$7),"x","")</f>
        <v/>
      </c>
      <c r="V290" s="52" t="str">
        <f>IF(AND(B290&gt;='IN-NX'!$P$3,B290&lt;='IN-NX'!$Q$3,'IN-NX'!$D$7=D290,OR(LEFT(L290,2)="15",AND(LEFT(M290,2)&lt;&gt;"15",LEFT(M290,2)&lt;&gt;"33"))),"x","")</f>
        <v/>
      </c>
      <c r="W290" s="52" t="str">
        <f>IF(AND(OR(LEFT(TH!L290,2)="15",LEFT(TH!M290,2)="15"),'152-CT'!$J$8=TH!F290),"x","")</f>
        <v/>
      </c>
      <c r="X290" s="52" t="str">
        <f>IF(AND(OR(LEFT(TH!L290,2)="15",LEFT(TH!M290,2)="15"),TK!$E$7=TH!F290),"x","")</f>
        <v/>
      </c>
      <c r="Y290" s="52" t="str">
        <f>IF(AND(B290&lt;=NKC!$N$8,B290&gt;=NKC!$M$8),"x","")</f>
        <v/>
      </c>
      <c r="Z290" s="587">
        <v>4</v>
      </c>
      <c r="AA290" s="195"/>
      <c r="AB290" s="195"/>
    </row>
    <row r="291" spans="1:28" s="767" customFormat="1" ht="15.75" customHeight="1">
      <c r="A291" s="201" t="str">
        <f>IF(B291&lt;&gt;"",IF(AND(B291&gt;=_TM1,B291&lt;=_TM2,OR(TH!L291="1111",TH!M291="1111")),TH!D291,""),"")</f>
        <v/>
      </c>
      <c r="B291" s="36">
        <f t="shared" si="13"/>
        <v>4</v>
      </c>
      <c r="C291" s="188">
        <f t="shared" si="14"/>
        <v>41387</v>
      </c>
      <c r="D291" s="181" t="s">
        <v>404</v>
      </c>
      <c r="E291" s="188">
        <v>41387</v>
      </c>
      <c r="F291" s="189" t="s">
        <v>618</v>
      </c>
      <c r="G291" s="480" t="s">
        <v>616</v>
      </c>
      <c r="H291" s="190" t="s">
        <v>612</v>
      </c>
      <c r="I291" s="249">
        <v>215</v>
      </c>
      <c r="J291" s="249">
        <v>9200</v>
      </c>
      <c r="K291" s="38">
        <f>ROUND(I291*J291,0)</f>
        <v>1978000</v>
      </c>
      <c r="L291" s="191" t="s">
        <v>156</v>
      </c>
      <c r="M291" s="191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IF(OR(TH!L291=TH!$U$7,M291=TH!$U$7),"x","")</f>
        <v/>
      </c>
      <c r="V291" s="52" t="str">
        <f>IF(AND(B291&gt;='IN-NX'!$P$3,B291&lt;='IN-NX'!$Q$3,'IN-NX'!$D$7=D291,OR(LEFT(L291,2)="15",AND(LEFT(M291,2)&lt;&gt;"15",LEFT(M291,2)&lt;&gt;"33"))),"x","")</f>
        <v/>
      </c>
      <c r="W291" s="52" t="str">
        <f>IF(AND(OR(LEFT(TH!L291,2)="15",LEFT(TH!M291,2)="15"),'152-CT'!$J$8=TH!F291),"x","")</f>
        <v/>
      </c>
      <c r="X291" s="52" t="str">
        <f>IF(AND(OR(LEFT(TH!L291,2)="15",LEFT(TH!M291,2)="15"),TK!$E$7=TH!F291),"x","")</f>
        <v/>
      </c>
      <c r="Y291" s="52" t="str">
        <f>IF(AND(B291&lt;=NKC!$N$8,B291&gt;=NKC!$M$8),"x","")</f>
        <v/>
      </c>
      <c r="Z291" s="587">
        <v>4</v>
      </c>
      <c r="AA291" s="195"/>
      <c r="AB291" s="195"/>
    </row>
    <row r="292" spans="1:28" s="767" customFormat="1" ht="15.75" customHeight="1">
      <c r="A292" s="201" t="str">
        <f>IF(B292&lt;&gt;"",IF(AND(B292&gt;=_TM1,B292&lt;=_TM2,OR(TH!L292="1111",TH!M292="1111")),TH!D292,""),"")</f>
        <v/>
      </c>
      <c r="B292" s="36">
        <f t="shared" si="13"/>
        <v>4</v>
      </c>
      <c r="C292" s="188">
        <f t="shared" si="14"/>
        <v>41387</v>
      </c>
      <c r="D292" s="181" t="s">
        <v>404</v>
      </c>
      <c r="E292" s="188">
        <v>41387</v>
      </c>
      <c r="F292" s="189" t="s">
        <v>619</v>
      </c>
      <c r="G292" s="480" t="s">
        <v>616</v>
      </c>
      <c r="H292" s="190" t="s">
        <v>612</v>
      </c>
      <c r="I292" s="249">
        <v>2000</v>
      </c>
      <c r="J292" s="249">
        <v>5700</v>
      </c>
      <c r="K292" s="38">
        <f>ROUND(I292*J292,0)</f>
        <v>11400000</v>
      </c>
      <c r="L292" s="191" t="s">
        <v>156</v>
      </c>
      <c r="M292" s="191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IF(OR(TH!L292=TH!$U$7,M292=TH!$U$7),"x","")</f>
        <v/>
      </c>
      <c r="V292" s="52" t="str">
        <f>IF(AND(B292&gt;='IN-NX'!$P$3,B292&lt;='IN-NX'!$Q$3,'IN-NX'!$D$7=D292,OR(LEFT(L292,2)="15",AND(LEFT(M292,2)&lt;&gt;"15",LEFT(M292,2)&lt;&gt;"33"))),"x","")</f>
        <v/>
      </c>
      <c r="W292" s="52" t="str">
        <f>IF(AND(OR(LEFT(TH!L292,2)="15",LEFT(TH!M292,2)="15"),'152-CT'!$J$8=TH!F292),"x","")</f>
        <v/>
      </c>
      <c r="X292" s="52" t="str">
        <f>IF(AND(OR(LEFT(TH!L292,2)="15",LEFT(TH!M292,2)="15"),TK!$E$7=TH!F292),"x","")</f>
        <v/>
      </c>
      <c r="Y292" s="52" t="str">
        <f>IF(AND(B292&lt;=NKC!$N$8,B292&gt;=NKC!$M$8),"x","")</f>
        <v/>
      </c>
      <c r="Z292" s="587">
        <v>4</v>
      </c>
      <c r="AA292" s="195"/>
      <c r="AB292" s="195"/>
    </row>
    <row r="293" spans="1:28" s="767" customFormat="1" ht="15.75" customHeight="1">
      <c r="A293" s="201" t="str">
        <f>IF(B293&lt;&gt;"",IF(AND(B293&gt;=_TM1,B293&lt;=_TM2,OR(TH!L293="1111",TH!M293="1111")),TH!D293,""),"")</f>
        <v/>
      </c>
      <c r="B293" s="36">
        <f t="shared" si="13"/>
        <v>4</v>
      </c>
      <c r="C293" s="188">
        <f t="shared" si="14"/>
        <v>41387</v>
      </c>
      <c r="D293" s="181" t="s">
        <v>404</v>
      </c>
      <c r="E293" s="188">
        <v>41387</v>
      </c>
      <c r="F293" s="189" t="s">
        <v>557</v>
      </c>
      <c r="G293" s="480" t="s">
        <v>616</v>
      </c>
      <c r="H293" s="190" t="s">
        <v>612</v>
      </c>
      <c r="I293" s="249"/>
      <c r="J293" s="249"/>
      <c r="K293" s="38">
        <v>1799300</v>
      </c>
      <c r="L293" s="191" t="s">
        <v>9</v>
      </c>
      <c r="M293" s="191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IF(OR(TH!L293=TH!$U$7,M293=TH!$U$7),"x","")</f>
        <v/>
      </c>
      <c r="V293" s="52" t="str">
        <f>IF(AND(B293&gt;='IN-NX'!$P$3,B293&lt;='IN-NX'!$Q$3,'IN-NX'!$D$7=D293,OR(LEFT(L293,2)="15",AND(LEFT(M293,2)&lt;&gt;"15",LEFT(M293,2)&lt;&gt;"33"))),"x","")</f>
        <v/>
      </c>
      <c r="W293" s="52" t="str">
        <f>IF(AND(OR(LEFT(TH!L293,2)="15",LEFT(TH!M293,2)="15"),'152-CT'!$J$8=TH!F293),"x","")</f>
        <v/>
      </c>
      <c r="X293" s="52" t="str">
        <f>IF(AND(OR(LEFT(TH!L293,2)="15",LEFT(TH!M293,2)="15"),TK!$E$7=TH!F293),"x","")</f>
        <v/>
      </c>
      <c r="Y293" s="52" t="str">
        <f>IF(AND(B293&lt;=NKC!$N$8,B293&gt;=NKC!$M$8),"x","")</f>
        <v/>
      </c>
      <c r="Z293" s="587">
        <v>4</v>
      </c>
      <c r="AA293" s="195"/>
      <c r="AB293" s="195"/>
    </row>
    <row r="294" spans="1:28" s="767" customFormat="1" ht="15.75" customHeight="1">
      <c r="A294" s="201" t="str">
        <f>IF(B294&lt;&gt;"",IF(AND(B294&gt;=_TM1,B294&lt;=_TM2,OR(TH!L294="1111",TH!M294="1111")),TH!D294,""),"")</f>
        <v/>
      </c>
      <c r="B294" s="36">
        <f t="shared" si="13"/>
        <v>4</v>
      </c>
      <c r="C294" s="188">
        <f t="shared" si="14"/>
        <v>41387</v>
      </c>
      <c r="D294" s="181" t="s">
        <v>375</v>
      </c>
      <c r="E294" s="188">
        <v>41387</v>
      </c>
      <c r="F294" s="189" t="s">
        <v>367</v>
      </c>
      <c r="G294" s="480" t="s">
        <v>616</v>
      </c>
      <c r="H294" s="190" t="s">
        <v>612</v>
      </c>
      <c r="I294" s="249"/>
      <c r="J294" s="249"/>
      <c r="K294" s="38">
        <v>19792300</v>
      </c>
      <c r="L294" s="191" t="s">
        <v>8</v>
      </c>
      <c r="M294" s="191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IF(OR(TH!L294=TH!$U$7,M294=TH!$U$7),"x","")</f>
        <v/>
      </c>
      <c r="V294" s="52" t="str">
        <f>IF(AND(B294&gt;='IN-NX'!$P$3,B294&lt;='IN-NX'!$Q$3,'IN-NX'!$D$7=D294,OR(LEFT(L294,2)="15",AND(LEFT(M294,2)&lt;&gt;"15",LEFT(M294,2)&lt;&gt;"33"))),"x","")</f>
        <v/>
      </c>
      <c r="W294" s="52" t="str">
        <f>IF(AND(OR(LEFT(TH!L294,2)="15",LEFT(TH!M294,2)="15"),'152-CT'!$J$8=TH!F294),"x","")</f>
        <v/>
      </c>
      <c r="X294" s="52" t="str">
        <f>IF(AND(OR(LEFT(TH!L294,2)="15",LEFT(TH!M294,2)="15"),TK!$E$7=TH!F294),"x","")</f>
        <v/>
      </c>
      <c r="Y294" s="52" t="str">
        <f>IF(AND(B294&lt;=NKC!$N$8,B294&gt;=NKC!$M$8),"x","")</f>
        <v/>
      </c>
      <c r="Z294" s="208"/>
      <c r="AA294" s="195"/>
      <c r="AB294" s="195"/>
    </row>
    <row r="295" spans="1:28" s="767" customFormat="1" ht="15.75" customHeight="1">
      <c r="A295" s="201" t="str">
        <f>IF(B295&lt;&gt;"",IF(AND(B295&gt;=_TM1,B295&lt;=_TM2,OR(TH!L295="1111",TH!M295="1111")),TH!D295,""),"")</f>
        <v/>
      </c>
      <c r="B295" s="36">
        <f t="shared" si="13"/>
        <v>4</v>
      </c>
      <c r="C295" s="188">
        <f t="shared" si="14"/>
        <v>41387</v>
      </c>
      <c r="D295" s="181" t="s">
        <v>1026</v>
      </c>
      <c r="E295" s="188">
        <v>41387</v>
      </c>
      <c r="F295" s="189" t="s">
        <v>772</v>
      </c>
      <c r="G295" s="480" t="s">
        <v>773</v>
      </c>
      <c r="H295" s="190" t="s">
        <v>774</v>
      </c>
      <c r="I295" s="249">
        <v>514</v>
      </c>
      <c r="J295" s="249">
        <v>8700</v>
      </c>
      <c r="K295" s="38">
        <f>ROUND(I295*J295,0)</f>
        <v>4471800</v>
      </c>
      <c r="L295" s="191" t="s">
        <v>262</v>
      </c>
      <c r="M295" s="191" t="s">
        <v>172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IF(OR(TH!L295=TH!$U$7,M295=TH!$U$7),"x","")</f>
        <v/>
      </c>
      <c r="V295" s="52" t="str">
        <f>IF(AND(B295&gt;='IN-NX'!$P$3,B295&lt;='IN-NX'!$Q$3,'IN-NX'!$D$7=D295,OR(LEFT(L295,2)="15",AND(LEFT(M295,2)&lt;&gt;"15",LEFT(M295,2)&lt;&gt;"33"))),"x","")</f>
        <v/>
      </c>
      <c r="W295" s="52" t="str">
        <f>IF(AND(OR(LEFT(TH!L295,2)="15",LEFT(TH!M295,2)="15"),'152-CT'!$J$8=TH!F295),"x","")</f>
        <v/>
      </c>
      <c r="X295" s="52" t="str">
        <f>IF(AND(OR(LEFT(TH!L295,2)="15",LEFT(TH!M295,2)="15"),TK!$E$7=TH!F295),"x","")</f>
        <v/>
      </c>
      <c r="Y295" s="52" t="str">
        <f>IF(AND(B295&lt;=NKC!$N$8,B295&gt;=NKC!$M$8),"x","")</f>
        <v/>
      </c>
      <c r="Z295" s="208"/>
      <c r="AA295" s="587"/>
      <c r="AB295" s="195"/>
    </row>
    <row r="296" spans="1:28" s="767" customFormat="1" ht="15.75" customHeight="1">
      <c r="A296" s="201" t="str">
        <f>IF(B296&lt;&gt;"",IF(AND(B296&gt;=_TM1,B296&lt;=_TM2,OR(TH!L296="1111",TH!M296="1111")),TH!D296,""),"")</f>
        <v/>
      </c>
      <c r="B296" s="36">
        <f t="shared" si="13"/>
        <v>4</v>
      </c>
      <c r="C296" s="188">
        <f t="shared" si="14"/>
        <v>41387</v>
      </c>
      <c r="D296" s="181" t="s">
        <v>1026</v>
      </c>
      <c r="E296" s="188">
        <v>41387</v>
      </c>
      <c r="F296" s="189" t="s">
        <v>775</v>
      </c>
      <c r="G296" s="480" t="s">
        <v>773</v>
      </c>
      <c r="H296" s="190" t="s">
        <v>774</v>
      </c>
      <c r="I296" s="250">
        <v>520</v>
      </c>
      <c r="J296" s="250">
        <v>9100</v>
      </c>
      <c r="K296" s="38">
        <f>ROUND(I296*J296,0)</f>
        <v>4732000</v>
      </c>
      <c r="L296" s="191" t="s">
        <v>262</v>
      </c>
      <c r="M296" s="191" t="s">
        <v>172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IF(OR(TH!L296=TH!$U$7,M296=TH!$U$7),"x","")</f>
        <v/>
      </c>
      <c r="V296" s="52" t="str">
        <f>IF(AND(B296&gt;='IN-NX'!$P$3,B296&lt;='IN-NX'!$Q$3,'IN-NX'!$D$7=D296,OR(LEFT(L296,2)="15",AND(LEFT(M296,2)&lt;&gt;"15",LEFT(M296,2)&lt;&gt;"33"))),"x","")</f>
        <v/>
      </c>
      <c r="W296" s="52" t="str">
        <f>IF(AND(OR(LEFT(TH!L296,2)="15",LEFT(TH!M296,2)="15"),'152-CT'!$J$8=TH!F296),"x","")</f>
        <v/>
      </c>
      <c r="X296" s="52" t="str">
        <f>IF(AND(OR(LEFT(TH!L296,2)="15",LEFT(TH!M296,2)="15"),TK!$E$7=TH!F296),"x","")</f>
        <v/>
      </c>
      <c r="Y296" s="52" t="str">
        <f>IF(AND(B296&lt;=NKC!$N$8,B296&gt;=NKC!$M$8),"x","")</f>
        <v/>
      </c>
      <c r="Z296" s="208"/>
      <c r="AA296" s="587"/>
      <c r="AB296" s="195"/>
    </row>
    <row r="297" spans="1:28" s="767" customFormat="1" ht="15.75" customHeight="1">
      <c r="A297" s="201" t="str">
        <f>IF(B297&lt;&gt;"",IF(AND(B297&gt;=_TM1,B297&lt;=_TM2,OR(TH!L297="1111",TH!M297="1111")),TH!D297,""),"")</f>
        <v/>
      </c>
      <c r="B297" s="36">
        <f t="shared" si="13"/>
        <v>4</v>
      </c>
      <c r="C297" s="188">
        <f t="shared" si="14"/>
        <v>41387</v>
      </c>
      <c r="D297" s="181" t="s">
        <v>1026</v>
      </c>
      <c r="E297" s="188">
        <v>41387</v>
      </c>
      <c r="F297" s="189" t="s">
        <v>693</v>
      </c>
      <c r="G297" s="480" t="s">
        <v>773</v>
      </c>
      <c r="H297" s="190" t="s">
        <v>774</v>
      </c>
      <c r="I297" s="249"/>
      <c r="J297" s="249"/>
      <c r="K297" s="38">
        <v>920380</v>
      </c>
      <c r="L297" s="191" t="s">
        <v>262</v>
      </c>
      <c r="M297" s="191" t="s">
        <v>425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IF(OR(TH!L297=TH!$U$7,M297=TH!$U$7),"x","")</f>
        <v/>
      </c>
      <c r="V297" s="52" t="str">
        <f>IF(AND(B297&gt;='IN-NX'!$P$3,B297&lt;='IN-NX'!$Q$3,'IN-NX'!$D$7=D297,OR(LEFT(L297,2)="15",AND(LEFT(M297,2)&lt;&gt;"15",LEFT(M297,2)&lt;&gt;"33"))),"x","")</f>
        <v/>
      </c>
      <c r="W297" s="52" t="str">
        <f>IF(AND(OR(LEFT(TH!L297,2)="15",LEFT(TH!M297,2)="15"),'152-CT'!$J$8=TH!F297),"x","")</f>
        <v/>
      </c>
      <c r="X297" s="52" t="str">
        <f>IF(AND(OR(LEFT(TH!L297,2)="15",LEFT(TH!M297,2)="15"),TK!$E$7=TH!F297),"x","")</f>
        <v/>
      </c>
      <c r="Y297" s="52" t="str">
        <f>IF(AND(B297&lt;=NKC!$N$8,B297&gt;=NKC!$M$8),"x","")</f>
        <v/>
      </c>
      <c r="Z297" s="208"/>
      <c r="AA297" s="587" t="str">
        <f>IF(VLOOKUP(H297,DS_131,1,0)&lt;&gt;"","","x")</f>
        <v/>
      </c>
      <c r="AB297" s="195"/>
    </row>
    <row r="298" spans="1:28" s="767" customFormat="1" ht="15.75" customHeight="1">
      <c r="A298" s="201" t="str">
        <f>IF(B298&lt;&gt;"",IF(AND(B298&gt;=_TM1,B298&lt;=_TM2,OR(TH!L298="1111",TH!M298="1111")),TH!D298,""),"")</f>
        <v/>
      </c>
      <c r="B298" s="36">
        <f t="shared" si="13"/>
        <v>4</v>
      </c>
      <c r="C298" s="181">
        <f t="shared" si="14"/>
        <v>41388</v>
      </c>
      <c r="D298" s="181" t="s">
        <v>335</v>
      </c>
      <c r="E298" s="188">
        <v>41388</v>
      </c>
      <c r="F298" s="186" t="s">
        <v>337</v>
      </c>
      <c r="G298" s="597" t="s">
        <v>332</v>
      </c>
      <c r="H298" s="45" t="s">
        <v>477</v>
      </c>
      <c r="I298" s="250"/>
      <c r="J298" s="251"/>
      <c r="K298" s="38">
        <v>17000000</v>
      </c>
      <c r="L298" s="596" t="s">
        <v>24</v>
      </c>
      <c r="M298" s="596" t="s">
        <v>262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52" t="str">
        <f>IF(OR(TH!L298=TH!$U$7,M298=TH!$U$7),"x","")</f>
        <v/>
      </c>
      <c r="V298" s="52" t="str">
        <f>IF(AND(B298&gt;='IN-NX'!$P$3,B298&lt;='IN-NX'!$Q$3,'IN-NX'!$D$7=D298,OR(LEFT(L298,2)="15",AND(LEFT(M298,2)&lt;&gt;"15",LEFT(M298,2)&lt;&gt;"33"))),"x","")</f>
        <v/>
      </c>
      <c r="W298" s="52" t="str">
        <f>IF(AND(OR(LEFT(TH!L298,2)="15",LEFT(TH!M298,2)="15"),'152-CT'!$J$8=TH!F298),"x","")</f>
        <v/>
      </c>
      <c r="X298" s="52" t="str">
        <f>IF(AND(OR(LEFT(TH!L298,2)="15",LEFT(TH!M298,2)="15"),TK!$E$7=TH!F298),"x","")</f>
        <v/>
      </c>
      <c r="Y298" s="52" t="str">
        <f>IF(AND(B298&lt;=NKC!$N$8,B298&gt;=NKC!$M$8),"x","")</f>
        <v/>
      </c>
      <c r="Z298" s="587"/>
      <c r="AA298" s="587"/>
      <c r="AB298" s="587"/>
    </row>
    <row r="299" spans="1:28" s="767" customFormat="1" ht="15.75" customHeight="1">
      <c r="A299" s="201" t="str">
        <f>IF(B299&lt;&gt;"",IF(AND(B299&gt;=_TM1,B299&lt;=_TM2,OR(TH!L299="1111",TH!M299="1111")),TH!D299,""),"")</f>
        <v/>
      </c>
      <c r="B299" s="36">
        <f t="shared" si="13"/>
        <v>4</v>
      </c>
      <c r="C299" s="188">
        <f t="shared" si="14"/>
        <v>41388</v>
      </c>
      <c r="D299" s="181" t="s">
        <v>1027</v>
      </c>
      <c r="E299" s="188">
        <v>41388</v>
      </c>
      <c r="F299" s="189" t="s">
        <v>1107</v>
      </c>
      <c r="G299" s="480" t="s">
        <v>776</v>
      </c>
      <c r="H299" s="7" t="s">
        <v>757</v>
      </c>
      <c r="I299" s="249">
        <v>100</v>
      </c>
      <c r="J299" s="249">
        <v>16610</v>
      </c>
      <c r="K299" s="38">
        <f>ROUND(I299*J299,0)</f>
        <v>1661000</v>
      </c>
      <c r="L299" s="191" t="s">
        <v>262</v>
      </c>
      <c r="M299" s="191" t="s">
        <v>172</v>
      </c>
      <c r="N299" s="52" t="str">
        <f>IF(AND('331-CT'!$E$7=TH!H299,OR(L299="331",M299="331")),"331",IF(AND(OR(L299="131",M299="131"),H299='131-CT'!$E$7),"131",""))</f>
        <v>131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IF(OR(TH!L299=TH!$U$7,M299=TH!$U$7),"x","")</f>
        <v/>
      </c>
      <c r="V299" s="52" t="str">
        <f>IF(AND(B299&gt;='IN-NX'!$P$3,B299&lt;='IN-NX'!$Q$3,'IN-NX'!$D$7=D299,OR(LEFT(L299,2)="15",AND(LEFT(M299,2)&lt;&gt;"15",LEFT(M299,2)&lt;&gt;"33"))),"x","")</f>
        <v/>
      </c>
      <c r="W299" s="52" t="str">
        <f>IF(AND(OR(LEFT(TH!L299,2)="15",LEFT(TH!M299,2)="15"),'152-CT'!$J$8=TH!F299),"x","")</f>
        <v/>
      </c>
      <c r="X299" s="52" t="str">
        <f>IF(AND(OR(LEFT(TH!L299,2)="15",LEFT(TH!M299,2)="15"),TK!$E$7=TH!F299),"x","")</f>
        <v/>
      </c>
      <c r="Y299" s="52" t="str">
        <f>IF(AND(B299&lt;=NKC!$N$8,B299&gt;=NKC!$M$8),"x","")</f>
        <v/>
      </c>
      <c r="Z299" s="208"/>
      <c r="AA299" s="587"/>
      <c r="AB299" s="195"/>
    </row>
    <row r="300" spans="1:28" s="767" customFormat="1" ht="15.75" customHeight="1">
      <c r="A300" s="201" t="str">
        <f>IF(B300&lt;&gt;"",IF(AND(B300&gt;=_TM1,B300&lt;=_TM2,OR(TH!L300="1111",TH!M300="1111")),TH!D300,""),"")</f>
        <v/>
      </c>
      <c r="B300" s="36">
        <f t="shared" si="13"/>
        <v>4</v>
      </c>
      <c r="C300" s="188">
        <f t="shared" si="14"/>
        <v>41388</v>
      </c>
      <c r="D300" s="181" t="s">
        <v>1027</v>
      </c>
      <c r="E300" s="188">
        <v>41388</v>
      </c>
      <c r="F300" s="189" t="s">
        <v>1113</v>
      </c>
      <c r="G300" s="480" t="s">
        <v>776</v>
      </c>
      <c r="H300" s="7" t="s">
        <v>757</v>
      </c>
      <c r="I300" s="249">
        <v>99</v>
      </c>
      <c r="J300" s="249">
        <v>15180</v>
      </c>
      <c r="K300" s="38">
        <f>ROUND(I300*J300,0)</f>
        <v>1502820</v>
      </c>
      <c r="L300" s="191" t="s">
        <v>262</v>
      </c>
      <c r="M300" s="191" t="s">
        <v>172</v>
      </c>
      <c r="N300" s="52" t="str">
        <f>IF(AND('331-CT'!$E$7=TH!H300,OR(L300="331",M300="331")),"331",IF(AND(OR(L300="131",M300="131"),H300='131-CT'!$E$7),"131",""))</f>
        <v>131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IF(OR(TH!L300=TH!$U$7,M300=TH!$U$7),"x","")</f>
        <v/>
      </c>
      <c r="V300" s="52" t="str">
        <f>IF(AND(B300&gt;='IN-NX'!$P$3,B300&lt;='IN-NX'!$Q$3,'IN-NX'!$D$7=D300,OR(LEFT(L300,2)="15",AND(LEFT(M300,2)&lt;&gt;"15",LEFT(M300,2)&lt;&gt;"33"))),"x","")</f>
        <v/>
      </c>
      <c r="W300" s="52" t="str">
        <f>IF(AND(OR(LEFT(TH!L300,2)="15",LEFT(TH!M300,2)="15"),'152-CT'!$J$8=TH!F300),"x","")</f>
        <v/>
      </c>
      <c r="X300" s="52" t="str">
        <f>IF(AND(OR(LEFT(TH!L300,2)="15",LEFT(TH!M300,2)="15"),TK!$E$7=TH!F300),"x","")</f>
        <v/>
      </c>
      <c r="Y300" s="52" t="str">
        <f>IF(AND(B300&lt;=NKC!$N$8,B300&gt;=NKC!$M$8),"x","")</f>
        <v/>
      </c>
      <c r="Z300" s="208"/>
      <c r="AA300" s="587"/>
      <c r="AB300" s="195"/>
    </row>
    <row r="301" spans="1:28" s="767" customFormat="1" ht="15.75" customHeight="1">
      <c r="A301" s="201" t="str">
        <f>IF(B301&lt;&gt;"",IF(AND(B301&gt;=_TM1,B301&lt;=_TM2,OR(TH!L301="1111",TH!M301="1111")),TH!D301,""),"")</f>
        <v/>
      </c>
      <c r="B301" s="36">
        <f t="shared" si="13"/>
        <v>4</v>
      </c>
      <c r="C301" s="188">
        <f t="shared" si="14"/>
        <v>41388</v>
      </c>
      <c r="D301" s="181" t="s">
        <v>1027</v>
      </c>
      <c r="E301" s="188">
        <v>41388</v>
      </c>
      <c r="F301" s="189" t="s">
        <v>693</v>
      </c>
      <c r="G301" s="480" t="s">
        <v>776</v>
      </c>
      <c r="H301" s="7" t="s">
        <v>757</v>
      </c>
      <c r="I301" s="249"/>
      <c r="J301" s="249"/>
      <c r="K301" s="837">
        <v>316382</v>
      </c>
      <c r="L301" s="191" t="s">
        <v>262</v>
      </c>
      <c r="M301" s="191" t="s">
        <v>425</v>
      </c>
      <c r="N301" s="52" t="str">
        <f>IF(AND('331-CT'!$E$7=TH!H301,OR(L301="331",M301="331")),"331",IF(AND(OR(L301="131",M301="131"),H301='131-CT'!$E$7),"131",""))</f>
        <v>131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IF(OR(TH!L301=TH!$U$7,M301=TH!$U$7),"x","")</f>
        <v/>
      </c>
      <c r="V301" s="52" t="str">
        <f>IF(AND(B301&gt;='IN-NX'!$P$3,B301&lt;='IN-NX'!$Q$3,'IN-NX'!$D$7=D301,OR(LEFT(L301,2)="15",AND(LEFT(M301,2)&lt;&gt;"15",LEFT(M301,2)&lt;&gt;"33"))),"x","")</f>
        <v/>
      </c>
      <c r="W301" s="52" t="str">
        <f>IF(AND(OR(LEFT(TH!L301,2)="15",LEFT(TH!M301,2)="15"),'152-CT'!$J$8=TH!F301),"x","")</f>
        <v/>
      </c>
      <c r="X301" s="52" t="str">
        <f>IF(AND(OR(LEFT(TH!L301,2)="15",LEFT(TH!M301,2)="15"),TK!$E$7=TH!F301),"x","")</f>
        <v/>
      </c>
      <c r="Y301" s="52" t="str">
        <f>IF(AND(B301&lt;=NKC!$N$8,B301&gt;=NKC!$M$8),"x","")</f>
        <v/>
      </c>
      <c r="Z301" s="208"/>
      <c r="AA301" s="587" t="str">
        <f>IF(VLOOKUP(H301,DS_131,1,0)&lt;&gt;"","","x")</f>
        <v/>
      </c>
      <c r="AB301" s="195"/>
    </row>
    <row r="302" spans="1:28" s="769" customFormat="1" ht="15.75" customHeight="1">
      <c r="A302" s="201" t="str">
        <f>IF(B302&lt;&gt;"",IF(AND(B302&gt;=_TM1,B302&lt;=_TM2,OR(TH!L302="1111",TH!M302="1111")),TH!D302,""),"")</f>
        <v/>
      </c>
      <c r="B302" s="36">
        <f t="shared" si="13"/>
        <v>4</v>
      </c>
      <c r="C302" s="188">
        <f t="shared" si="14"/>
        <v>41388</v>
      </c>
      <c r="D302" s="181" t="s">
        <v>1028</v>
      </c>
      <c r="E302" s="188">
        <v>41388</v>
      </c>
      <c r="F302" s="189" t="s">
        <v>777</v>
      </c>
      <c r="G302" s="480" t="s">
        <v>778</v>
      </c>
      <c r="H302" s="7" t="s">
        <v>499</v>
      </c>
      <c r="I302" s="249">
        <v>200</v>
      </c>
      <c r="J302" s="249">
        <v>6665</v>
      </c>
      <c r="K302" s="38">
        <f>ROUND(I302*J302,0)</f>
        <v>1333000</v>
      </c>
      <c r="L302" s="191" t="s">
        <v>262</v>
      </c>
      <c r="M302" s="191" t="s">
        <v>172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IF(OR(TH!L302=TH!$U$7,M302=TH!$U$7),"x","")</f>
        <v/>
      </c>
      <c r="V302" s="52" t="str">
        <f>IF(AND(B302&gt;='IN-NX'!$P$3,B302&lt;='IN-NX'!$Q$3,'IN-NX'!$D$7=D302,OR(LEFT(L302,2)="15",AND(LEFT(M302,2)&lt;&gt;"15",LEFT(M302,2)&lt;&gt;"33"))),"x","")</f>
        <v/>
      </c>
      <c r="W302" s="52" t="str">
        <f>IF(AND(OR(LEFT(TH!L302,2)="15",LEFT(TH!M302,2)="15"),'152-CT'!$J$8=TH!F302),"x","")</f>
        <v/>
      </c>
      <c r="X302" s="52" t="str">
        <f>IF(AND(OR(LEFT(TH!L302,2)="15",LEFT(TH!M302,2)="15"),TK!$E$7=TH!F302),"x","")</f>
        <v/>
      </c>
      <c r="Y302" s="52" t="str">
        <f>IF(AND(B302&lt;=NKC!$N$8,B302&gt;=NKC!$M$8),"x","")</f>
        <v/>
      </c>
      <c r="Z302" s="208"/>
      <c r="AA302" s="587"/>
      <c r="AB302" s="195"/>
    </row>
    <row r="303" spans="1:28" ht="15.75" customHeight="1">
      <c r="A303" s="201" t="str">
        <f>IF(B303&lt;&gt;"",IF(AND(B303&gt;=_TM1,B303&lt;=_TM2,OR(TH!L303="1111",TH!M303="1111")),TH!D303,""),"")</f>
        <v/>
      </c>
      <c r="B303" s="36">
        <f t="shared" si="13"/>
        <v>4</v>
      </c>
      <c r="C303" s="188">
        <f t="shared" si="14"/>
        <v>41388</v>
      </c>
      <c r="D303" s="181" t="s">
        <v>1028</v>
      </c>
      <c r="E303" s="188">
        <v>41388</v>
      </c>
      <c r="F303" s="189" t="s">
        <v>779</v>
      </c>
      <c r="G303" s="480" t="s">
        <v>778</v>
      </c>
      <c r="H303" s="7" t="s">
        <v>499</v>
      </c>
      <c r="I303" s="250">
        <v>204</v>
      </c>
      <c r="J303" s="250">
        <v>5685</v>
      </c>
      <c r="K303" s="38">
        <f>ROUND(I303*J303,0)</f>
        <v>1159740</v>
      </c>
      <c r="L303" s="191" t="s">
        <v>262</v>
      </c>
      <c r="M303" s="191" t="s">
        <v>172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IF(OR(TH!L303=TH!$U$7,M303=TH!$U$7),"x","")</f>
        <v/>
      </c>
      <c r="V303" s="52" t="str">
        <f>IF(AND(B303&gt;='IN-NX'!$P$3,B303&lt;='IN-NX'!$Q$3,'IN-NX'!$D$7=D303,OR(LEFT(L303,2)="15",AND(LEFT(M303,2)&lt;&gt;"15",LEFT(M303,2)&lt;&gt;"33"))),"x","")</f>
        <v/>
      </c>
      <c r="W303" s="52" t="str">
        <f>IF(AND(OR(LEFT(TH!L303,2)="15",LEFT(TH!M303,2)="15"),'152-CT'!$J$8=TH!F303),"x","")</f>
        <v/>
      </c>
      <c r="X303" s="52" t="str">
        <f>IF(AND(OR(LEFT(TH!L303,2)="15",LEFT(TH!M303,2)="15"),TK!$E$7=TH!F303),"x","")</f>
        <v/>
      </c>
      <c r="Y303" s="52" t="str">
        <f>IF(AND(B303&lt;=NKC!$N$8,B303&gt;=NKC!$M$8),"x","")</f>
        <v/>
      </c>
      <c r="Z303" s="208"/>
      <c r="AA303" s="587"/>
    </row>
    <row r="304" spans="1:28" ht="15.75" customHeight="1">
      <c r="A304" s="201" t="str">
        <f>IF(B304&lt;&gt;"",IF(AND(B304&gt;=_TM1,B304&lt;=_TM2,OR(TH!L304="1111",TH!M304="1111")),TH!D304,""),"")</f>
        <v/>
      </c>
      <c r="B304" s="36">
        <f t="shared" si="13"/>
        <v>4</v>
      </c>
      <c r="C304" s="188">
        <f t="shared" si="14"/>
        <v>41388</v>
      </c>
      <c r="D304" s="181" t="s">
        <v>1028</v>
      </c>
      <c r="E304" s="188">
        <v>41388</v>
      </c>
      <c r="F304" s="189" t="s">
        <v>693</v>
      </c>
      <c r="G304" s="480" t="s">
        <v>778</v>
      </c>
      <c r="H304" s="7" t="s">
        <v>499</v>
      </c>
      <c r="I304" s="249"/>
      <c r="J304" s="249"/>
      <c r="K304" s="38">
        <v>249274</v>
      </c>
      <c r="L304" s="191" t="s">
        <v>262</v>
      </c>
      <c r="M304" s="191" t="s">
        <v>425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IF(OR(TH!L304=TH!$U$7,M304=TH!$U$7),"x","")</f>
        <v/>
      </c>
      <c r="V304" s="52" t="str">
        <f>IF(AND(B304&gt;='IN-NX'!$P$3,B304&lt;='IN-NX'!$Q$3,'IN-NX'!$D$7=D304,OR(LEFT(L304,2)="15",AND(LEFT(M304,2)&lt;&gt;"15",LEFT(M304,2)&lt;&gt;"33"))),"x","")</f>
        <v/>
      </c>
      <c r="W304" s="52" t="str">
        <f>IF(AND(OR(LEFT(TH!L304,2)="15",LEFT(TH!M304,2)="15"),'152-CT'!$J$8=TH!F304),"x","")</f>
        <v/>
      </c>
      <c r="X304" s="52" t="str">
        <f>IF(AND(OR(LEFT(TH!L304,2)="15",LEFT(TH!M304,2)="15"),TK!$E$7=TH!F304),"x","")</f>
        <v/>
      </c>
      <c r="Y304" s="52" t="str">
        <f>IF(AND(B304&lt;=NKC!$N$8,B304&gt;=NKC!$M$8),"x","")</f>
        <v/>
      </c>
      <c r="Z304" s="208"/>
      <c r="AA304" s="587" t="str">
        <f>IF(VLOOKUP(H304,DS_131,1,0)&lt;&gt;"","","x")</f>
        <v/>
      </c>
    </row>
    <row r="305" spans="1:28" ht="15.75" customHeight="1">
      <c r="A305" s="201" t="str">
        <f>IF(B305&lt;&gt;"",IF(AND(B305&gt;=_TM1,B305&lt;=_TM2,OR(TH!L305="1111",TH!M305="1111")),TH!D305,""),"")</f>
        <v/>
      </c>
      <c r="B305" s="36">
        <f t="shared" si="13"/>
        <v>4</v>
      </c>
      <c r="C305" s="181">
        <f t="shared" si="14"/>
        <v>41389</v>
      </c>
      <c r="D305" s="181" t="s">
        <v>335</v>
      </c>
      <c r="E305" s="188">
        <v>41389</v>
      </c>
      <c r="F305" s="186" t="s">
        <v>365</v>
      </c>
      <c r="G305" s="597" t="s">
        <v>332</v>
      </c>
      <c r="H305" s="7"/>
      <c r="I305" s="250"/>
      <c r="J305" s="251"/>
      <c r="K305" s="38">
        <v>2630</v>
      </c>
      <c r="L305" s="596" t="s">
        <v>24</v>
      </c>
      <c r="M305" s="596" t="s">
        <v>40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>x</v>
      </c>
      <c r="T305" s="52" t="str">
        <f>IF(ISERROR(FIND('112'!$M$9,G305,1)),"",IF((AND(RIGHT(G305,2)=RIGHT('112'!$M$9,2),B305&lt;'112'!$N$8,$M305='112'!$I$6)),"x",""))</f>
        <v/>
      </c>
      <c r="U305" s="52" t="str">
        <f>IF(OR(TH!L305=TH!$U$7,M305=TH!$U$7),"x","")</f>
        <v/>
      </c>
      <c r="V305" s="52" t="str">
        <f>IF(AND(B305&gt;='IN-NX'!$P$3,B305&lt;='IN-NX'!$Q$3,'IN-NX'!$D$7=D305,OR(LEFT(L305,2)="15",AND(LEFT(M305,2)&lt;&gt;"15",LEFT(M305,2)&lt;&gt;"33"))),"x","")</f>
        <v/>
      </c>
      <c r="W305" s="52" t="str">
        <f>IF(AND(OR(LEFT(TH!L305,2)="15",LEFT(TH!M305,2)="15"),'152-CT'!$J$8=TH!F305),"x","")</f>
        <v/>
      </c>
      <c r="X305" s="52" t="str">
        <f>IF(AND(OR(LEFT(TH!L305,2)="15",LEFT(TH!M305,2)="15"),TK!$E$7=TH!F305),"x","")</f>
        <v/>
      </c>
      <c r="Y305" s="52" t="str">
        <f>IF(AND(B305&lt;=NKC!$N$8,B305&gt;=NKC!$M$8),"x","")</f>
        <v/>
      </c>
      <c r="Z305" s="587"/>
      <c r="AA305" s="208"/>
      <c r="AB305" s="208"/>
    </row>
    <row r="306" spans="1:28" ht="15.75" customHeight="1">
      <c r="A306" s="201" t="str">
        <f>IF(B306&lt;&gt;"",IF(AND(B306&gt;=_TM1,B306&lt;=_TM2,OR(TH!L306="1111",TH!M306="1111")),TH!D306,""),"")</f>
        <v/>
      </c>
      <c r="B306" s="36">
        <f t="shared" si="13"/>
        <v>4</v>
      </c>
      <c r="C306" s="181">
        <f t="shared" si="14"/>
        <v>41389</v>
      </c>
      <c r="D306" s="181" t="s">
        <v>446</v>
      </c>
      <c r="E306" s="181">
        <v>41389</v>
      </c>
      <c r="F306" s="186" t="s">
        <v>469</v>
      </c>
      <c r="G306" s="597" t="s">
        <v>332</v>
      </c>
      <c r="H306" s="7" t="s">
        <v>464</v>
      </c>
      <c r="I306" s="249"/>
      <c r="J306" s="249"/>
      <c r="K306" s="595">
        <v>17000000</v>
      </c>
      <c r="L306" s="596" t="s">
        <v>47</v>
      </c>
      <c r="M306" s="596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>x</v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IF(OR(TH!L306=TH!$U$7,M306=TH!$U$7),"x","")</f>
        <v/>
      </c>
      <c r="V306" s="52" t="str">
        <f>IF(AND(B306&gt;='IN-NX'!$P$3,B306&lt;='IN-NX'!$Q$3,'IN-NX'!$D$7=D306,OR(LEFT(L306,2)="15",AND(LEFT(M306,2)&lt;&gt;"15",LEFT(M306,2)&lt;&gt;"33"))),"x","")</f>
        <v/>
      </c>
      <c r="W306" s="52" t="str">
        <f>IF(AND(OR(LEFT(TH!L306,2)="15",LEFT(TH!M306,2)="15"),'152-CT'!$J$8=TH!F306),"x","")</f>
        <v/>
      </c>
      <c r="X306" s="52" t="str">
        <f>IF(AND(OR(LEFT(TH!L306,2)="15",LEFT(TH!M306,2)="15"),TK!$E$7=TH!F306),"x","")</f>
        <v/>
      </c>
      <c r="Y306" s="52" t="str">
        <f>IF(AND(B306&lt;=NKC!$N$8,B306&gt;=NKC!$M$8),"x","")</f>
        <v/>
      </c>
      <c r="Z306" s="587"/>
      <c r="AA306" s="208"/>
      <c r="AB306" s="208"/>
    </row>
    <row r="307" spans="1:28" ht="15.75" customHeight="1">
      <c r="A307" s="201" t="str">
        <f>IF(B307&lt;&gt;"",IF(AND(B307&gt;=_TM1,B307&lt;=_TM2,OR(TH!L307="1111",TH!M307="1111")),TH!D307,""),"")</f>
        <v/>
      </c>
      <c r="B307" s="36">
        <f t="shared" si="13"/>
        <v>4</v>
      </c>
      <c r="C307" s="188">
        <f t="shared" si="14"/>
        <v>41389</v>
      </c>
      <c r="D307" s="181" t="s">
        <v>1029</v>
      </c>
      <c r="E307" s="188">
        <v>41389</v>
      </c>
      <c r="F307" s="189" t="s">
        <v>1103</v>
      </c>
      <c r="G307" s="189" t="s">
        <v>780</v>
      </c>
      <c r="H307" s="7" t="s">
        <v>427</v>
      </c>
      <c r="I307" s="249">
        <v>4080</v>
      </c>
      <c r="J307" s="249">
        <v>6350</v>
      </c>
      <c r="K307" s="38">
        <f>ROUND(I307*J307,0)</f>
        <v>25908000</v>
      </c>
      <c r="L307" s="191" t="s">
        <v>262</v>
      </c>
      <c r="M307" s="191" t="s">
        <v>172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IF(OR(TH!L307=TH!$U$7,M307=TH!$U$7),"x","")</f>
        <v/>
      </c>
      <c r="V307" s="52" t="str">
        <f>IF(AND(B307&gt;='IN-NX'!$P$3,B307&lt;='IN-NX'!$Q$3,'IN-NX'!$D$7=D307,OR(LEFT(L307,2)="15",AND(LEFT(M307,2)&lt;&gt;"15",LEFT(M307,2)&lt;&gt;"33"))),"x","")</f>
        <v/>
      </c>
      <c r="W307" s="52" t="str">
        <f>IF(AND(OR(LEFT(TH!L307,2)="15",LEFT(TH!M307,2)="15"),'152-CT'!$J$8=TH!F307),"x","")</f>
        <v/>
      </c>
      <c r="X307" s="52" t="str">
        <f>IF(AND(OR(LEFT(TH!L307,2)="15",LEFT(TH!M307,2)="15"),TK!$E$7=TH!F307),"x","")</f>
        <v/>
      </c>
      <c r="Y307" s="52" t="str">
        <f>IF(AND(B307&lt;=NKC!$N$8,B307&gt;=NKC!$M$8),"x","")</f>
        <v/>
      </c>
      <c r="Z307" s="208"/>
      <c r="AA307" s="587"/>
    </row>
    <row r="308" spans="1:28" ht="15.75" customHeight="1">
      <c r="A308" s="201" t="str">
        <f>IF(B308&lt;&gt;"",IF(AND(B308&gt;=_TM1,B308&lt;=_TM2,OR(TH!L308="1111",TH!M308="1111")),TH!D308,""),"")</f>
        <v/>
      </c>
      <c r="B308" s="36">
        <f t="shared" si="13"/>
        <v>4</v>
      </c>
      <c r="C308" s="188">
        <f t="shared" si="14"/>
        <v>41389</v>
      </c>
      <c r="D308" s="181" t="s">
        <v>1029</v>
      </c>
      <c r="E308" s="188">
        <v>41389</v>
      </c>
      <c r="F308" s="189" t="s">
        <v>693</v>
      </c>
      <c r="G308" s="189" t="s">
        <v>780</v>
      </c>
      <c r="H308" s="7" t="s">
        <v>427</v>
      </c>
      <c r="I308" s="249"/>
      <c r="J308" s="249"/>
      <c r="K308" s="38">
        <v>2590800</v>
      </c>
      <c r="L308" s="191" t="s">
        <v>262</v>
      </c>
      <c r="M308" s="191" t="s">
        <v>425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IF(OR(TH!L308=TH!$U$7,M308=TH!$U$7),"x","")</f>
        <v/>
      </c>
      <c r="V308" s="52" t="str">
        <f>IF(AND(B308&gt;='IN-NX'!$P$3,B308&lt;='IN-NX'!$Q$3,'IN-NX'!$D$7=D308,OR(LEFT(L308,2)="15",AND(LEFT(M308,2)&lt;&gt;"15",LEFT(M308,2)&lt;&gt;"33"))),"x","")</f>
        <v/>
      </c>
      <c r="W308" s="52" t="str">
        <f>IF(AND(OR(LEFT(TH!L308,2)="15",LEFT(TH!M308,2)="15"),'152-CT'!$J$8=TH!F308),"x","")</f>
        <v/>
      </c>
      <c r="X308" s="52" t="str">
        <f>IF(AND(OR(LEFT(TH!L308,2)="15",LEFT(TH!M308,2)="15"),TK!$E$7=TH!F308),"x","")</f>
        <v/>
      </c>
      <c r="Y308" s="52" t="str">
        <f>IF(AND(B308&lt;=NKC!$N$8,B308&gt;=NKC!$M$8),"x","")</f>
        <v/>
      </c>
      <c r="Z308" s="208"/>
      <c r="AA308" s="587" t="str">
        <f>IF(VLOOKUP(H308,DS_131,1,0)&lt;&gt;"","","x")</f>
        <v/>
      </c>
    </row>
    <row r="309" spans="1:28" ht="15.75" customHeight="1">
      <c r="A309" s="201" t="str">
        <f>IF(B309&lt;&gt;"",IF(AND(B309&gt;=_TM1,B309&lt;=_TM2,OR(TH!L309="1111",TH!M309="1111")),TH!D309,""),"")</f>
        <v/>
      </c>
      <c r="B309" s="36">
        <f t="shared" si="13"/>
        <v>4</v>
      </c>
      <c r="C309" s="181">
        <f t="shared" si="14"/>
        <v>41391</v>
      </c>
      <c r="D309" s="181" t="s">
        <v>376</v>
      </c>
      <c r="E309" s="181">
        <v>41391</v>
      </c>
      <c r="F309" s="186" t="s">
        <v>363</v>
      </c>
      <c r="G309" s="597" t="s">
        <v>332</v>
      </c>
      <c r="H309" s="7" t="s">
        <v>464</v>
      </c>
      <c r="I309" s="249"/>
      <c r="J309" s="249"/>
      <c r="K309" s="38">
        <v>20000000</v>
      </c>
      <c r="L309" s="596" t="s">
        <v>24</v>
      </c>
      <c r="M309" s="596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>x</v>
      </c>
      <c r="T309" s="52" t="str">
        <f>IF(ISERROR(FIND('112'!$M$9,G309,1)),"",IF((AND(RIGHT(G309,2)=RIGHT('112'!$M$9,2),B309&lt;'112'!$N$8,$M309='112'!$I$6)),"x",""))</f>
        <v/>
      </c>
      <c r="U309" s="52" t="str">
        <f>IF(OR(TH!L309=TH!$U$7,M309=TH!$U$7),"x","")</f>
        <v/>
      </c>
      <c r="V309" s="52" t="str">
        <f>IF(AND(B309&gt;='IN-NX'!$P$3,B309&lt;='IN-NX'!$Q$3,'IN-NX'!$D$7=D309,OR(LEFT(L309,2)="15",AND(LEFT(M309,2)&lt;&gt;"15",LEFT(M309,2)&lt;&gt;"33"))),"x","")</f>
        <v/>
      </c>
      <c r="W309" s="52" t="str">
        <f>IF(AND(OR(LEFT(TH!L309,2)="15",LEFT(TH!M309,2)="15"),'152-CT'!$J$8=TH!F309),"x","")</f>
        <v/>
      </c>
      <c r="X309" s="52" t="str">
        <f>IF(AND(OR(LEFT(TH!L309,2)="15",LEFT(TH!M309,2)="15"),TK!$E$7=TH!F309),"x","")</f>
        <v/>
      </c>
      <c r="Y309" s="52" t="str">
        <f>IF(AND(B309&lt;=NKC!$N$8,B309&gt;=NKC!$M$8),"x","")</f>
        <v/>
      </c>
      <c r="Z309" s="587"/>
      <c r="AA309" s="694"/>
      <c r="AB309" s="694"/>
    </row>
    <row r="310" spans="1:28" ht="15.75" customHeight="1">
      <c r="A310" s="201" t="str">
        <f>IF(B310&lt;&gt;"",IF(AND(B310&gt;=_TM1,B310&lt;=_TM2,OR(TH!L310="1111",TH!M310="1111")),TH!D310,""),"")</f>
        <v/>
      </c>
      <c r="B310" s="36">
        <f t="shared" si="13"/>
        <v>4</v>
      </c>
      <c r="C310" s="181">
        <f t="shared" si="14"/>
        <v>41391</v>
      </c>
      <c r="D310" s="181" t="s">
        <v>336</v>
      </c>
      <c r="E310" s="188">
        <v>41391</v>
      </c>
      <c r="F310" s="186" t="s">
        <v>367</v>
      </c>
      <c r="G310" s="597" t="s">
        <v>332</v>
      </c>
      <c r="H310" s="190" t="s">
        <v>554</v>
      </c>
      <c r="I310" s="250"/>
      <c r="J310" s="251"/>
      <c r="K310" s="38">
        <v>20000000</v>
      </c>
      <c r="L310" s="596" t="s">
        <v>8</v>
      </c>
      <c r="M310" s="596" t="s">
        <v>24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IF(OR(TH!L310=TH!$U$7,M310=TH!$U$7),"x","")</f>
        <v/>
      </c>
      <c r="V310" s="52" t="str">
        <f>IF(AND(B310&gt;='IN-NX'!$P$3,B310&lt;='IN-NX'!$Q$3,'IN-NX'!$D$7=D310,OR(LEFT(L310,2)="15",AND(LEFT(M310,2)&lt;&gt;"15",LEFT(M310,2)&lt;&gt;"33"))),"x","")</f>
        <v/>
      </c>
      <c r="W310" s="52" t="str">
        <f>IF(AND(OR(LEFT(TH!L310,2)="15",LEFT(TH!M310,2)="15"),'152-CT'!$J$8=TH!F310),"x","")</f>
        <v/>
      </c>
      <c r="X310" s="52" t="str">
        <f>IF(AND(OR(LEFT(TH!L310,2)="15",LEFT(TH!M310,2)="15"),TK!$E$7=TH!F310),"x","")</f>
        <v/>
      </c>
      <c r="Y310" s="52" t="str">
        <f>IF(AND(B310&lt;=NKC!$N$8,B310&gt;=NKC!$M$8),"x","")</f>
        <v/>
      </c>
      <c r="Z310" s="587"/>
      <c r="AA310" s="587"/>
      <c r="AB310" s="587"/>
    </row>
    <row r="311" spans="1:28" ht="15.75" customHeight="1">
      <c r="A311" s="201" t="str">
        <f>IF(B311&lt;&gt;"",IF(AND(B311&gt;=_TM1,B311&lt;=_TM2,OR(TH!L311="1111",TH!M311="1111")),TH!D311,""),"")</f>
        <v/>
      </c>
      <c r="B311" s="36">
        <f t="shared" si="13"/>
        <v>4</v>
      </c>
      <c r="C311" s="181">
        <f t="shared" si="14"/>
        <v>41391</v>
      </c>
      <c r="D311" s="181" t="s">
        <v>336</v>
      </c>
      <c r="E311" s="188">
        <v>41391</v>
      </c>
      <c r="F311" s="186" t="s">
        <v>338</v>
      </c>
      <c r="G311" s="597" t="s">
        <v>332</v>
      </c>
      <c r="H311" s="7"/>
      <c r="I311" s="250"/>
      <c r="J311" s="251"/>
      <c r="K311" s="38">
        <v>20000</v>
      </c>
      <c r="L311" s="596" t="s">
        <v>83</v>
      </c>
      <c r="M311" s="596" t="s">
        <v>24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>x</v>
      </c>
      <c r="U311" s="52" t="str">
        <f>IF(OR(TH!L311=TH!$U$7,M311=TH!$U$7),"x","")</f>
        <v>x</v>
      </c>
      <c r="V311" s="52" t="str">
        <f>IF(AND(B311&gt;='IN-NX'!$P$3,B311&lt;='IN-NX'!$Q$3,'IN-NX'!$D$7=D311,OR(LEFT(L311,2)="15",AND(LEFT(M311,2)&lt;&gt;"15",LEFT(M311,2)&lt;&gt;"33"))),"x","")</f>
        <v/>
      </c>
      <c r="W311" s="52" t="str">
        <f>IF(AND(OR(LEFT(TH!L311,2)="15",LEFT(TH!M311,2)="15"),'152-CT'!$J$8=TH!F311),"x","")</f>
        <v/>
      </c>
      <c r="X311" s="52" t="str">
        <f>IF(AND(OR(LEFT(TH!L311,2)="15",LEFT(TH!M311,2)="15"),TK!$E$7=TH!F311),"x","")</f>
        <v/>
      </c>
      <c r="Y311" s="52" t="str">
        <f>IF(AND(B311&lt;=NKC!$N$8,B311&gt;=NKC!$M$8),"x","")</f>
        <v/>
      </c>
      <c r="Z311" s="587"/>
      <c r="AA311" s="587"/>
      <c r="AB311" s="587"/>
    </row>
    <row r="312" spans="1:28" ht="15.75" customHeight="1">
      <c r="A312" s="201" t="str">
        <f>IF(B312&lt;&gt;"",IF(AND(B312&gt;=_TM1,B312&lt;=_TM2,OR(TH!L312="1111",TH!M312="1111")),TH!D312,""),"")</f>
        <v/>
      </c>
      <c r="B312" s="36">
        <f t="shared" si="13"/>
        <v>4</v>
      </c>
      <c r="C312" s="181">
        <f t="shared" si="14"/>
        <v>41391</v>
      </c>
      <c r="D312" s="181" t="s">
        <v>336</v>
      </c>
      <c r="E312" s="188">
        <v>41391</v>
      </c>
      <c r="F312" s="186" t="s">
        <v>465</v>
      </c>
      <c r="G312" s="597" t="s">
        <v>332</v>
      </c>
      <c r="H312" s="7"/>
      <c r="I312" s="250"/>
      <c r="J312" s="251"/>
      <c r="K312" s="38">
        <v>15000</v>
      </c>
      <c r="L312" s="596" t="s">
        <v>83</v>
      </c>
      <c r="M312" s="596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IF(OR(TH!L312=TH!$U$7,M312=TH!$U$7),"x","")</f>
        <v>x</v>
      </c>
      <c r="V312" s="52" t="str">
        <f>IF(AND(B312&gt;='IN-NX'!$P$3,B312&lt;='IN-NX'!$Q$3,'IN-NX'!$D$7=D312,OR(LEFT(L312,2)="15",AND(LEFT(M312,2)&lt;&gt;"15",LEFT(M312,2)&lt;&gt;"33"))),"x","")</f>
        <v/>
      </c>
      <c r="W312" s="52" t="str">
        <f>IF(AND(OR(LEFT(TH!L312,2)="15",LEFT(TH!M312,2)="15"),'152-CT'!$J$8=TH!F312),"x","")</f>
        <v/>
      </c>
      <c r="X312" s="52" t="str">
        <f>IF(AND(OR(LEFT(TH!L312,2)="15",LEFT(TH!M312,2)="15"),TK!$E$7=TH!F312),"x","")</f>
        <v/>
      </c>
      <c r="Y312" s="52" t="str">
        <f>IF(AND(B312&lt;=NKC!$N$8,B312&gt;=NKC!$M$8),"x","")</f>
        <v/>
      </c>
      <c r="Z312" s="587"/>
      <c r="AA312" s="587"/>
      <c r="AB312" s="587"/>
    </row>
    <row r="313" spans="1:28" ht="15.75" customHeight="1">
      <c r="A313" s="201" t="str">
        <f>IF(B313&lt;&gt;"",IF(AND(B313&gt;=_TM1,B313&lt;=_TM2,OR(TH!L313="1111",TH!M313="1111")),TH!D313,""),"")</f>
        <v/>
      </c>
      <c r="B313" s="36">
        <f t="shared" si="13"/>
        <v>4</v>
      </c>
      <c r="C313" s="188">
        <f t="shared" si="14"/>
        <v>41391</v>
      </c>
      <c r="D313" s="181" t="s">
        <v>1030</v>
      </c>
      <c r="E313" s="188">
        <v>41391</v>
      </c>
      <c r="F313" s="189" t="s">
        <v>781</v>
      </c>
      <c r="G313" s="189" t="s">
        <v>782</v>
      </c>
      <c r="H313" s="7" t="s">
        <v>510</v>
      </c>
      <c r="I313" s="249">
        <v>310</v>
      </c>
      <c r="J313" s="249">
        <v>10300</v>
      </c>
      <c r="K313" s="38">
        <f>ROUND(I313*J313,0)</f>
        <v>3193000</v>
      </c>
      <c r="L313" s="191" t="s">
        <v>262</v>
      </c>
      <c r="M313" s="191" t="s">
        <v>172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IF(OR(TH!L313=TH!$U$7,M313=TH!$U$7),"x","")</f>
        <v/>
      </c>
      <c r="V313" s="52" t="str">
        <f>IF(AND(B313&gt;='IN-NX'!$P$3,B313&lt;='IN-NX'!$Q$3,'IN-NX'!$D$7=D313,OR(LEFT(L313,2)="15",AND(LEFT(M313,2)&lt;&gt;"15",LEFT(M313,2)&lt;&gt;"33"))),"x","")</f>
        <v/>
      </c>
      <c r="W313" s="52" t="str">
        <f>IF(AND(OR(LEFT(TH!L313,2)="15",LEFT(TH!M313,2)="15"),'152-CT'!$J$8=TH!F313),"x","")</f>
        <v/>
      </c>
      <c r="X313" s="52" t="str">
        <f>IF(AND(OR(LEFT(TH!L313,2)="15",LEFT(TH!M313,2)="15"),TK!$E$7=TH!F313),"x","")</f>
        <v/>
      </c>
      <c r="Y313" s="52" t="str">
        <f>IF(AND(B313&lt;=NKC!$N$8,B313&gt;=NKC!$M$8),"x","")</f>
        <v/>
      </c>
      <c r="Z313" s="208"/>
      <c r="AA313" s="587"/>
    </row>
    <row r="314" spans="1:28" ht="15.75" customHeight="1">
      <c r="A314" s="201" t="str">
        <f>IF(B314&lt;&gt;"",IF(AND(B314&gt;=_TM1,B314&lt;=_TM2,OR(TH!L314="1111",TH!M314="1111")),TH!D314,""),"")</f>
        <v/>
      </c>
      <c r="B314" s="36">
        <f t="shared" si="13"/>
        <v>4</v>
      </c>
      <c r="C314" s="188">
        <f t="shared" si="14"/>
        <v>41391</v>
      </c>
      <c r="D314" s="181" t="s">
        <v>1030</v>
      </c>
      <c r="E314" s="188">
        <v>41391</v>
      </c>
      <c r="F314" s="189" t="s">
        <v>783</v>
      </c>
      <c r="G314" s="189" t="s">
        <v>782</v>
      </c>
      <c r="H314" s="7" t="s">
        <v>510</v>
      </c>
      <c r="I314" s="249">
        <v>225</v>
      </c>
      <c r="J314" s="249">
        <v>8800</v>
      </c>
      <c r="K314" s="38">
        <f>ROUND(I314*J314,0)</f>
        <v>1980000</v>
      </c>
      <c r="L314" s="191" t="s">
        <v>262</v>
      </c>
      <c r="M314" s="191" t="s">
        <v>172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IF(OR(TH!L314=TH!$U$7,M314=TH!$U$7),"x","")</f>
        <v/>
      </c>
      <c r="V314" s="52" t="str">
        <f>IF(AND(B314&gt;='IN-NX'!$P$3,B314&lt;='IN-NX'!$Q$3,'IN-NX'!$D$7=D314,OR(LEFT(L314,2)="15",AND(LEFT(M314,2)&lt;&gt;"15",LEFT(M314,2)&lt;&gt;"33"))),"x","")</f>
        <v/>
      </c>
      <c r="W314" s="52" t="str">
        <f>IF(AND(OR(LEFT(TH!L314,2)="15",LEFT(TH!M314,2)="15"),'152-CT'!$J$8=TH!F314),"x","")</f>
        <v/>
      </c>
      <c r="X314" s="52" t="str">
        <f>IF(AND(OR(LEFT(TH!L314,2)="15",LEFT(TH!M314,2)="15"),TK!$E$7=TH!F314),"x","")</f>
        <v/>
      </c>
      <c r="Y314" s="52" t="str">
        <f>IF(AND(B314&lt;=NKC!$N$8,B314&gt;=NKC!$M$8),"x","")</f>
        <v/>
      </c>
      <c r="Z314" s="208"/>
      <c r="AA314" s="587"/>
    </row>
    <row r="315" spans="1:28" ht="15.75" customHeight="1">
      <c r="A315" s="201" t="str">
        <f>IF(B315&lt;&gt;"",IF(AND(B315&gt;=_TM1,B315&lt;=_TM2,OR(TH!L315="1111",TH!M315="1111")),TH!D315,""),"")</f>
        <v/>
      </c>
      <c r="B315" s="36">
        <f t="shared" si="13"/>
        <v>4</v>
      </c>
      <c r="C315" s="188">
        <f t="shared" si="14"/>
        <v>41391</v>
      </c>
      <c r="D315" s="181" t="s">
        <v>1030</v>
      </c>
      <c r="E315" s="188">
        <v>41391</v>
      </c>
      <c r="F315" s="189" t="s">
        <v>693</v>
      </c>
      <c r="G315" s="189" t="s">
        <v>782</v>
      </c>
      <c r="H315" s="7" t="s">
        <v>510</v>
      </c>
      <c r="I315" s="249"/>
      <c r="J315" s="249"/>
      <c r="K315" s="38">
        <v>517300</v>
      </c>
      <c r="L315" s="191" t="s">
        <v>262</v>
      </c>
      <c r="M315" s="191" t="s">
        <v>425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IF(OR(TH!L315=TH!$U$7,M315=TH!$U$7),"x","")</f>
        <v/>
      </c>
      <c r="V315" s="52" t="str">
        <f>IF(AND(B315&gt;='IN-NX'!$P$3,B315&lt;='IN-NX'!$Q$3,'IN-NX'!$D$7=D315,OR(LEFT(L315,2)="15",AND(LEFT(M315,2)&lt;&gt;"15",LEFT(M315,2)&lt;&gt;"33"))),"x","")</f>
        <v/>
      </c>
      <c r="W315" s="52" t="str">
        <f>IF(AND(OR(LEFT(TH!L315,2)="15",LEFT(TH!M315,2)="15"),'152-CT'!$J$8=TH!F315),"x","")</f>
        <v/>
      </c>
      <c r="X315" s="52" t="str">
        <f>IF(AND(OR(LEFT(TH!L315,2)="15",LEFT(TH!M315,2)="15"),TK!$E$7=TH!F315),"x","")</f>
        <v/>
      </c>
      <c r="Y315" s="52" t="str">
        <f>IF(AND(B315&lt;=NKC!$N$8,B315&gt;=NKC!$M$8),"x","")</f>
        <v/>
      </c>
      <c r="Z315" s="208"/>
      <c r="AA315" s="587" t="str">
        <f>IF(VLOOKUP(H315,DS_131,1,0)&lt;&gt;"","","x")</f>
        <v/>
      </c>
    </row>
    <row r="316" spans="1:28" ht="15.75" customHeight="1">
      <c r="A316" s="201" t="str">
        <f>IF(B316&lt;&gt;"",IF(AND(B316&gt;=_TM1,B316&lt;=_TM2,OR(TH!L316="1111",TH!M316="1111")),TH!D316,""),"")</f>
        <v/>
      </c>
      <c r="B316" s="36">
        <f t="shared" si="13"/>
        <v>4</v>
      </c>
      <c r="C316" s="188">
        <f t="shared" si="14"/>
        <v>41393</v>
      </c>
      <c r="D316" s="181" t="s">
        <v>405</v>
      </c>
      <c r="E316" s="181">
        <v>41393</v>
      </c>
      <c r="F316" s="189" t="s">
        <v>620</v>
      </c>
      <c r="G316" s="657" t="s">
        <v>621</v>
      </c>
      <c r="H316" s="190" t="s">
        <v>612</v>
      </c>
      <c r="I316" s="249">
        <v>50</v>
      </c>
      <c r="J316" s="249">
        <v>24098</v>
      </c>
      <c r="K316" s="38">
        <f t="shared" ref="K316:K322" si="15">ROUND(I316*J316,0)</f>
        <v>1204900</v>
      </c>
      <c r="L316" s="191" t="s">
        <v>156</v>
      </c>
      <c r="M316" s="191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IF(OR(TH!L316=TH!$U$7,M316=TH!$U$7),"x","")</f>
        <v/>
      </c>
      <c r="V316" s="52" t="str">
        <f>IF(AND(B316&gt;='IN-NX'!$P$3,B316&lt;='IN-NX'!$Q$3,'IN-NX'!$D$7=D316,OR(LEFT(L316,2)="15",AND(LEFT(M316,2)&lt;&gt;"15",LEFT(M316,2)&lt;&gt;"33"))),"x","")</f>
        <v/>
      </c>
      <c r="W316" s="52" t="str">
        <f>IF(AND(OR(LEFT(TH!L316,2)="15",LEFT(TH!M316,2)="15"),'152-CT'!$J$8=TH!F316),"x","")</f>
        <v/>
      </c>
      <c r="X316" s="52" t="str">
        <f>IF(AND(OR(LEFT(TH!L316,2)="15",LEFT(TH!M316,2)="15"),TK!$E$7=TH!F316),"x","")</f>
        <v/>
      </c>
      <c r="Y316" s="52" t="str">
        <f>IF(AND(B316&lt;=NKC!$N$8,B316&gt;=NKC!$M$8),"x","")</f>
        <v/>
      </c>
      <c r="Z316" s="208">
        <v>5</v>
      </c>
    </row>
    <row r="317" spans="1:28" ht="15.75" customHeight="1">
      <c r="A317" s="201" t="str">
        <f>IF(B317&lt;&gt;"",IF(AND(B317&gt;=_TM1,B317&lt;=_TM2,OR(TH!L317="1111",TH!M317="1111")),TH!D317,""),"")</f>
        <v/>
      </c>
      <c r="B317" s="36">
        <f t="shared" si="13"/>
        <v>4</v>
      </c>
      <c r="C317" s="188">
        <f t="shared" si="14"/>
        <v>41393</v>
      </c>
      <c r="D317" s="181" t="s">
        <v>405</v>
      </c>
      <c r="E317" s="181">
        <v>41393</v>
      </c>
      <c r="F317" s="189" t="s">
        <v>622</v>
      </c>
      <c r="G317" s="657" t="s">
        <v>621</v>
      </c>
      <c r="H317" s="190" t="s">
        <v>612</v>
      </c>
      <c r="I317" s="249">
        <v>50</v>
      </c>
      <c r="J317" s="249">
        <v>22812</v>
      </c>
      <c r="K317" s="38">
        <f t="shared" si="15"/>
        <v>1140600</v>
      </c>
      <c r="L317" s="191" t="s">
        <v>156</v>
      </c>
      <c r="M317" s="191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IF(OR(TH!L317=TH!$U$7,M317=TH!$U$7),"x","")</f>
        <v/>
      </c>
      <c r="V317" s="52" t="str">
        <f>IF(AND(B317&gt;='IN-NX'!$P$3,B317&lt;='IN-NX'!$Q$3,'IN-NX'!$D$7=D317,OR(LEFT(L317,2)="15",AND(LEFT(M317,2)&lt;&gt;"15",LEFT(M317,2)&lt;&gt;"33"))),"x","")</f>
        <v/>
      </c>
      <c r="W317" s="52" t="str">
        <f>IF(AND(OR(LEFT(TH!L317,2)="15",LEFT(TH!M317,2)="15"),'152-CT'!$J$8=TH!F317),"x","")</f>
        <v/>
      </c>
      <c r="X317" s="52" t="str">
        <f>IF(AND(OR(LEFT(TH!L317,2)="15",LEFT(TH!M317,2)="15"),TK!$E$7=TH!F317),"x","")</f>
        <v/>
      </c>
      <c r="Y317" s="52" t="str">
        <f>IF(AND(B317&lt;=NKC!$N$8,B317&gt;=NKC!$M$8),"x","")</f>
        <v/>
      </c>
      <c r="Z317" s="208">
        <v>5</v>
      </c>
    </row>
    <row r="318" spans="1:28" ht="15.75" customHeight="1">
      <c r="A318" s="201" t="str">
        <f>IF(B318&lt;&gt;"",IF(AND(B318&gt;=_TM1,B318&lt;=_TM2,OR(TH!L318="1111",TH!M318="1111")),TH!D318,""),"")</f>
        <v/>
      </c>
      <c r="B318" s="36">
        <f t="shared" si="13"/>
        <v>4</v>
      </c>
      <c r="C318" s="188">
        <f t="shared" si="14"/>
        <v>41393</v>
      </c>
      <c r="D318" s="181" t="s">
        <v>405</v>
      </c>
      <c r="E318" s="181">
        <v>41393</v>
      </c>
      <c r="F318" s="189" t="s">
        <v>623</v>
      </c>
      <c r="G318" s="657" t="s">
        <v>621</v>
      </c>
      <c r="H318" s="190" t="s">
        <v>612</v>
      </c>
      <c r="I318" s="249">
        <v>50</v>
      </c>
      <c r="J318" s="249">
        <v>20420</v>
      </c>
      <c r="K318" s="38">
        <f t="shared" si="15"/>
        <v>1021000</v>
      </c>
      <c r="L318" s="191" t="s">
        <v>156</v>
      </c>
      <c r="M318" s="191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IF(OR(TH!L318=TH!$U$7,M318=TH!$U$7),"x","")</f>
        <v/>
      </c>
      <c r="V318" s="52" t="str">
        <f>IF(AND(B318&gt;='IN-NX'!$P$3,B318&lt;='IN-NX'!$Q$3,'IN-NX'!$D$7=D318,OR(LEFT(L318,2)="15",AND(LEFT(M318,2)&lt;&gt;"15",LEFT(M318,2)&lt;&gt;"33"))),"x","")</f>
        <v/>
      </c>
      <c r="W318" s="52" t="str">
        <f>IF(AND(OR(LEFT(TH!L318,2)="15",LEFT(TH!M318,2)="15"),'152-CT'!$J$8=TH!F318),"x","")</f>
        <v/>
      </c>
      <c r="X318" s="52" t="str">
        <f>IF(AND(OR(LEFT(TH!L318,2)="15",LEFT(TH!M318,2)="15"),TK!$E$7=TH!F318),"x","")</f>
        <v/>
      </c>
      <c r="Y318" s="52" t="str">
        <f>IF(AND(B318&lt;=NKC!$N$8,B318&gt;=NKC!$M$8),"x","")</f>
        <v/>
      </c>
      <c r="Z318" s="208">
        <v>5</v>
      </c>
    </row>
    <row r="319" spans="1:28" ht="15.75" customHeight="1">
      <c r="A319" s="201" t="str">
        <f>IF(B319&lt;&gt;"",IF(AND(B319&gt;=_TM1,B319&lt;=_TM2,OR(TH!L319="1111",TH!M319="1111")),TH!D319,""),"")</f>
        <v/>
      </c>
      <c r="B319" s="36">
        <f t="shared" si="13"/>
        <v>4</v>
      </c>
      <c r="C319" s="188">
        <f t="shared" si="14"/>
        <v>41393</v>
      </c>
      <c r="D319" s="181" t="s">
        <v>405</v>
      </c>
      <c r="E319" s="181">
        <v>41393</v>
      </c>
      <c r="F319" s="189" t="s">
        <v>624</v>
      </c>
      <c r="G319" s="657" t="s">
        <v>621</v>
      </c>
      <c r="H319" s="190" t="s">
        <v>612</v>
      </c>
      <c r="I319" s="249">
        <v>135</v>
      </c>
      <c r="J319" s="249">
        <v>12665</v>
      </c>
      <c r="K319" s="38">
        <f t="shared" si="15"/>
        <v>1709775</v>
      </c>
      <c r="L319" s="191" t="s">
        <v>156</v>
      </c>
      <c r="M319" s="191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IF(OR(TH!L319=TH!$U$7,M319=TH!$U$7),"x","")</f>
        <v/>
      </c>
      <c r="V319" s="52" t="str">
        <f>IF(AND(B319&gt;='IN-NX'!$P$3,B319&lt;='IN-NX'!$Q$3,'IN-NX'!$D$7=D319,OR(LEFT(L319,2)="15",AND(LEFT(M319,2)&lt;&gt;"15",LEFT(M319,2)&lt;&gt;"33"))),"x","")</f>
        <v/>
      </c>
      <c r="W319" s="52" t="str">
        <f>IF(AND(OR(LEFT(TH!L319,2)="15",LEFT(TH!M319,2)="15"),'152-CT'!$J$8=TH!F319),"x","")</f>
        <v/>
      </c>
      <c r="X319" s="52" t="str">
        <f>IF(AND(OR(LEFT(TH!L319,2)="15",LEFT(TH!M319,2)="15"),TK!$E$7=TH!F319),"x","")</f>
        <v/>
      </c>
      <c r="Y319" s="52" t="str">
        <f>IF(AND(B319&lt;=NKC!$N$8,B319&gt;=NKC!$M$8),"x","")</f>
        <v/>
      </c>
      <c r="Z319" s="208">
        <v>5</v>
      </c>
    </row>
    <row r="320" spans="1:28" ht="15.75" customHeight="1">
      <c r="A320" s="201" t="str">
        <f>IF(B320&lt;&gt;"",IF(AND(B320&gt;=_TM1,B320&lt;=_TM2,OR(TH!L320="1111",TH!M320="1111")),TH!D320,""),"")</f>
        <v/>
      </c>
      <c r="B320" s="36">
        <f t="shared" si="13"/>
        <v>4</v>
      </c>
      <c r="C320" s="188">
        <f t="shared" si="14"/>
        <v>41393</v>
      </c>
      <c r="D320" s="181" t="s">
        <v>405</v>
      </c>
      <c r="E320" s="181">
        <v>41393</v>
      </c>
      <c r="F320" s="189" t="s">
        <v>625</v>
      </c>
      <c r="G320" s="657" t="s">
        <v>621</v>
      </c>
      <c r="H320" s="190" t="s">
        <v>612</v>
      </c>
      <c r="I320" s="249">
        <v>265</v>
      </c>
      <c r="J320" s="249">
        <v>13832</v>
      </c>
      <c r="K320" s="38">
        <f t="shared" si="15"/>
        <v>3665480</v>
      </c>
      <c r="L320" s="191" t="s">
        <v>156</v>
      </c>
      <c r="M320" s="191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IF(OR(TH!L320=TH!$U$7,M320=TH!$U$7),"x","")</f>
        <v/>
      </c>
      <c r="V320" s="52" t="str">
        <f>IF(AND(B320&gt;='IN-NX'!$P$3,B320&lt;='IN-NX'!$Q$3,'IN-NX'!$D$7=D320,OR(LEFT(L320,2)="15",AND(LEFT(M320,2)&lt;&gt;"15",LEFT(M320,2)&lt;&gt;"33"))),"x","")</f>
        <v/>
      </c>
      <c r="W320" s="52" t="str">
        <f>IF(AND(OR(LEFT(TH!L320,2)="15",LEFT(TH!M320,2)="15"),'152-CT'!$J$8=TH!F320),"x","")</f>
        <v/>
      </c>
      <c r="X320" s="52" t="str">
        <f>IF(AND(OR(LEFT(TH!L320,2)="15",LEFT(TH!M320,2)="15"),TK!$E$7=TH!F320),"x","")</f>
        <v/>
      </c>
      <c r="Y320" s="52" t="str">
        <f>IF(AND(B320&lt;=NKC!$N$8,B320&gt;=NKC!$M$8),"x","")</f>
        <v/>
      </c>
      <c r="Z320" s="208">
        <v>5</v>
      </c>
    </row>
    <row r="321" spans="1:28" ht="15.75" customHeight="1">
      <c r="A321" s="201" t="str">
        <f>IF(B321&lt;&gt;"",IF(AND(B321&gt;=_TM1,B321&lt;=_TM2,OR(TH!L321="1111",TH!M321="1111")),TH!D321,""),"")</f>
        <v/>
      </c>
      <c r="B321" s="36">
        <f t="shared" si="13"/>
        <v>4</v>
      </c>
      <c r="C321" s="188">
        <f t="shared" si="14"/>
        <v>41393</v>
      </c>
      <c r="D321" s="181" t="s">
        <v>405</v>
      </c>
      <c r="E321" s="181">
        <v>41393</v>
      </c>
      <c r="F321" s="189" t="s">
        <v>626</v>
      </c>
      <c r="G321" s="657" t="s">
        <v>621</v>
      </c>
      <c r="H321" s="190" t="s">
        <v>612</v>
      </c>
      <c r="I321" s="249">
        <v>265</v>
      </c>
      <c r="J321" s="249">
        <v>14434</v>
      </c>
      <c r="K321" s="38">
        <f t="shared" si="15"/>
        <v>3825010</v>
      </c>
      <c r="L321" s="191" t="s">
        <v>156</v>
      </c>
      <c r="M321" s="191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IF(OR(TH!L321=TH!$U$7,M321=TH!$U$7),"x","")</f>
        <v/>
      </c>
      <c r="V321" s="52" t="str">
        <f>IF(AND(B321&gt;='IN-NX'!$P$3,B321&lt;='IN-NX'!$Q$3,'IN-NX'!$D$7=D321,OR(LEFT(L321,2)="15",AND(LEFT(M321,2)&lt;&gt;"15",LEFT(M321,2)&lt;&gt;"33"))),"x","")</f>
        <v/>
      </c>
      <c r="W321" s="52" t="str">
        <f>IF(AND(OR(LEFT(TH!L321,2)="15",LEFT(TH!M321,2)="15"),'152-CT'!$J$8=TH!F321),"x","")</f>
        <v/>
      </c>
      <c r="X321" s="52" t="str">
        <f>IF(AND(OR(LEFT(TH!L321,2)="15",LEFT(TH!M321,2)="15"),TK!$E$7=TH!F321),"x","")</f>
        <v/>
      </c>
      <c r="Y321" s="52" t="str">
        <f>IF(AND(B321&lt;=NKC!$N$8,B321&gt;=NKC!$M$8),"x","")</f>
        <v/>
      </c>
      <c r="Z321" s="208">
        <v>5</v>
      </c>
    </row>
    <row r="322" spans="1:28" ht="15.75" customHeight="1">
      <c r="A322" s="201" t="str">
        <f>IF(B322&lt;&gt;"",IF(AND(B322&gt;=_TM1,B322&lt;=_TM2,OR(TH!L322="1111",TH!M322="1111")),TH!D322,""),"")</f>
        <v/>
      </c>
      <c r="B322" s="36">
        <f t="shared" si="13"/>
        <v>4</v>
      </c>
      <c r="C322" s="188">
        <f t="shared" si="14"/>
        <v>41393</v>
      </c>
      <c r="D322" s="181" t="s">
        <v>405</v>
      </c>
      <c r="E322" s="181">
        <v>41393</v>
      </c>
      <c r="F322" s="189" t="s">
        <v>619</v>
      </c>
      <c r="G322" s="657" t="s">
        <v>621</v>
      </c>
      <c r="H322" s="190" t="s">
        <v>612</v>
      </c>
      <c r="I322" s="249">
        <v>500</v>
      </c>
      <c r="J322" s="249">
        <v>11172</v>
      </c>
      <c r="K322" s="38">
        <f t="shared" si="15"/>
        <v>5586000</v>
      </c>
      <c r="L322" s="191" t="s">
        <v>156</v>
      </c>
      <c r="M322" s="191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IF(OR(TH!L322=TH!$U$7,M322=TH!$U$7),"x","")</f>
        <v/>
      </c>
      <c r="V322" s="52" t="str">
        <f>IF(AND(B322&gt;='IN-NX'!$P$3,B322&lt;='IN-NX'!$Q$3,'IN-NX'!$D$7=D322,OR(LEFT(L322,2)="15",AND(LEFT(M322,2)&lt;&gt;"15",LEFT(M322,2)&lt;&gt;"33"))),"x","")</f>
        <v/>
      </c>
      <c r="W322" s="52" t="str">
        <f>IF(AND(OR(LEFT(TH!L322,2)="15",LEFT(TH!M322,2)="15"),'152-CT'!$J$8=TH!F322),"x","")</f>
        <v/>
      </c>
      <c r="X322" s="52" t="str">
        <f>IF(AND(OR(LEFT(TH!L322,2)="15",LEFT(TH!M322,2)="15"),TK!$E$7=TH!F322),"x","")</f>
        <v/>
      </c>
      <c r="Y322" s="52" t="str">
        <f>IF(AND(B322&lt;=NKC!$N$8,B322&gt;=NKC!$M$8),"x","")</f>
        <v/>
      </c>
      <c r="Z322" s="208">
        <v>5</v>
      </c>
    </row>
    <row r="323" spans="1:28" ht="15.75" customHeight="1">
      <c r="A323" s="201" t="str">
        <f>IF(B323&lt;&gt;"",IF(AND(B323&gt;=_TM1,B323&lt;=_TM2,OR(TH!L323="1111",TH!M323="1111")),TH!D323,""),"")</f>
        <v/>
      </c>
      <c r="B323" s="36">
        <f t="shared" si="13"/>
        <v>4</v>
      </c>
      <c r="C323" s="188">
        <f t="shared" si="14"/>
        <v>41393</v>
      </c>
      <c r="D323" s="181" t="s">
        <v>405</v>
      </c>
      <c r="E323" s="181">
        <v>41393</v>
      </c>
      <c r="F323" s="189" t="s">
        <v>557</v>
      </c>
      <c r="G323" s="657" t="s">
        <v>621</v>
      </c>
      <c r="H323" s="190" t="s">
        <v>612</v>
      </c>
      <c r="I323" s="249"/>
      <c r="J323" s="249"/>
      <c r="K323" s="38">
        <v>1815276</v>
      </c>
      <c r="L323" s="191" t="s">
        <v>9</v>
      </c>
      <c r="M323" s="191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IF(OR(TH!L323=TH!$U$7,M323=TH!$U$7),"x","")</f>
        <v/>
      </c>
      <c r="V323" s="52" t="str">
        <f>IF(AND(B323&gt;='IN-NX'!$P$3,B323&lt;='IN-NX'!$Q$3,'IN-NX'!$D$7=D323,OR(LEFT(L323,2)="15",AND(LEFT(M323,2)&lt;&gt;"15",LEFT(M323,2)&lt;&gt;"33"))),"x","")</f>
        <v/>
      </c>
      <c r="W323" s="52" t="str">
        <f>IF(AND(OR(LEFT(TH!L323,2)="15",LEFT(TH!M323,2)="15"),'152-CT'!$J$8=TH!F323),"x","")</f>
        <v/>
      </c>
      <c r="X323" s="52" t="str">
        <f>IF(AND(OR(LEFT(TH!L323,2)="15",LEFT(TH!M323,2)="15"),TK!$E$7=TH!F323),"x","")</f>
        <v/>
      </c>
      <c r="Y323" s="52" t="str">
        <f>IF(AND(B323&lt;=NKC!$N$8,B323&gt;=NKC!$M$8),"x","")</f>
        <v/>
      </c>
      <c r="Z323" s="208">
        <v>5</v>
      </c>
    </row>
    <row r="324" spans="1:28" s="208" customFormat="1" ht="15.75" customHeight="1">
      <c r="A324" s="201" t="str">
        <f>IF(B324&lt;&gt;"",IF(AND(B324&gt;=_TM1,B324&lt;=_TM2,OR(TH!L324="1111",TH!M324="1111")),TH!D324,""),"")</f>
        <v/>
      </c>
      <c r="B324" s="36">
        <f t="shared" si="13"/>
        <v>4</v>
      </c>
      <c r="C324" s="188">
        <f t="shared" si="14"/>
        <v>41393</v>
      </c>
      <c r="D324" s="181" t="s">
        <v>377</v>
      </c>
      <c r="E324" s="181">
        <v>41393</v>
      </c>
      <c r="F324" s="189" t="s">
        <v>367</v>
      </c>
      <c r="G324" s="657" t="s">
        <v>621</v>
      </c>
      <c r="H324" s="190" t="s">
        <v>612</v>
      </c>
      <c r="I324" s="249"/>
      <c r="J324" s="249"/>
      <c r="K324" s="38">
        <v>19968041</v>
      </c>
      <c r="L324" s="191" t="s">
        <v>8</v>
      </c>
      <c r="M324" s="191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IF(OR(TH!L324=TH!$U$7,M324=TH!$U$7),"x","")</f>
        <v/>
      </c>
      <c r="V324" s="52" t="str">
        <f>IF(AND(B324&gt;='IN-NX'!$P$3,B324&lt;='IN-NX'!$Q$3,'IN-NX'!$D$7=D324,OR(LEFT(L324,2)="15",AND(LEFT(M324,2)&lt;&gt;"15",LEFT(M324,2)&lt;&gt;"33"))),"x","")</f>
        <v/>
      </c>
      <c r="W324" s="52" t="str">
        <f>IF(AND(OR(LEFT(TH!L324,2)="15",LEFT(TH!M324,2)="15"),'152-CT'!$J$8=TH!F324),"x","")</f>
        <v/>
      </c>
      <c r="X324" s="52" t="str">
        <f>IF(AND(OR(LEFT(TH!L324,2)="15",LEFT(TH!M324,2)="15"),TK!$E$7=TH!F324),"x","")</f>
        <v/>
      </c>
      <c r="Y324" s="52" t="str">
        <f>IF(AND(B324&lt;=NKC!$N$8,B324&gt;=NKC!$M$8),"x","")</f>
        <v/>
      </c>
      <c r="AA324" s="195"/>
      <c r="AB324" s="195"/>
    </row>
    <row r="325" spans="1:28" s="208" customFormat="1" ht="15.75" customHeight="1">
      <c r="A325" s="201" t="str">
        <f>IF(B325&lt;&gt;"",IF(AND(B325&gt;=_TM1,B325&lt;=_TM2,OR(TH!L325="1111",TH!M325="1111")),TH!D325,""),"")</f>
        <v/>
      </c>
      <c r="B325" s="36">
        <f t="shared" si="13"/>
        <v>4</v>
      </c>
      <c r="C325" s="771">
        <f t="shared" si="14"/>
        <v>41394</v>
      </c>
      <c r="D325" s="771" t="s">
        <v>339</v>
      </c>
      <c r="E325" s="771">
        <v>41394</v>
      </c>
      <c r="F325" s="696" t="s">
        <v>1255</v>
      </c>
      <c r="G325" s="697"/>
      <c r="H325" s="609"/>
      <c r="I325" s="477"/>
      <c r="J325" s="477"/>
      <c r="K325" s="698">
        <v>5850000</v>
      </c>
      <c r="L325" s="699" t="s">
        <v>83</v>
      </c>
      <c r="M325" s="699" t="s">
        <v>265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IF(OR(TH!L325=TH!$U$7,M325=TH!$U$7),"x","")</f>
        <v>x</v>
      </c>
      <c r="V325" s="52" t="str">
        <f>IF(AND(B325&gt;='IN-NX'!$P$3,B325&lt;='IN-NX'!$Q$3,'IN-NX'!$D$7=D325,OR(LEFT(L325,2)="15",AND(LEFT(M325,2)&lt;&gt;"15",LEFT(M325,2)&lt;&gt;"33"))),"x","")</f>
        <v/>
      </c>
      <c r="W325" s="52" t="str">
        <f>IF(AND(OR(LEFT(TH!L325,2)="15",LEFT(TH!M325,2)="15"),'152-CT'!$J$8=TH!F325),"x","")</f>
        <v/>
      </c>
      <c r="X325" s="52" t="str">
        <f>IF(AND(OR(LEFT(TH!L325,2)="15",LEFT(TH!M325,2)="15"),TK!$E$7=TH!F325),"x","")</f>
        <v/>
      </c>
      <c r="Y325" s="52" t="str">
        <f>IF(AND(B325&lt;=NKC!$N$8,B325&gt;=NKC!$M$8),"x","")</f>
        <v/>
      </c>
      <c r="Z325" s="195"/>
      <c r="AA325" s="195"/>
      <c r="AB325" s="195"/>
    </row>
    <row r="326" spans="1:28" s="208" customFormat="1" ht="15.75" customHeight="1">
      <c r="A326" s="201" t="str">
        <f>IF(B326&lt;&gt;"",IF(AND(B326&gt;=_TM1,B326&lt;=_TM2,OR(TH!L326="1111",TH!M326="1111")),TH!D326,""),"")</f>
        <v/>
      </c>
      <c r="B326" s="36">
        <f t="shared" si="13"/>
        <v>4</v>
      </c>
      <c r="C326" s="771">
        <f t="shared" si="14"/>
        <v>41394</v>
      </c>
      <c r="D326" s="771" t="s">
        <v>339</v>
      </c>
      <c r="E326" s="771">
        <v>41394</v>
      </c>
      <c r="F326" s="696" t="s">
        <v>1256</v>
      </c>
      <c r="G326" s="697"/>
      <c r="H326" s="609"/>
      <c r="I326" s="477"/>
      <c r="J326" s="477"/>
      <c r="K326" s="698">
        <v>7525000</v>
      </c>
      <c r="L326" s="699" t="s">
        <v>162</v>
      </c>
      <c r="M326" s="699" t="s">
        <v>265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IF(OR(TH!L326=TH!$U$7,M326=TH!$U$7),"x","")</f>
        <v/>
      </c>
      <c r="V326" s="52" t="str">
        <f>IF(AND(B326&gt;='IN-NX'!$P$3,B326&lt;='IN-NX'!$Q$3,'IN-NX'!$D$7=D326,OR(LEFT(L326,2)="15",AND(LEFT(M326,2)&lt;&gt;"15",LEFT(M326,2)&lt;&gt;"33"))),"x","")</f>
        <v/>
      </c>
      <c r="W326" s="52" t="str">
        <f>IF(AND(OR(LEFT(TH!L326,2)="15",LEFT(TH!M326,2)="15"),'152-CT'!$J$8=TH!F326),"x","")</f>
        <v/>
      </c>
      <c r="X326" s="52" t="str">
        <f>IF(AND(OR(LEFT(TH!L326,2)="15",LEFT(TH!M326,2)="15"),TK!$E$7=TH!F326),"x","")</f>
        <v/>
      </c>
      <c r="Y326" s="52" t="str">
        <f>IF(AND(B326&lt;=NKC!$N$8,B326&gt;=NKC!$M$8),"x","")</f>
        <v/>
      </c>
      <c r="Z326" s="195"/>
      <c r="AA326" s="195"/>
      <c r="AB326" s="195"/>
    </row>
    <row r="327" spans="1:28" s="208" customFormat="1" ht="15.75" customHeight="1">
      <c r="A327" s="201" t="str">
        <f>IF(B327&lt;&gt;"",IF(AND(B327&gt;=_TM1,B327&lt;=_TM2,OR(TH!L327="1111",TH!M327="1111")),TH!D327,""),"")</f>
        <v/>
      </c>
      <c r="B327" s="36">
        <f t="shared" si="13"/>
        <v>4</v>
      </c>
      <c r="C327" s="771">
        <f t="shared" si="14"/>
        <v>41394</v>
      </c>
      <c r="D327" s="771" t="s">
        <v>378</v>
      </c>
      <c r="E327" s="771">
        <v>41394</v>
      </c>
      <c r="F327" s="696" t="str">
        <f>"Thanh toán tiền lương tháng "&amp;MONTH(E327)&amp;"/"&amp;YEAR(E327)</f>
        <v>Thanh toán tiền lương tháng 4/2013</v>
      </c>
      <c r="G327" s="697"/>
      <c r="H327" s="609" t="s">
        <v>364</v>
      </c>
      <c r="I327" s="477"/>
      <c r="J327" s="477"/>
      <c r="K327" s="698">
        <f>K325+K326</f>
        <v>13375000</v>
      </c>
      <c r="L327" s="699" t="s">
        <v>265</v>
      </c>
      <c r="M327" s="69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IF(OR(TH!L327=TH!$U$7,M327=TH!$U$7),"x","")</f>
        <v/>
      </c>
      <c r="V327" s="52" t="str">
        <f>IF(AND(B327&gt;='IN-NX'!$P$3,B327&lt;='IN-NX'!$Q$3,'IN-NX'!$D$7=D327,OR(LEFT(L327,2)="15",AND(LEFT(M327,2)&lt;&gt;"15",LEFT(M327,2)&lt;&gt;"33"))),"x","")</f>
        <v/>
      </c>
      <c r="W327" s="52" t="str">
        <f>IF(AND(OR(LEFT(TH!L327,2)="15",LEFT(TH!M327,2)="15"),'152-CT'!$J$8=TH!F327),"x","")</f>
        <v/>
      </c>
      <c r="X327" s="52" t="str">
        <f>IF(AND(OR(LEFT(TH!L327,2)="15",LEFT(TH!M327,2)="15"),TK!$E$7=TH!F327),"x","")</f>
        <v/>
      </c>
      <c r="Y327" s="52" t="str">
        <f>IF(AND(B327&lt;=NKC!$N$8,B327&gt;=NKC!$M$8),"x","")</f>
        <v/>
      </c>
      <c r="Z327" s="195"/>
      <c r="AA327" s="195"/>
      <c r="AB327" s="195"/>
    </row>
    <row r="328" spans="1:28" ht="15.75" customHeight="1">
      <c r="A328" s="201" t="str">
        <f>IF(B328&lt;&gt;"",IF(AND(B328&gt;=_TM1,B328&lt;=_TM2,OR(TH!L328="1111",TH!M328="1111")),TH!D328,""),"")</f>
        <v/>
      </c>
      <c r="B328" s="36">
        <f t="shared" ref="B328:B390" si="16">IF(C328&lt;&gt;"",MONTH(C328),"")</f>
        <v>5</v>
      </c>
      <c r="C328" s="181">
        <f t="shared" si="14"/>
        <v>41396</v>
      </c>
      <c r="D328" s="181" t="s">
        <v>335</v>
      </c>
      <c r="E328" s="188">
        <v>41396</v>
      </c>
      <c r="F328" s="186" t="s">
        <v>337</v>
      </c>
      <c r="G328" s="597" t="s">
        <v>332</v>
      </c>
      <c r="H328" s="7" t="s">
        <v>427</v>
      </c>
      <c r="I328" s="250"/>
      <c r="J328" s="251"/>
      <c r="K328" s="38">
        <v>8382000</v>
      </c>
      <c r="L328" s="596" t="s">
        <v>24</v>
      </c>
      <c r="M328" s="596" t="s">
        <v>262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>x</v>
      </c>
      <c r="T328" s="52" t="str">
        <f>IF(ISERROR(FIND('112'!$M$9,G328,1)),"",IF((AND(RIGHT(G328,2)=RIGHT('112'!$M$9,2),B328&lt;'112'!$N$8,$M328='112'!$I$6)),"x",""))</f>
        <v/>
      </c>
      <c r="U328" s="52" t="str">
        <f>IF(OR(TH!L328=TH!$U$7,M328=TH!$U$7),"x","")</f>
        <v/>
      </c>
      <c r="V328" s="52" t="str">
        <f>IF(AND(B328&gt;='IN-NX'!$P$3,B328&lt;='IN-NX'!$Q$3,'IN-NX'!$D$7=D328,OR(LEFT(L328,2)="15",AND(LEFT(M328,2)&lt;&gt;"15",LEFT(M328,2)&lt;&gt;"33"))),"x","")</f>
        <v/>
      </c>
      <c r="W328" s="52" t="str">
        <f>IF(AND(OR(LEFT(TH!L328,2)="15",LEFT(TH!M328,2)="15"),'152-CT'!$J$8=TH!F328),"x","")</f>
        <v/>
      </c>
      <c r="X328" s="52" t="str">
        <f>IF(AND(OR(LEFT(TH!L328,2)="15",LEFT(TH!M328,2)="15"),TK!$E$7=TH!F328),"x","")</f>
        <v/>
      </c>
      <c r="Y328" s="52" t="str">
        <f>IF(AND(B328&lt;=NKC!$N$8,B328&gt;=NKC!$M$8),"x","")</f>
        <v/>
      </c>
      <c r="Z328" s="587"/>
      <c r="AA328" s="208"/>
      <c r="AB328" s="208"/>
    </row>
    <row r="329" spans="1:28" ht="15.75" customHeight="1">
      <c r="A329" s="201" t="str">
        <f>IF(B329&lt;&gt;"",IF(AND(B329&gt;=_TM1,B329&lt;=_TM2,OR(TH!L329="1111",TH!M329="1111")),TH!D329,""),"")</f>
        <v/>
      </c>
      <c r="B329" s="36">
        <f t="shared" si="16"/>
        <v>5</v>
      </c>
      <c r="C329" s="181">
        <f t="shared" si="14"/>
        <v>41397</v>
      </c>
      <c r="D329" s="181" t="s">
        <v>447</v>
      </c>
      <c r="E329" s="188">
        <v>41397</v>
      </c>
      <c r="F329" s="186" t="s">
        <v>469</v>
      </c>
      <c r="G329" s="597" t="s">
        <v>332</v>
      </c>
      <c r="H329" s="7" t="s">
        <v>464</v>
      </c>
      <c r="I329" s="250"/>
      <c r="J329" s="251"/>
      <c r="K329" s="38">
        <v>8000000</v>
      </c>
      <c r="L329" s="596" t="s">
        <v>47</v>
      </c>
      <c r="M329" s="596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52" t="str">
        <f>IF(OR(TH!L329=TH!$U$7,M329=TH!$U$7),"x","")</f>
        <v/>
      </c>
      <c r="V329" s="52" t="str">
        <f>IF(AND(B329&gt;='IN-NX'!$P$3,B329&lt;='IN-NX'!$Q$3,'IN-NX'!$D$7=D329,OR(LEFT(L329,2)="15",AND(LEFT(M329,2)&lt;&gt;"15",LEFT(M329,2)&lt;&gt;"33"))),"x","")</f>
        <v/>
      </c>
      <c r="W329" s="52" t="str">
        <f>IF(AND(OR(LEFT(TH!L329,2)="15",LEFT(TH!M329,2)="15"),'152-CT'!$J$8=TH!F329),"x","")</f>
        <v/>
      </c>
      <c r="X329" s="52" t="str">
        <f>IF(AND(OR(LEFT(TH!L329,2)="15",LEFT(TH!M329,2)="15"),TK!$E$7=TH!F329),"x","")</f>
        <v/>
      </c>
      <c r="Y329" s="52" t="str">
        <f>IF(AND(B329&lt;=NKC!$N$8,B329&gt;=NKC!$M$8),"x","")</f>
        <v/>
      </c>
      <c r="Z329" s="208"/>
      <c r="AA329" s="208"/>
      <c r="AB329" s="208"/>
    </row>
    <row r="330" spans="1:28" ht="15.75" customHeight="1">
      <c r="A330" s="201" t="str">
        <f>IF(B330&lt;&gt;"",IF(AND(B330&gt;=_TM1,B330&lt;=_TM2,OR(TH!L330="1111",TH!M330="1111")),TH!D330,""),"")</f>
        <v/>
      </c>
      <c r="B330" s="36">
        <f t="shared" si="16"/>
        <v>5</v>
      </c>
      <c r="C330" s="188">
        <f t="shared" si="14"/>
        <v>41397</v>
      </c>
      <c r="D330" s="181" t="s">
        <v>406</v>
      </c>
      <c r="E330" s="181">
        <v>41397</v>
      </c>
      <c r="F330" s="189" t="s">
        <v>619</v>
      </c>
      <c r="G330" s="657" t="s">
        <v>627</v>
      </c>
      <c r="H330" s="190" t="s">
        <v>612</v>
      </c>
      <c r="I330" s="249">
        <v>1539</v>
      </c>
      <c r="J330" s="249">
        <v>11172</v>
      </c>
      <c r="K330" s="38">
        <f>ROUND(I330*J330,0)</f>
        <v>17193708</v>
      </c>
      <c r="L330" s="191" t="s">
        <v>156</v>
      </c>
      <c r="M330" s="191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IF(OR(TH!L330=TH!$U$7,M330=TH!$U$7),"x","")</f>
        <v/>
      </c>
      <c r="V330" s="52" t="str">
        <f>IF(AND(B330&gt;='IN-NX'!$P$3,B330&lt;='IN-NX'!$Q$3,'IN-NX'!$D$7=D330,OR(LEFT(L330,2)="15",AND(LEFT(M330,2)&lt;&gt;"15",LEFT(M330,2)&lt;&gt;"33"))),"x","")</f>
        <v/>
      </c>
      <c r="W330" s="52" t="str">
        <f>IF(AND(OR(LEFT(TH!L330,2)="15",LEFT(TH!M330,2)="15"),'152-CT'!$J$8=TH!F330),"x","")</f>
        <v/>
      </c>
      <c r="X330" s="52" t="str">
        <f>IF(AND(OR(LEFT(TH!L330,2)="15",LEFT(TH!M330,2)="15"),TK!$E$7=TH!F330),"x","")</f>
        <v/>
      </c>
      <c r="Y330" s="52" t="str">
        <f>IF(AND(B330&lt;=NKC!$N$8,B330&gt;=NKC!$M$8),"x","")</f>
        <v/>
      </c>
      <c r="Z330" s="208">
        <v>5</v>
      </c>
    </row>
    <row r="331" spans="1:28" ht="15.75" customHeight="1">
      <c r="A331" s="201" t="str">
        <f>IF(B331&lt;&gt;"",IF(AND(B331&gt;=_TM1,B331&lt;=_TM2,OR(TH!L331="1111",TH!M331="1111")),TH!D331,""),"")</f>
        <v/>
      </c>
      <c r="B331" s="36">
        <f t="shared" si="16"/>
        <v>5</v>
      </c>
      <c r="C331" s="188">
        <f t="shared" si="14"/>
        <v>41397</v>
      </c>
      <c r="D331" s="181" t="s">
        <v>406</v>
      </c>
      <c r="E331" s="181">
        <v>41397</v>
      </c>
      <c r="F331" s="189" t="s">
        <v>557</v>
      </c>
      <c r="G331" s="657" t="s">
        <v>627</v>
      </c>
      <c r="H331" s="190" t="s">
        <v>612</v>
      </c>
      <c r="I331" s="249"/>
      <c r="J331" s="249"/>
      <c r="K331" s="38">
        <v>1719370</v>
      </c>
      <c r="L331" s="191" t="s">
        <v>9</v>
      </c>
      <c r="M331" s="191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IF(OR(TH!L331=TH!$U$7,M331=TH!$U$7),"x","")</f>
        <v/>
      </c>
      <c r="V331" s="52" t="str">
        <f>IF(AND(B331&gt;='IN-NX'!$P$3,B331&lt;='IN-NX'!$Q$3,'IN-NX'!$D$7=D331,OR(LEFT(L331,2)="15",AND(LEFT(M331,2)&lt;&gt;"15",LEFT(M331,2)&lt;&gt;"33"))),"x","")</f>
        <v/>
      </c>
      <c r="W331" s="52" t="str">
        <f>IF(AND(OR(LEFT(TH!L331,2)="15",LEFT(TH!M331,2)="15"),'152-CT'!$J$8=TH!F331),"x","")</f>
        <v/>
      </c>
      <c r="X331" s="52" t="str">
        <f>IF(AND(OR(LEFT(TH!L331,2)="15",LEFT(TH!M331,2)="15"),TK!$E$7=TH!F331),"x","")</f>
        <v/>
      </c>
      <c r="Y331" s="52" t="str">
        <f>IF(AND(B331&lt;=NKC!$N$8,B331&gt;=NKC!$M$8),"x","")</f>
        <v/>
      </c>
      <c r="Z331" s="208">
        <v>5</v>
      </c>
    </row>
    <row r="332" spans="1:28" ht="15.75" customHeight="1">
      <c r="A332" s="201" t="str">
        <f>IF(B332&lt;&gt;"",IF(AND(B332&gt;=_TM1,B332&lt;=_TM2,OR(TH!L332="1111",TH!M332="1111")),TH!D332,""),"")</f>
        <v/>
      </c>
      <c r="B332" s="36">
        <f t="shared" si="16"/>
        <v>5</v>
      </c>
      <c r="C332" s="188">
        <f t="shared" ref="C332:C393" si="17">E332</f>
        <v>41397</v>
      </c>
      <c r="D332" s="181" t="s">
        <v>379</v>
      </c>
      <c r="E332" s="181">
        <v>41397</v>
      </c>
      <c r="F332" s="189" t="s">
        <v>367</v>
      </c>
      <c r="G332" s="657" t="s">
        <v>627</v>
      </c>
      <c r="H332" s="190" t="s">
        <v>612</v>
      </c>
      <c r="I332" s="249"/>
      <c r="J332" s="249"/>
      <c r="K332" s="38">
        <v>18913078</v>
      </c>
      <c r="L332" s="191" t="s">
        <v>8</v>
      </c>
      <c r="M332" s="191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IF(OR(TH!L332=TH!$U$7,M332=TH!$U$7),"x","")</f>
        <v/>
      </c>
      <c r="V332" s="52" t="str">
        <f>IF(AND(B332&gt;='IN-NX'!$P$3,B332&lt;='IN-NX'!$Q$3,'IN-NX'!$D$7=D332,OR(LEFT(L332,2)="15",AND(LEFT(M332,2)&lt;&gt;"15",LEFT(M332,2)&lt;&gt;"33"))),"x","")</f>
        <v/>
      </c>
      <c r="W332" s="52" t="str">
        <f>IF(AND(OR(LEFT(TH!L332,2)="15",LEFT(TH!M332,2)="15"),'152-CT'!$J$8=TH!F332),"x","")</f>
        <v/>
      </c>
      <c r="X332" s="52" t="str">
        <f>IF(AND(OR(LEFT(TH!L332,2)="15",LEFT(TH!M332,2)="15"),TK!$E$7=TH!F332),"x","")</f>
        <v/>
      </c>
      <c r="Y332" s="52" t="str">
        <f>IF(AND(B332&lt;=NKC!$N$8,B332&gt;=NKC!$M$8),"x","")</f>
        <v/>
      </c>
      <c r="Z332" s="208"/>
    </row>
    <row r="333" spans="1:28" ht="15.75" customHeight="1">
      <c r="A333" s="201" t="str">
        <f>IF(B333&lt;&gt;"",IF(AND(B333&gt;=_TM1,B333&lt;=_TM2,OR(TH!L333="1111",TH!M333="1111")),TH!D333,""),"")</f>
        <v/>
      </c>
      <c r="B333" s="36">
        <f t="shared" si="16"/>
        <v>5</v>
      </c>
      <c r="C333" s="181">
        <f t="shared" si="17"/>
        <v>41398</v>
      </c>
      <c r="D333" s="181" t="s">
        <v>335</v>
      </c>
      <c r="E333" s="188">
        <v>41398</v>
      </c>
      <c r="F333" s="186" t="s">
        <v>337</v>
      </c>
      <c r="G333" s="597" t="s">
        <v>332</v>
      </c>
      <c r="H333" s="7" t="s">
        <v>427</v>
      </c>
      <c r="I333" s="250"/>
      <c r="J333" s="251"/>
      <c r="K333" s="38">
        <v>42122355</v>
      </c>
      <c r="L333" s="596" t="s">
        <v>24</v>
      </c>
      <c r="M333" s="596" t="s">
        <v>262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>x</v>
      </c>
      <c r="T333" s="52" t="str">
        <f>IF(ISERROR(FIND('112'!$M$9,G333,1)),"",IF((AND(RIGHT(G333,2)=RIGHT('112'!$M$9,2),B333&lt;'112'!$N$8,$M333='112'!$I$6)),"x",""))</f>
        <v/>
      </c>
      <c r="U333" s="52" t="str">
        <f>IF(OR(TH!L333=TH!$U$7,M333=TH!$U$7),"x","")</f>
        <v/>
      </c>
      <c r="V333" s="52" t="str">
        <f>IF(AND(B333&gt;='IN-NX'!$P$3,B333&lt;='IN-NX'!$Q$3,'IN-NX'!$D$7=D333,OR(LEFT(L333,2)="15",AND(LEFT(M333,2)&lt;&gt;"15",LEFT(M333,2)&lt;&gt;"33"))),"x","")</f>
        <v/>
      </c>
      <c r="W333" s="52" t="str">
        <f>IF(AND(OR(LEFT(TH!L333,2)="15",LEFT(TH!M333,2)="15"),'152-CT'!$J$8=TH!F333),"x","")</f>
        <v/>
      </c>
      <c r="X333" s="52" t="str">
        <f>IF(AND(OR(LEFT(TH!L333,2)="15",LEFT(TH!M333,2)="15"),TK!$E$7=TH!F333),"x","")</f>
        <v/>
      </c>
      <c r="Y333" s="52" t="str">
        <f>IF(AND(B333&lt;=NKC!$N$8,B333&gt;=NKC!$M$8),"x","")</f>
        <v/>
      </c>
      <c r="Z333" s="587"/>
      <c r="AA333" s="208"/>
      <c r="AB333" s="208"/>
    </row>
    <row r="334" spans="1:28" ht="15.75" customHeight="1">
      <c r="A334" s="201" t="str">
        <f>IF(B334&lt;&gt;"",IF(AND(B334&gt;=_TM1,B334&lt;=_TM2,OR(TH!L334="1111",TH!M334="1111")),TH!D334,""),"")</f>
        <v/>
      </c>
      <c r="B334" s="36">
        <f t="shared" si="16"/>
        <v>5</v>
      </c>
      <c r="C334" s="181">
        <f t="shared" si="17"/>
        <v>41400</v>
      </c>
      <c r="D334" s="181" t="s">
        <v>448</v>
      </c>
      <c r="E334" s="188">
        <v>41400</v>
      </c>
      <c r="F334" s="186" t="s">
        <v>469</v>
      </c>
      <c r="G334" s="597" t="s">
        <v>332</v>
      </c>
      <c r="H334" s="7" t="s">
        <v>464</v>
      </c>
      <c r="I334" s="250"/>
      <c r="J334" s="251"/>
      <c r="K334" s="38">
        <v>42000000</v>
      </c>
      <c r="L334" s="596" t="s">
        <v>47</v>
      </c>
      <c r="M334" s="596" t="s">
        <v>24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>x</v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>x</v>
      </c>
      <c r="U334" s="52" t="str">
        <f>IF(OR(TH!L334=TH!$U$7,M334=TH!$U$7),"x","")</f>
        <v/>
      </c>
      <c r="V334" s="52" t="str">
        <f>IF(AND(B334&gt;='IN-NX'!$P$3,B334&lt;='IN-NX'!$Q$3,'IN-NX'!$D$7=D334,OR(LEFT(L334,2)="15",AND(LEFT(M334,2)&lt;&gt;"15",LEFT(M334,2)&lt;&gt;"33"))),"x","")</f>
        <v/>
      </c>
      <c r="W334" s="52" t="str">
        <f>IF(AND(OR(LEFT(TH!L334,2)="15",LEFT(TH!M334,2)="15"),'152-CT'!$J$8=TH!F334),"x","")</f>
        <v/>
      </c>
      <c r="X334" s="52" t="str">
        <f>IF(AND(OR(LEFT(TH!L334,2)="15",LEFT(TH!M334,2)="15"),TK!$E$7=TH!F334),"x","")</f>
        <v/>
      </c>
      <c r="Y334" s="52" t="str">
        <f>IF(AND(B334&lt;=NKC!$N$8,B334&gt;=NKC!$M$8),"x","")</f>
        <v/>
      </c>
      <c r="Z334" s="587"/>
      <c r="AA334" s="208"/>
      <c r="AB334" s="208"/>
    </row>
    <row r="335" spans="1:28" ht="15.75" customHeight="1">
      <c r="A335" s="201" t="str">
        <f>IF(B335&lt;&gt;"",IF(AND(B335&gt;=_TM1,B335&lt;=_TM2,OR(TH!L335="1111",TH!M335="1111")),TH!D335,""),"")</f>
        <v/>
      </c>
      <c r="B335" s="36">
        <f t="shared" si="16"/>
        <v>5</v>
      </c>
      <c r="C335" s="188">
        <f t="shared" si="17"/>
        <v>41400</v>
      </c>
      <c r="D335" s="181" t="s">
        <v>1030</v>
      </c>
      <c r="E335" s="188">
        <v>41400</v>
      </c>
      <c r="F335" s="189" t="s">
        <v>784</v>
      </c>
      <c r="G335" s="189" t="s">
        <v>785</v>
      </c>
      <c r="H335" s="7" t="s">
        <v>1079</v>
      </c>
      <c r="I335" s="249">
        <v>514</v>
      </c>
      <c r="J335" s="249">
        <v>17300</v>
      </c>
      <c r="K335" s="38">
        <f>ROUND(I335*J335,0)</f>
        <v>8892200</v>
      </c>
      <c r="L335" s="191" t="s">
        <v>262</v>
      </c>
      <c r="M335" s="191" t="s">
        <v>172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IF(OR(TH!L335=TH!$U$7,M335=TH!$U$7),"x","")</f>
        <v/>
      </c>
      <c r="V335" s="52" t="str">
        <f>IF(AND(B335&gt;='IN-NX'!$P$3,B335&lt;='IN-NX'!$Q$3,'IN-NX'!$D$7=D335,OR(LEFT(L335,2)="15",AND(LEFT(M335,2)&lt;&gt;"15",LEFT(M335,2)&lt;&gt;"33"))),"x","")</f>
        <v/>
      </c>
      <c r="W335" s="52" t="str">
        <f>IF(AND(OR(LEFT(TH!L335,2)="15",LEFT(TH!M335,2)="15"),'152-CT'!$J$8=TH!F335),"x","")</f>
        <v/>
      </c>
      <c r="X335" s="52" t="str">
        <f>IF(AND(OR(LEFT(TH!L335,2)="15",LEFT(TH!M335,2)="15"),TK!$E$7=TH!F335),"x","")</f>
        <v/>
      </c>
      <c r="Y335" s="52" t="str">
        <f>IF(AND(B335&lt;=NKC!$N$8,B335&gt;=NKC!$M$8),"x","")</f>
        <v/>
      </c>
      <c r="Z335" s="208"/>
      <c r="AA335" s="587"/>
    </row>
    <row r="336" spans="1:28" ht="15.75" customHeight="1">
      <c r="A336" s="201" t="str">
        <f>IF(B336&lt;&gt;"",IF(AND(B336&gt;=_TM1,B336&lt;=_TM2,OR(TH!L336="1111",TH!M336="1111")),TH!D336,""),"")</f>
        <v/>
      </c>
      <c r="B336" s="768">
        <f t="shared" si="16"/>
        <v>5</v>
      </c>
      <c r="C336" s="188">
        <f t="shared" si="17"/>
        <v>41400</v>
      </c>
      <c r="D336" s="181" t="s">
        <v>1030</v>
      </c>
      <c r="E336" s="188">
        <v>41400</v>
      </c>
      <c r="F336" s="189" t="s">
        <v>786</v>
      </c>
      <c r="G336" s="189" t="s">
        <v>785</v>
      </c>
      <c r="H336" s="7" t="s">
        <v>1079</v>
      </c>
      <c r="I336" s="249">
        <v>1000</v>
      </c>
      <c r="J336" s="249">
        <v>1500</v>
      </c>
      <c r="K336" s="38">
        <f>ROUND(I336*J336,0)</f>
        <v>1500000</v>
      </c>
      <c r="L336" s="191" t="s">
        <v>262</v>
      </c>
      <c r="M336" s="191" t="s">
        <v>172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IF(OR(TH!L336=TH!$U$7,M336=TH!$U$7),"x","")</f>
        <v/>
      </c>
      <c r="V336" s="52" t="str">
        <f>IF(AND(B336&gt;='IN-NX'!$P$3,B336&lt;='IN-NX'!$Q$3,'IN-NX'!$D$7=D336,OR(LEFT(L336,2)="15",AND(LEFT(M336,2)&lt;&gt;"15",LEFT(M336,2)&lt;&gt;"33"))),"x","")</f>
        <v/>
      </c>
      <c r="W336" s="52" t="str">
        <f>IF(AND(OR(LEFT(TH!L336,2)="15",LEFT(TH!M336,2)="15"),'152-CT'!$J$8=TH!F336),"x","")</f>
        <v/>
      </c>
      <c r="X336" s="52" t="str">
        <f>IF(AND(OR(LEFT(TH!L336,2)="15",LEFT(TH!M336,2)="15"),TK!$E$7=TH!F336),"x","")</f>
        <v/>
      </c>
      <c r="Y336" s="52" t="str">
        <f>IF(AND(B336&lt;=NKC!$N$8,B336&gt;=NKC!$M$8),"x","")</f>
        <v/>
      </c>
      <c r="Z336" s="208"/>
      <c r="AA336" s="587"/>
      <c r="AB336" s="769"/>
    </row>
    <row r="337" spans="1:28" ht="15.75" customHeight="1">
      <c r="A337" s="201" t="str">
        <f>IF(B337&lt;&gt;"",IF(AND(B337&gt;=_TM1,B337&lt;=_TM2,OR(TH!L337="1111",TH!M337="1111")),TH!D337,""),"")</f>
        <v/>
      </c>
      <c r="B337" s="36">
        <f t="shared" si="16"/>
        <v>5</v>
      </c>
      <c r="C337" s="188">
        <f t="shared" si="17"/>
        <v>41400</v>
      </c>
      <c r="D337" s="181" t="s">
        <v>1030</v>
      </c>
      <c r="E337" s="188">
        <v>41400</v>
      </c>
      <c r="F337" s="189" t="s">
        <v>693</v>
      </c>
      <c r="G337" s="189" t="s">
        <v>785</v>
      </c>
      <c r="H337" s="7" t="s">
        <v>1079</v>
      </c>
      <c r="I337" s="249"/>
      <c r="J337" s="249"/>
      <c r="K337" s="38">
        <v>1039220</v>
      </c>
      <c r="L337" s="191" t="s">
        <v>262</v>
      </c>
      <c r="M337" s="191" t="s">
        <v>425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IF(OR(TH!L337=TH!$U$7,M337=TH!$U$7),"x","")</f>
        <v/>
      </c>
      <c r="V337" s="52" t="str">
        <f>IF(AND(B337&gt;='IN-NX'!$P$3,B337&lt;='IN-NX'!$Q$3,'IN-NX'!$D$7=D337,OR(LEFT(L337,2)="15",AND(LEFT(M337,2)&lt;&gt;"15",LEFT(M337,2)&lt;&gt;"33"))),"x","")</f>
        <v/>
      </c>
      <c r="W337" s="52" t="str">
        <f>IF(AND(OR(LEFT(TH!L337,2)="15",LEFT(TH!M337,2)="15"),'152-CT'!$J$8=TH!F337),"x","")</f>
        <v/>
      </c>
      <c r="X337" s="52" t="str">
        <f>IF(AND(OR(LEFT(TH!L337,2)="15",LEFT(TH!M337,2)="15"),TK!$E$7=TH!F337),"x","")</f>
        <v/>
      </c>
      <c r="Y337" s="52" t="str">
        <f>IF(AND(B337&lt;=NKC!$N$8,B337&gt;=NKC!$M$8),"x","")</f>
        <v/>
      </c>
      <c r="Z337" s="208"/>
      <c r="AA337" s="587" t="str">
        <f>IF(VLOOKUP(H337,DS_131,1,0)&lt;&gt;"","","x")</f>
        <v/>
      </c>
    </row>
    <row r="338" spans="1:28" ht="15.75" customHeight="1">
      <c r="A338" s="201" t="str">
        <f>IF(B338&lt;&gt;"",IF(AND(B338&gt;=_TM1,B338&lt;=_TM2,OR(TH!L338="1111",TH!M338="1111")),TH!D338,""),"")</f>
        <v/>
      </c>
      <c r="B338" s="36">
        <f t="shared" si="16"/>
        <v>5</v>
      </c>
      <c r="C338" s="188">
        <f t="shared" si="17"/>
        <v>41400</v>
      </c>
      <c r="D338" s="181" t="s">
        <v>543</v>
      </c>
      <c r="E338" s="188">
        <v>41400</v>
      </c>
      <c r="F338" s="186" t="s">
        <v>337</v>
      </c>
      <c r="G338" s="189" t="s">
        <v>785</v>
      </c>
      <c r="H338" s="7" t="s">
        <v>1079</v>
      </c>
      <c r="I338" s="249"/>
      <c r="J338" s="249"/>
      <c r="K338" s="38">
        <v>11431420</v>
      </c>
      <c r="L338" s="191" t="s">
        <v>47</v>
      </c>
      <c r="M338" s="191" t="s">
        <v>262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>x</v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IF(OR(TH!L338=TH!$U$7,M338=TH!$U$7),"x","")</f>
        <v/>
      </c>
      <c r="V338" s="52" t="str">
        <f>IF(AND(B338&gt;='IN-NX'!$P$3,B338&lt;='IN-NX'!$Q$3,'IN-NX'!$D$7=D338,OR(LEFT(L338,2)="15",AND(LEFT(M338,2)&lt;&gt;"15",LEFT(M338,2)&lt;&gt;"33"))),"x","")</f>
        <v/>
      </c>
      <c r="W338" s="52" t="str">
        <f>IF(AND(OR(LEFT(TH!L338,2)="15",LEFT(TH!M338,2)="15"),'152-CT'!$J$8=TH!F338),"x","")</f>
        <v/>
      </c>
      <c r="X338" s="52" t="str">
        <f>IF(AND(OR(LEFT(TH!L338,2)="15",LEFT(TH!M338,2)="15"),TK!$E$7=TH!F338),"x","")</f>
        <v/>
      </c>
      <c r="Y338" s="52" t="str">
        <f>IF(AND(B338&lt;=NKC!$N$8,B338&gt;=NKC!$M$8),"x","")</f>
        <v/>
      </c>
      <c r="Z338" s="208"/>
      <c r="AA338" s="587" t="str">
        <f>IF(VLOOKUP(H338,DS_131,1,0)&lt;&gt;"","","x")</f>
        <v/>
      </c>
    </row>
    <row r="339" spans="1:28" ht="15.75" customHeight="1">
      <c r="A339" s="201" t="str">
        <f>IF(B339&lt;&gt;"",IF(AND(B339&gt;=_TM1,B339&lt;=_TM2,OR(TH!L339="1111",TH!M339="1111")),TH!D339,""),"")</f>
        <v/>
      </c>
      <c r="B339" s="36">
        <f t="shared" si="16"/>
        <v>5</v>
      </c>
      <c r="C339" s="181">
        <f t="shared" si="17"/>
        <v>41401</v>
      </c>
      <c r="D339" s="181" t="s">
        <v>380</v>
      </c>
      <c r="E339" s="188">
        <v>41401</v>
      </c>
      <c r="F339" s="186" t="s">
        <v>431</v>
      </c>
      <c r="G339" s="480" t="s">
        <v>478</v>
      </c>
      <c r="H339" s="7" t="s">
        <v>368</v>
      </c>
      <c r="I339" s="249"/>
      <c r="J339" s="249"/>
      <c r="K339" s="595">
        <v>3380000</v>
      </c>
      <c r="L339" s="596" t="s">
        <v>162</v>
      </c>
      <c r="M339" s="596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IF(OR(TH!L339=TH!$U$7,M339=TH!$U$7),"x","")</f>
        <v/>
      </c>
      <c r="V339" s="52" t="str">
        <f>IF(AND(B339&gt;='IN-NX'!$P$3,B339&lt;='IN-NX'!$Q$3,'IN-NX'!$D$7=D339,OR(LEFT(L339,2)="15",AND(LEFT(M339,2)&lt;&gt;"15",LEFT(M339,2)&lt;&gt;"33"))),"x","")</f>
        <v/>
      </c>
      <c r="W339" s="52" t="str">
        <f>IF(AND(OR(LEFT(TH!L339,2)="15",LEFT(TH!M339,2)="15"),'152-CT'!$J$8=TH!F339),"x","")</f>
        <v/>
      </c>
      <c r="X339" s="52" t="str">
        <f>IF(AND(OR(LEFT(TH!L339,2)="15",LEFT(TH!M339,2)="15"),TK!$E$7=TH!F339),"x","")</f>
        <v/>
      </c>
      <c r="Y339" s="52" t="str">
        <f>IF(AND(B339&lt;=NKC!$N$8,B339&gt;=NKC!$M$8),"x","")</f>
        <v/>
      </c>
      <c r="Z339" s="208">
        <v>5</v>
      </c>
      <c r="AA339" s="208"/>
      <c r="AB339" s="208"/>
    </row>
    <row r="340" spans="1:28" ht="15.75" customHeight="1">
      <c r="A340" s="201" t="str">
        <f>IF(B340&lt;&gt;"",IF(AND(B340&gt;=_TM1,B340&lt;=_TM2,OR(TH!L340="1111",TH!M340="1111")),TH!D340,""),"")</f>
        <v/>
      </c>
      <c r="B340" s="36">
        <f t="shared" si="16"/>
        <v>5</v>
      </c>
      <c r="C340" s="181">
        <f t="shared" si="17"/>
        <v>41401</v>
      </c>
      <c r="D340" s="181" t="s">
        <v>380</v>
      </c>
      <c r="E340" s="188">
        <v>41401</v>
      </c>
      <c r="F340" s="186" t="s">
        <v>344</v>
      </c>
      <c r="G340" s="480" t="s">
        <v>478</v>
      </c>
      <c r="H340" s="7" t="s">
        <v>368</v>
      </c>
      <c r="I340" s="250"/>
      <c r="J340" s="250"/>
      <c r="K340" s="595">
        <v>338000</v>
      </c>
      <c r="L340" s="596" t="s">
        <v>9</v>
      </c>
      <c r="M340" s="596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IF(OR(TH!L340=TH!$U$7,M340=TH!$U$7),"x","")</f>
        <v/>
      </c>
      <c r="V340" s="52" t="str">
        <f>IF(AND(B340&gt;='IN-NX'!$P$3,B340&lt;='IN-NX'!$Q$3,'IN-NX'!$D$7=D340,OR(LEFT(L340,2)="15",AND(LEFT(M340,2)&lt;&gt;"15",LEFT(M340,2)&lt;&gt;"33"))),"x","")</f>
        <v/>
      </c>
      <c r="W340" s="52" t="str">
        <f>IF(AND(OR(LEFT(TH!L340,2)="15",LEFT(TH!M340,2)="15"),'152-CT'!$J$8=TH!F340),"x","")</f>
        <v/>
      </c>
      <c r="X340" s="52" t="str">
        <f>IF(AND(OR(LEFT(TH!L340,2)="15",LEFT(TH!M340,2)="15"),TK!$E$7=TH!F340),"x","")</f>
        <v/>
      </c>
      <c r="Y340" s="52" t="str">
        <f>IF(AND(B340&lt;=NKC!$N$8,B340&gt;=NKC!$M$8),"x","")</f>
        <v/>
      </c>
      <c r="Z340" s="208">
        <v>5</v>
      </c>
      <c r="AA340" s="208"/>
      <c r="AB340" s="208"/>
    </row>
    <row r="341" spans="1:28" ht="15.75" customHeight="1">
      <c r="A341" s="201" t="str">
        <f>IF(B341&lt;&gt;"",IF(AND(B341&gt;=_TM1,B341&lt;=_TM2,OR(TH!L341="1111",TH!M341="1111")),TH!D341,""),"")</f>
        <v/>
      </c>
      <c r="B341" s="36">
        <f t="shared" si="16"/>
        <v>5</v>
      </c>
      <c r="C341" s="188">
        <f t="shared" si="17"/>
        <v>41401</v>
      </c>
      <c r="D341" s="181" t="s">
        <v>1031</v>
      </c>
      <c r="E341" s="188">
        <v>41401</v>
      </c>
      <c r="F341" s="189" t="s">
        <v>787</v>
      </c>
      <c r="G341" s="189" t="s">
        <v>788</v>
      </c>
      <c r="H341" s="7" t="s">
        <v>499</v>
      </c>
      <c r="I341" s="249">
        <v>500</v>
      </c>
      <c r="J341" s="249">
        <v>9206</v>
      </c>
      <c r="K341" s="38">
        <f>ROUND(I341*J341,0)</f>
        <v>4603000</v>
      </c>
      <c r="L341" s="191" t="s">
        <v>262</v>
      </c>
      <c r="M341" s="191" t="s">
        <v>172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IF(OR(TH!L341=TH!$U$7,M341=TH!$U$7),"x","")</f>
        <v/>
      </c>
      <c r="V341" s="52" t="str">
        <f>IF(AND(B341&gt;='IN-NX'!$P$3,B341&lt;='IN-NX'!$Q$3,'IN-NX'!$D$7=D341,OR(LEFT(L341,2)="15",AND(LEFT(M341,2)&lt;&gt;"15",LEFT(M341,2)&lt;&gt;"33"))),"x","")</f>
        <v>x</v>
      </c>
      <c r="W341" s="52" t="str">
        <f>IF(AND(OR(LEFT(TH!L341,2)="15",LEFT(TH!M341,2)="15"),'152-CT'!$J$8=TH!F341),"x","")</f>
        <v/>
      </c>
      <c r="X341" s="52" t="str">
        <f>IF(AND(OR(LEFT(TH!L341,2)="15",LEFT(TH!M341,2)="15"),TK!$E$7=TH!F341),"x","")</f>
        <v/>
      </c>
      <c r="Y341" s="52" t="str">
        <f>IF(AND(B341&lt;=NKC!$N$8,B341&gt;=NKC!$M$8),"x","")</f>
        <v/>
      </c>
      <c r="Z341" s="208"/>
      <c r="AA341" s="587"/>
    </row>
    <row r="342" spans="1:28" s="587" customFormat="1" ht="15.75" customHeight="1">
      <c r="A342" s="201" t="str">
        <f>IF(B342&lt;&gt;"",IF(AND(B342&gt;=_TM1,B342&lt;=_TM2,OR(TH!L342="1111",TH!M342="1111")),TH!D342,""),"")</f>
        <v/>
      </c>
      <c r="B342" s="36">
        <f t="shared" si="16"/>
        <v>5</v>
      </c>
      <c r="C342" s="188">
        <f t="shared" si="17"/>
        <v>41401</v>
      </c>
      <c r="D342" s="181" t="s">
        <v>1031</v>
      </c>
      <c r="E342" s="188">
        <v>41401</v>
      </c>
      <c r="F342" s="189" t="s">
        <v>693</v>
      </c>
      <c r="G342" s="189" t="s">
        <v>788</v>
      </c>
      <c r="H342" s="7" t="s">
        <v>499</v>
      </c>
      <c r="I342" s="249"/>
      <c r="J342" s="249"/>
      <c r="K342" s="38">
        <v>460300</v>
      </c>
      <c r="L342" s="191" t="s">
        <v>262</v>
      </c>
      <c r="M342" s="191" t="s">
        <v>425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IF(OR(TH!L342=TH!$U$7,M342=TH!$U$7),"x","")</f>
        <v/>
      </c>
      <c r="V342" s="52" t="str">
        <f>IF(AND(B342&gt;='IN-NX'!$P$3,B342&lt;='IN-NX'!$Q$3,'IN-NX'!$D$7=D342,OR(LEFT(L342,2)="15",AND(LEFT(M342,2)&lt;&gt;"15",LEFT(M342,2)&lt;&gt;"33"))),"x","")</f>
        <v/>
      </c>
      <c r="W342" s="52" t="str">
        <f>IF(AND(OR(LEFT(TH!L342,2)="15",LEFT(TH!M342,2)="15"),'152-CT'!$J$8=TH!F342),"x","")</f>
        <v/>
      </c>
      <c r="X342" s="52" t="str">
        <f>IF(AND(OR(LEFT(TH!L342,2)="15",LEFT(TH!M342,2)="15"),TK!$E$7=TH!F342),"x","")</f>
        <v/>
      </c>
      <c r="Y342" s="52" t="str">
        <f>IF(AND(B342&lt;=NKC!$N$8,B342&gt;=NKC!$M$8),"x","")</f>
        <v/>
      </c>
      <c r="Z342" s="208"/>
      <c r="AA342" s="587" t="str">
        <f>IF(VLOOKUP(H342,DS_131,1,0)&lt;&gt;"","","x")</f>
        <v/>
      </c>
      <c r="AB342" s="195"/>
    </row>
    <row r="343" spans="1:28" s="587" customFormat="1" ht="15.75" customHeight="1">
      <c r="A343" s="201" t="str">
        <f>IF(B343&lt;&gt;"",IF(AND(B343&gt;=_TM1,B343&lt;=_TM2,OR(TH!L343="1111",TH!M343="1111")),TH!D343,""),"")</f>
        <v/>
      </c>
      <c r="B343" s="36">
        <f t="shared" si="16"/>
        <v>5</v>
      </c>
      <c r="C343" s="188">
        <f t="shared" si="17"/>
        <v>41402</v>
      </c>
      <c r="D343" s="181" t="s">
        <v>407</v>
      </c>
      <c r="E343" s="181">
        <v>41402</v>
      </c>
      <c r="F343" s="189" t="s">
        <v>628</v>
      </c>
      <c r="G343" s="657" t="s">
        <v>629</v>
      </c>
      <c r="H343" s="190" t="s">
        <v>612</v>
      </c>
      <c r="I343" s="249">
        <v>350</v>
      </c>
      <c r="J343" s="249">
        <v>20290</v>
      </c>
      <c r="K343" s="38">
        <f>ROUND(I343*J343,0)</f>
        <v>7101500</v>
      </c>
      <c r="L343" s="191" t="s">
        <v>156</v>
      </c>
      <c r="M343" s="19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IF(OR(TH!L343=TH!$U$7,M343=TH!$U$7),"x","")</f>
        <v/>
      </c>
      <c r="V343" s="52" t="str">
        <f>IF(AND(B343&gt;='IN-NX'!$P$3,B343&lt;='IN-NX'!$Q$3,'IN-NX'!$D$7=D343,OR(LEFT(L343,2)="15",AND(LEFT(M343,2)&lt;&gt;"15",LEFT(M343,2)&lt;&gt;"33"))),"x","")</f>
        <v/>
      </c>
      <c r="W343" s="52" t="str">
        <f>IF(AND(OR(LEFT(TH!L343,2)="15",LEFT(TH!M343,2)="15"),'152-CT'!$J$8=TH!F343),"x","")</f>
        <v/>
      </c>
      <c r="X343" s="52" t="str">
        <f>IF(AND(OR(LEFT(TH!L343,2)="15",LEFT(TH!M343,2)="15"),TK!$E$7=TH!F343),"x","")</f>
        <v/>
      </c>
      <c r="Y343" s="52" t="str">
        <f>IF(AND(B343&lt;=NKC!$N$8,B343&gt;=NKC!$M$8),"x","")</f>
        <v/>
      </c>
      <c r="Z343" s="587">
        <v>5</v>
      </c>
      <c r="AA343" s="195"/>
      <c r="AB343" s="195"/>
    </row>
    <row r="344" spans="1:28" s="587" customFormat="1" ht="15.75" customHeight="1">
      <c r="A344" s="201" t="str">
        <f>IF(B344&lt;&gt;"",IF(AND(B344&gt;=_TM1,B344&lt;=_TM2,OR(TH!L344="1111",TH!M344="1111")),TH!D344,""),"")</f>
        <v/>
      </c>
      <c r="B344" s="36">
        <f t="shared" si="16"/>
        <v>5</v>
      </c>
      <c r="C344" s="188">
        <f t="shared" si="17"/>
        <v>41402</v>
      </c>
      <c r="D344" s="181" t="s">
        <v>407</v>
      </c>
      <c r="E344" s="181">
        <v>41402</v>
      </c>
      <c r="F344" s="189" t="s">
        <v>630</v>
      </c>
      <c r="G344" s="657" t="s">
        <v>629</v>
      </c>
      <c r="H344" s="190" t="s">
        <v>612</v>
      </c>
      <c r="I344" s="249">
        <v>60</v>
      </c>
      <c r="J344" s="249">
        <v>17222</v>
      </c>
      <c r="K344" s="38">
        <f>ROUND(I344*J344,0)</f>
        <v>1033320</v>
      </c>
      <c r="L344" s="191" t="s">
        <v>156</v>
      </c>
      <c r="M344" s="19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IF(OR(TH!L344=TH!$U$7,M344=TH!$U$7),"x","")</f>
        <v/>
      </c>
      <c r="V344" s="52" t="str">
        <f>IF(AND(B344&gt;='IN-NX'!$P$3,B344&lt;='IN-NX'!$Q$3,'IN-NX'!$D$7=D344,OR(LEFT(L344,2)="15",AND(LEFT(M344,2)&lt;&gt;"15",LEFT(M344,2)&lt;&gt;"33"))),"x","")</f>
        <v/>
      </c>
      <c r="W344" s="52" t="str">
        <f>IF(AND(OR(LEFT(TH!L344,2)="15",LEFT(TH!M344,2)="15"),'152-CT'!$J$8=TH!F344),"x","")</f>
        <v/>
      </c>
      <c r="X344" s="52" t="str">
        <f>IF(AND(OR(LEFT(TH!L344,2)="15",LEFT(TH!M344,2)="15"),TK!$E$7=TH!F344),"x","")</f>
        <v/>
      </c>
      <c r="Y344" s="52" t="str">
        <f>IF(AND(B344&lt;=NKC!$N$8,B344&gt;=NKC!$M$8),"x","")</f>
        <v/>
      </c>
      <c r="Z344" s="587">
        <v>5</v>
      </c>
      <c r="AA344" s="195"/>
      <c r="AB344" s="195"/>
    </row>
    <row r="345" spans="1:28" s="587" customFormat="1" ht="15.75" customHeight="1">
      <c r="A345" s="201" t="str">
        <f>IF(B345&lt;&gt;"",IF(AND(B345&gt;=_TM1,B345&lt;=_TM2,OR(TH!L345="1111",TH!M345="1111")),TH!D345,""),"")</f>
        <v/>
      </c>
      <c r="B345" s="36">
        <f t="shared" si="16"/>
        <v>5</v>
      </c>
      <c r="C345" s="188">
        <f t="shared" si="17"/>
        <v>41402</v>
      </c>
      <c r="D345" s="181" t="s">
        <v>407</v>
      </c>
      <c r="E345" s="181">
        <v>41402</v>
      </c>
      <c r="F345" s="189" t="s">
        <v>631</v>
      </c>
      <c r="G345" s="657" t="s">
        <v>629</v>
      </c>
      <c r="H345" s="190" t="s">
        <v>612</v>
      </c>
      <c r="I345" s="249">
        <v>108</v>
      </c>
      <c r="J345" s="249">
        <v>14978</v>
      </c>
      <c r="K345" s="38">
        <f>ROUND(I345*J345,0)</f>
        <v>1617624</v>
      </c>
      <c r="L345" s="191" t="s">
        <v>156</v>
      </c>
      <c r="M345" s="19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IF(OR(TH!L345=TH!$U$7,M345=TH!$U$7),"x","")</f>
        <v/>
      </c>
      <c r="V345" s="52" t="str">
        <f>IF(AND(B345&gt;='IN-NX'!$P$3,B345&lt;='IN-NX'!$Q$3,'IN-NX'!$D$7=D345,OR(LEFT(L345,2)="15",AND(LEFT(M345,2)&lt;&gt;"15",LEFT(M345,2)&lt;&gt;"33"))),"x","")</f>
        <v/>
      </c>
      <c r="W345" s="52" t="str">
        <f>IF(AND(OR(LEFT(TH!L345,2)="15",LEFT(TH!M345,2)="15"),'152-CT'!$J$8=TH!F345),"x","")</f>
        <v/>
      </c>
      <c r="X345" s="52" t="str">
        <f>IF(AND(OR(LEFT(TH!L345,2)="15",LEFT(TH!M345,2)="15"),TK!$E$7=TH!F345),"x","")</f>
        <v/>
      </c>
      <c r="Y345" s="52" t="str">
        <f>IF(AND(B345&lt;=NKC!$N$8,B345&gt;=NKC!$M$8),"x","")</f>
        <v/>
      </c>
      <c r="Z345" s="587">
        <v>5</v>
      </c>
      <c r="AA345" s="195"/>
      <c r="AB345" s="195"/>
    </row>
    <row r="346" spans="1:28" s="587" customFormat="1" ht="15.75" customHeight="1">
      <c r="A346" s="201" t="str">
        <f>IF(B346&lt;&gt;"",IF(AND(B346&gt;=_TM1,B346&lt;=_TM2,OR(TH!L346="1111",TH!M346="1111")),TH!D346,""),"")</f>
        <v/>
      </c>
      <c r="B346" s="36">
        <f t="shared" si="16"/>
        <v>5</v>
      </c>
      <c r="C346" s="188">
        <f t="shared" si="17"/>
        <v>41402</v>
      </c>
      <c r="D346" s="181" t="s">
        <v>407</v>
      </c>
      <c r="E346" s="181">
        <v>41402</v>
      </c>
      <c r="F346" s="189" t="s">
        <v>632</v>
      </c>
      <c r="G346" s="657" t="s">
        <v>629</v>
      </c>
      <c r="H346" s="190" t="s">
        <v>612</v>
      </c>
      <c r="I346" s="249">
        <v>100</v>
      </c>
      <c r="J346" s="249">
        <v>11238</v>
      </c>
      <c r="K346" s="38">
        <f>ROUND(I346*J346,0)</f>
        <v>1123800</v>
      </c>
      <c r="L346" s="191" t="s">
        <v>156</v>
      </c>
      <c r="M346" s="19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IF(OR(TH!L346=TH!$U$7,M346=TH!$U$7),"x","")</f>
        <v/>
      </c>
      <c r="V346" s="52" t="str">
        <f>IF(AND(B346&gt;='IN-NX'!$P$3,B346&lt;='IN-NX'!$Q$3,'IN-NX'!$D$7=D346,OR(LEFT(L346,2)="15",AND(LEFT(M346,2)&lt;&gt;"15",LEFT(M346,2)&lt;&gt;"33"))),"x","")</f>
        <v/>
      </c>
      <c r="W346" s="52" t="str">
        <f>IF(AND(OR(LEFT(TH!L346,2)="15",LEFT(TH!M346,2)="15"),'152-CT'!$J$8=TH!F346),"x","")</f>
        <v/>
      </c>
      <c r="X346" s="52" t="str">
        <f>IF(AND(OR(LEFT(TH!L346,2)="15",LEFT(TH!M346,2)="15"),TK!$E$7=TH!F346),"x","")</f>
        <v/>
      </c>
      <c r="Y346" s="52" t="str">
        <f>IF(AND(B346&lt;=NKC!$N$8,B346&gt;=NKC!$M$8),"x","")</f>
        <v/>
      </c>
      <c r="Z346" s="587">
        <v>5</v>
      </c>
      <c r="AA346" s="195"/>
      <c r="AB346" s="195"/>
    </row>
    <row r="347" spans="1:28" s="587" customFormat="1" ht="15.75" customHeight="1">
      <c r="A347" s="201" t="str">
        <f>IF(B347&lt;&gt;"",IF(AND(B347&gt;=_TM1,B347&lt;=_TM2,OR(TH!L347="1111",TH!M347="1111")),TH!D347,""),"")</f>
        <v/>
      </c>
      <c r="B347" s="36">
        <f t="shared" si="16"/>
        <v>5</v>
      </c>
      <c r="C347" s="188">
        <f t="shared" si="17"/>
        <v>41402</v>
      </c>
      <c r="D347" s="181" t="s">
        <v>407</v>
      </c>
      <c r="E347" s="181">
        <v>41402</v>
      </c>
      <c r="F347" s="189" t="s">
        <v>633</v>
      </c>
      <c r="G347" s="657" t="s">
        <v>629</v>
      </c>
      <c r="H347" s="190" t="s">
        <v>612</v>
      </c>
      <c r="I347" s="249">
        <v>100</v>
      </c>
      <c r="J347" s="249">
        <v>12629</v>
      </c>
      <c r="K347" s="38">
        <f>ROUND(I347*J347,0)</f>
        <v>1262900</v>
      </c>
      <c r="L347" s="191" t="s">
        <v>156</v>
      </c>
      <c r="M347" s="191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IF(OR(TH!L347=TH!$U$7,M347=TH!$U$7),"x","")</f>
        <v/>
      </c>
      <c r="V347" s="52" t="str">
        <f>IF(AND(B347&gt;='IN-NX'!$P$3,B347&lt;='IN-NX'!$Q$3,'IN-NX'!$D$7=D347,OR(LEFT(L347,2)="15",AND(LEFT(M347,2)&lt;&gt;"15",LEFT(M347,2)&lt;&gt;"33"))),"x","")</f>
        <v/>
      </c>
      <c r="W347" s="52" t="str">
        <f>IF(AND(OR(LEFT(TH!L347,2)="15",LEFT(TH!M347,2)="15"),'152-CT'!$J$8=TH!F347),"x","")</f>
        <v/>
      </c>
      <c r="X347" s="52" t="str">
        <f>IF(AND(OR(LEFT(TH!L347,2)="15",LEFT(TH!M347,2)="15"),TK!$E$7=TH!F347),"x","")</f>
        <v/>
      </c>
      <c r="Y347" s="52" t="str">
        <f>IF(AND(B347&lt;=NKC!$N$8,B347&gt;=NKC!$M$8),"x","")</f>
        <v/>
      </c>
      <c r="Z347" s="587">
        <v>5</v>
      </c>
      <c r="AA347" s="195"/>
      <c r="AB347" s="195"/>
    </row>
    <row r="348" spans="1:28" s="587" customFormat="1" ht="15.75" customHeight="1">
      <c r="A348" s="201" t="str">
        <f>IF(B348&lt;&gt;"",IF(AND(B348&gt;=_TM1,B348&lt;=_TM2,OR(TH!L348="1111",TH!M348="1111")),TH!D348,""),"")</f>
        <v/>
      </c>
      <c r="B348" s="36">
        <f t="shared" si="16"/>
        <v>5</v>
      </c>
      <c r="C348" s="188">
        <f t="shared" si="17"/>
        <v>41402</v>
      </c>
      <c r="D348" s="181" t="s">
        <v>407</v>
      </c>
      <c r="E348" s="181">
        <v>41402</v>
      </c>
      <c r="F348" s="189" t="s">
        <v>557</v>
      </c>
      <c r="G348" s="657" t="s">
        <v>629</v>
      </c>
      <c r="H348" s="190" t="s">
        <v>612</v>
      </c>
      <c r="I348" s="249"/>
      <c r="J348" s="249"/>
      <c r="K348" s="38">
        <v>1213914</v>
      </c>
      <c r="L348" s="191" t="s">
        <v>9</v>
      </c>
      <c r="M348" s="191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IF(OR(TH!L348=TH!$U$7,M348=TH!$U$7),"x","")</f>
        <v/>
      </c>
      <c r="V348" s="52" t="str">
        <f>IF(AND(B348&gt;='IN-NX'!$P$3,B348&lt;='IN-NX'!$Q$3,'IN-NX'!$D$7=D348,OR(LEFT(L348,2)="15",AND(LEFT(M348,2)&lt;&gt;"15",LEFT(M348,2)&lt;&gt;"33"))),"x","")</f>
        <v/>
      </c>
      <c r="W348" s="52" t="str">
        <f>IF(AND(OR(LEFT(TH!L348,2)="15",LEFT(TH!M348,2)="15"),'152-CT'!$J$8=TH!F348),"x","")</f>
        <v/>
      </c>
      <c r="X348" s="52" t="str">
        <f>IF(AND(OR(LEFT(TH!L348,2)="15",LEFT(TH!M348,2)="15"),TK!$E$7=TH!F348),"x","")</f>
        <v/>
      </c>
      <c r="Y348" s="52" t="str">
        <f>IF(AND(B348&lt;=NKC!$N$8,B348&gt;=NKC!$M$8),"x","")</f>
        <v/>
      </c>
      <c r="Z348" s="587">
        <v>5</v>
      </c>
      <c r="AA348" s="195"/>
      <c r="AB348" s="195"/>
    </row>
    <row r="349" spans="1:28" s="587" customFormat="1" ht="15.75" customHeight="1">
      <c r="A349" s="201" t="str">
        <f>IF(B349&lt;&gt;"",IF(AND(B349&gt;=_TM1,B349&lt;=_TM2,OR(TH!L349="1111",TH!M349="1111")),TH!D349,""),"")</f>
        <v/>
      </c>
      <c r="B349" s="36">
        <f t="shared" si="16"/>
        <v>5</v>
      </c>
      <c r="C349" s="188">
        <f t="shared" si="17"/>
        <v>41402</v>
      </c>
      <c r="D349" s="181" t="s">
        <v>381</v>
      </c>
      <c r="E349" s="181">
        <v>41402</v>
      </c>
      <c r="F349" s="189" t="s">
        <v>367</v>
      </c>
      <c r="G349" s="657" t="s">
        <v>629</v>
      </c>
      <c r="H349" s="190" t="s">
        <v>612</v>
      </c>
      <c r="I349" s="249"/>
      <c r="J349" s="249"/>
      <c r="K349" s="38">
        <v>13353058</v>
      </c>
      <c r="L349" s="191" t="s">
        <v>8</v>
      </c>
      <c r="M349" s="191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IF(OR(TH!L349=TH!$U$7,M349=TH!$U$7),"x","")</f>
        <v/>
      </c>
      <c r="V349" s="52" t="str">
        <f>IF(AND(B349&gt;='IN-NX'!$P$3,B349&lt;='IN-NX'!$Q$3,'IN-NX'!$D$7=D349,OR(LEFT(L349,2)="15",AND(LEFT(M349,2)&lt;&gt;"15",LEFT(M349,2)&lt;&gt;"33"))),"x","")</f>
        <v/>
      </c>
      <c r="W349" s="52" t="str">
        <f>IF(AND(OR(LEFT(TH!L349,2)="15",LEFT(TH!M349,2)="15"),'152-CT'!$J$8=TH!F349),"x","")</f>
        <v/>
      </c>
      <c r="X349" s="52" t="str">
        <f>IF(AND(OR(LEFT(TH!L349,2)="15",LEFT(TH!M349,2)="15"),TK!$E$7=TH!F349),"x","")</f>
        <v/>
      </c>
      <c r="Y349" s="52" t="str">
        <f>IF(AND(B349&lt;=NKC!$N$8,B349&gt;=NKC!$M$8),"x","")</f>
        <v/>
      </c>
      <c r="Z349" s="208"/>
      <c r="AA349" s="195"/>
      <c r="AB349" s="195"/>
    </row>
    <row r="350" spans="1:28" s="587" customFormat="1" ht="15.75" customHeight="1">
      <c r="A350" s="201" t="str">
        <f>IF(B350&lt;&gt;"",IF(AND(B350&gt;=_TM1,B350&lt;=_TM2,OR(TH!L350="1111",TH!M350="1111")),TH!D350,""),"")</f>
        <v/>
      </c>
      <c r="B350" s="36">
        <f t="shared" si="16"/>
        <v>5</v>
      </c>
      <c r="C350" s="181">
        <f t="shared" si="17"/>
        <v>41403</v>
      </c>
      <c r="D350" s="181" t="s">
        <v>382</v>
      </c>
      <c r="E350" s="188">
        <v>41403</v>
      </c>
      <c r="F350" s="186" t="s">
        <v>345</v>
      </c>
      <c r="G350" s="657" t="s">
        <v>479</v>
      </c>
      <c r="H350" s="7" t="s">
        <v>480</v>
      </c>
      <c r="I350" s="250"/>
      <c r="J350" s="251"/>
      <c r="K350" s="38">
        <v>556300</v>
      </c>
      <c r="L350" s="596" t="s">
        <v>83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IF(OR(TH!L350=TH!$U$7,M350=TH!$U$7),"x","")</f>
        <v>x</v>
      </c>
      <c r="V350" s="52" t="str">
        <f>IF(AND(B350&gt;='IN-NX'!$P$3,B350&lt;='IN-NX'!$Q$3,'IN-NX'!$D$7=D350,OR(LEFT(L350,2)="15",AND(LEFT(M350,2)&lt;&gt;"15",LEFT(M350,2)&lt;&gt;"33"))),"x","")</f>
        <v/>
      </c>
      <c r="W350" s="52" t="str">
        <f>IF(AND(OR(LEFT(TH!L350,2)="15",LEFT(TH!M350,2)="15"),'152-CT'!$J$8=TH!F350),"x","")</f>
        <v/>
      </c>
      <c r="X350" s="52" t="str">
        <f>IF(AND(OR(LEFT(TH!L350,2)="15",LEFT(TH!M350,2)="15"),TK!$E$7=TH!F350),"x","")</f>
        <v/>
      </c>
      <c r="Y350" s="52" t="str">
        <f>IF(AND(B350&lt;=NKC!$N$8,B350&gt;=NKC!$M$8),"x","")</f>
        <v/>
      </c>
      <c r="AA350" s="208"/>
      <c r="AB350" s="208"/>
    </row>
    <row r="351" spans="1:28" s="587" customFormat="1" ht="15.75" customHeight="1">
      <c r="A351" s="201" t="str">
        <f>IF(B351&lt;&gt;"",IF(AND(B351&gt;=_TM1,B351&lt;=_TM2,OR(TH!L351="1111",TH!M351="1111")),TH!D351,""),"")</f>
        <v/>
      </c>
      <c r="B351" s="36">
        <f t="shared" si="16"/>
        <v>5</v>
      </c>
      <c r="C351" s="188">
        <f t="shared" si="17"/>
        <v>41403</v>
      </c>
      <c r="D351" s="181" t="s">
        <v>389</v>
      </c>
      <c r="E351" s="188">
        <v>41403</v>
      </c>
      <c r="F351" s="186" t="s">
        <v>431</v>
      </c>
      <c r="G351" s="480" t="s">
        <v>481</v>
      </c>
      <c r="H351" s="7" t="s">
        <v>368</v>
      </c>
      <c r="I351" s="249"/>
      <c r="J351" s="249"/>
      <c r="K351" s="595">
        <v>3640000</v>
      </c>
      <c r="L351" s="596" t="s">
        <v>162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IF(OR(TH!L351=TH!$U$7,M351=TH!$U$7),"x","")</f>
        <v/>
      </c>
      <c r="V351" s="52" t="str">
        <f>IF(AND(B351&gt;='IN-NX'!$P$3,B351&lt;='IN-NX'!$Q$3,'IN-NX'!$D$7=D351,OR(LEFT(L351,2)="15",AND(LEFT(M351,2)&lt;&gt;"15",LEFT(M351,2)&lt;&gt;"33"))),"x","")</f>
        <v/>
      </c>
      <c r="W351" s="52" t="str">
        <f>IF(AND(OR(LEFT(TH!L351,2)="15",LEFT(TH!M351,2)="15"),'152-CT'!$J$8=TH!F351),"x","")</f>
        <v/>
      </c>
      <c r="X351" s="52" t="str">
        <f>IF(AND(OR(LEFT(TH!L351,2)="15",LEFT(TH!M351,2)="15"),TK!$E$7=TH!F351),"x","")</f>
        <v/>
      </c>
      <c r="Y351" s="52" t="str">
        <f>IF(AND(B351&lt;=NKC!$N$8,B351&gt;=NKC!$M$8),"x","")</f>
        <v/>
      </c>
      <c r="Z351" s="208" t="s">
        <v>1301</v>
      </c>
      <c r="AA351" s="195"/>
      <c r="AB351" s="195"/>
    </row>
    <row r="352" spans="1:28" s="587" customFormat="1" ht="15.75" customHeight="1">
      <c r="A352" s="201" t="str">
        <f>IF(B352&lt;&gt;"",IF(AND(B352&gt;=_TM1,B352&lt;=_TM2,OR(TH!L352="1111",TH!M352="1111")),TH!D352,""),"")</f>
        <v/>
      </c>
      <c r="B352" s="36">
        <f t="shared" si="16"/>
        <v>5</v>
      </c>
      <c r="C352" s="188">
        <f t="shared" si="17"/>
        <v>41403</v>
      </c>
      <c r="D352" s="181" t="s">
        <v>389</v>
      </c>
      <c r="E352" s="188">
        <v>41403</v>
      </c>
      <c r="F352" s="186" t="s">
        <v>344</v>
      </c>
      <c r="G352" s="480" t="s">
        <v>481</v>
      </c>
      <c r="H352" s="7" t="s">
        <v>368</v>
      </c>
      <c r="I352" s="250"/>
      <c r="J352" s="250"/>
      <c r="K352" s="595">
        <v>364000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IF(OR(TH!L352=TH!$U$7,M352=TH!$U$7),"x","")</f>
        <v/>
      </c>
      <c r="V352" s="52" t="str">
        <f>IF(AND(B352&gt;='IN-NX'!$P$3,B352&lt;='IN-NX'!$Q$3,'IN-NX'!$D$7=D352,OR(LEFT(L352,2)="15",AND(LEFT(M352,2)&lt;&gt;"15",LEFT(M352,2)&lt;&gt;"33"))),"x","")</f>
        <v/>
      </c>
      <c r="W352" s="52" t="str">
        <f>IF(AND(OR(LEFT(TH!L352,2)="15",LEFT(TH!M352,2)="15"),'152-CT'!$J$8=TH!F352),"x","")</f>
        <v/>
      </c>
      <c r="X352" s="52" t="str">
        <f>IF(AND(OR(LEFT(TH!L352,2)="15",LEFT(TH!M352,2)="15"),TK!$E$7=TH!F352),"x","")</f>
        <v/>
      </c>
      <c r="Y352" s="52" t="str">
        <f>IF(AND(B352&lt;=NKC!$N$8,B352&gt;=NKC!$M$8),"x","")</f>
        <v/>
      </c>
      <c r="Z352" s="208" t="s">
        <v>1301</v>
      </c>
      <c r="AA352" s="208"/>
      <c r="AB352" s="208"/>
    </row>
    <row r="353" spans="1:28" s="587" customFormat="1" ht="15.75" customHeight="1">
      <c r="A353" s="201" t="str">
        <f>IF(B353&lt;&gt;"",IF(AND(B353&gt;=_TM1,B353&lt;=_TM2,OR(TH!L353="1111",TH!M353="1111")),TH!D353,""),"")</f>
        <v/>
      </c>
      <c r="B353" s="36">
        <f t="shared" si="16"/>
        <v>5</v>
      </c>
      <c r="C353" s="188">
        <f t="shared" si="17"/>
        <v>41404</v>
      </c>
      <c r="D353" s="181" t="s">
        <v>408</v>
      </c>
      <c r="E353" s="181">
        <v>41404</v>
      </c>
      <c r="F353" s="189" t="s">
        <v>634</v>
      </c>
      <c r="G353" s="657" t="s">
        <v>635</v>
      </c>
      <c r="H353" s="190" t="s">
        <v>612</v>
      </c>
      <c r="I353" s="249">
        <v>510</v>
      </c>
      <c r="J353" s="249">
        <v>16375</v>
      </c>
      <c r="K353" s="38">
        <f>ROUND(I353*J353,0)</f>
        <v>8351250</v>
      </c>
      <c r="L353" s="191" t="s">
        <v>156</v>
      </c>
      <c r="M353" s="19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IF(OR(TH!L353=TH!$U$7,M353=TH!$U$7),"x","")</f>
        <v/>
      </c>
      <c r="V353" s="52" t="str">
        <f>IF(AND(B353&gt;='IN-NX'!$P$3,B353&lt;='IN-NX'!$Q$3,'IN-NX'!$D$7=D353,OR(LEFT(L353,2)="15",AND(LEFT(M353,2)&lt;&gt;"15",LEFT(M353,2)&lt;&gt;"33"))),"x","")</f>
        <v/>
      </c>
      <c r="W353" s="52" t="str">
        <f>IF(AND(OR(LEFT(TH!L353,2)="15",LEFT(TH!M353,2)="15"),'152-CT'!$J$8=TH!F353),"x","")</f>
        <v/>
      </c>
      <c r="X353" s="52" t="str">
        <f>IF(AND(OR(LEFT(TH!L353,2)="15",LEFT(TH!M353,2)="15"),TK!$E$7=TH!F353),"x","")</f>
        <v/>
      </c>
      <c r="Y353" s="52" t="str">
        <f>IF(AND(B353&lt;=NKC!$N$8,B353&gt;=NKC!$M$8),"x","")</f>
        <v/>
      </c>
      <c r="Z353" s="587">
        <v>5</v>
      </c>
      <c r="AA353" s="195"/>
      <c r="AB353" s="195"/>
    </row>
    <row r="354" spans="1:28" s="587" customFormat="1" ht="15.75" customHeight="1">
      <c r="A354" s="201" t="str">
        <f>IF(B354&lt;&gt;"",IF(AND(B354&gt;=_TM1,B354&lt;=_TM2,OR(TH!L354="1111",TH!M354="1111")),TH!D354,""),"")</f>
        <v/>
      </c>
      <c r="B354" s="36">
        <f t="shared" si="16"/>
        <v>5</v>
      </c>
      <c r="C354" s="188">
        <f t="shared" si="17"/>
        <v>41404</v>
      </c>
      <c r="D354" s="181" t="s">
        <v>408</v>
      </c>
      <c r="E354" s="181">
        <v>41404</v>
      </c>
      <c r="F354" s="189" t="s">
        <v>636</v>
      </c>
      <c r="G354" s="657" t="s">
        <v>635</v>
      </c>
      <c r="H354" s="190" t="s">
        <v>612</v>
      </c>
      <c r="I354" s="249">
        <v>250</v>
      </c>
      <c r="J354" s="249">
        <v>26903</v>
      </c>
      <c r="K354" s="38">
        <f>ROUND(I354*J354,0)</f>
        <v>6725750</v>
      </c>
      <c r="L354" s="191" t="s">
        <v>156</v>
      </c>
      <c r="M354" s="19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IF(OR(TH!L354=TH!$U$7,M354=TH!$U$7),"x","")</f>
        <v/>
      </c>
      <c r="V354" s="52" t="str">
        <f>IF(AND(B354&gt;='IN-NX'!$P$3,B354&lt;='IN-NX'!$Q$3,'IN-NX'!$D$7=D354,OR(LEFT(L354,2)="15",AND(LEFT(M354,2)&lt;&gt;"15",LEFT(M354,2)&lt;&gt;"33"))),"x","")</f>
        <v/>
      </c>
      <c r="W354" s="52" t="str">
        <f>IF(AND(OR(LEFT(TH!L354,2)="15",LEFT(TH!M354,2)="15"),'152-CT'!$J$8=TH!F354),"x","")</f>
        <v/>
      </c>
      <c r="X354" s="52" t="str">
        <f>IF(AND(OR(LEFT(TH!L354,2)="15",LEFT(TH!M354,2)="15"),TK!$E$7=TH!F354),"x","")</f>
        <v/>
      </c>
      <c r="Y354" s="52" t="str">
        <f>IF(AND(B354&lt;=NKC!$N$8,B354&gt;=NKC!$M$8),"x","")</f>
        <v/>
      </c>
      <c r="Z354" s="587">
        <v>5</v>
      </c>
      <c r="AA354" s="195"/>
      <c r="AB354" s="195"/>
    </row>
    <row r="355" spans="1:28" s="587" customFormat="1" ht="15.75" customHeight="1">
      <c r="A355" s="201" t="str">
        <f>IF(B355&lt;&gt;"",IF(AND(B355&gt;=_TM1,B355&lt;=_TM2,OR(TH!L355="1111",TH!M355="1111")),TH!D355,""),"")</f>
        <v/>
      </c>
      <c r="B355" s="36">
        <f t="shared" si="16"/>
        <v>5</v>
      </c>
      <c r="C355" s="188">
        <f t="shared" si="17"/>
        <v>41404</v>
      </c>
      <c r="D355" s="181" t="s">
        <v>408</v>
      </c>
      <c r="E355" s="181">
        <v>41404</v>
      </c>
      <c r="F355" s="189" t="s">
        <v>557</v>
      </c>
      <c r="G355" s="657" t="s">
        <v>635</v>
      </c>
      <c r="H355" s="190" t="s">
        <v>612</v>
      </c>
      <c r="I355" s="249"/>
      <c r="J355" s="249"/>
      <c r="K355" s="38">
        <v>1507700</v>
      </c>
      <c r="L355" s="191" t="s">
        <v>9</v>
      </c>
      <c r="M355" s="19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IF(OR(TH!L355=TH!$U$7,M355=TH!$U$7),"x","")</f>
        <v/>
      </c>
      <c r="V355" s="52" t="str">
        <f>IF(AND(B355&gt;='IN-NX'!$P$3,B355&lt;='IN-NX'!$Q$3,'IN-NX'!$D$7=D355,OR(LEFT(L355,2)="15",AND(LEFT(M355,2)&lt;&gt;"15",LEFT(M355,2)&lt;&gt;"33"))),"x","")</f>
        <v/>
      </c>
      <c r="W355" s="52" t="str">
        <f>IF(AND(OR(LEFT(TH!L355,2)="15",LEFT(TH!M355,2)="15"),'152-CT'!$J$8=TH!F355),"x","")</f>
        <v/>
      </c>
      <c r="X355" s="52" t="str">
        <f>IF(AND(OR(LEFT(TH!L355,2)="15",LEFT(TH!M355,2)="15"),TK!$E$7=TH!F355),"x","")</f>
        <v/>
      </c>
      <c r="Y355" s="52" t="str">
        <f>IF(AND(B355&lt;=NKC!$N$8,B355&gt;=NKC!$M$8),"x","")</f>
        <v/>
      </c>
      <c r="Z355" s="587">
        <v>5</v>
      </c>
      <c r="AA355" s="195"/>
      <c r="AB355" s="195"/>
    </row>
    <row r="356" spans="1:28" s="587" customFormat="1" ht="15.75" customHeight="1">
      <c r="A356" s="201" t="str">
        <f>IF(B356&lt;&gt;"",IF(AND(B356&gt;=_TM1,B356&lt;=_TM2,OR(TH!L356="1111",TH!M356="1111")),TH!D356,""),"")</f>
        <v/>
      </c>
      <c r="B356" s="36">
        <f t="shared" si="16"/>
        <v>5</v>
      </c>
      <c r="C356" s="188">
        <f t="shared" si="17"/>
        <v>41404</v>
      </c>
      <c r="D356" s="181" t="s">
        <v>390</v>
      </c>
      <c r="E356" s="181">
        <v>41404</v>
      </c>
      <c r="F356" s="189" t="s">
        <v>367</v>
      </c>
      <c r="G356" s="657" t="s">
        <v>635</v>
      </c>
      <c r="H356" s="190" t="s">
        <v>612</v>
      </c>
      <c r="I356" s="249"/>
      <c r="J356" s="249"/>
      <c r="K356" s="38">
        <v>16584700</v>
      </c>
      <c r="L356" s="191" t="s">
        <v>8</v>
      </c>
      <c r="M356" s="191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IF(OR(TH!L356=TH!$U$7,M356=TH!$U$7),"x","")</f>
        <v/>
      </c>
      <c r="V356" s="52" t="str">
        <f>IF(AND(B356&gt;='IN-NX'!$P$3,B356&lt;='IN-NX'!$Q$3,'IN-NX'!$D$7=D356,OR(LEFT(L356,2)="15",AND(LEFT(M356,2)&lt;&gt;"15",LEFT(M356,2)&lt;&gt;"33"))),"x","")</f>
        <v/>
      </c>
      <c r="W356" s="52" t="str">
        <f>IF(AND(OR(LEFT(TH!L356,2)="15",LEFT(TH!M356,2)="15"),'152-CT'!$J$8=TH!F356),"x","")</f>
        <v/>
      </c>
      <c r="X356" s="52" t="str">
        <f>IF(AND(OR(LEFT(TH!L356,2)="15",LEFT(TH!M356,2)="15"),TK!$E$7=TH!F356),"x","")</f>
        <v/>
      </c>
      <c r="Y356" s="52" t="str">
        <f>IF(AND(B356&lt;=NKC!$N$8,B356&gt;=NKC!$M$8),"x","")</f>
        <v/>
      </c>
      <c r="Z356" s="208"/>
      <c r="AA356" s="195"/>
      <c r="AB356" s="195"/>
    </row>
    <row r="357" spans="1:28" s="587" customFormat="1" ht="15.75" customHeight="1">
      <c r="A357" s="201" t="str">
        <f>IF(B357&lt;&gt;"",IF(AND(B357&gt;=_TM1,B357&lt;=_TM2,OR(TH!L357="1111",TH!M357="1111")),TH!D357,""),"")</f>
        <v/>
      </c>
      <c r="B357" s="36">
        <f t="shared" si="16"/>
        <v>5</v>
      </c>
      <c r="C357" s="188">
        <f t="shared" si="17"/>
        <v>41409</v>
      </c>
      <c r="D357" s="181" t="s">
        <v>1032</v>
      </c>
      <c r="E357" s="188">
        <v>41409</v>
      </c>
      <c r="F357" s="189" t="s">
        <v>781</v>
      </c>
      <c r="G357" s="189" t="s">
        <v>789</v>
      </c>
      <c r="H357" s="7" t="s">
        <v>510</v>
      </c>
      <c r="I357" s="249">
        <v>113</v>
      </c>
      <c r="J357" s="249">
        <v>10300</v>
      </c>
      <c r="K357" s="38">
        <f>ROUND(I357*J357,0)</f>
        <v>1163900</v>
      </c>
      <c r="L357" s="191" t="s">
        <v>262</v>
      </c>
      <c r="M357" s="191" t="s">
        <v>172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IF(OR(TH!L357=TH!$U$7,M357=TH!$U$7),"x","")</f>
        <v/>
      </c>
      <c r="V357" s="52" t="str">
        <f>IF(AND(B357&gt;='IN-NX'!$P$3,B357&lt;='IN-NX'!$Q$3,'IN-NX'!$D$7=D357,OR(LEFT(L357,2)="15",AND(LEFT(M357,2)&lt;&gt;"15",LEFT(M357,2)&lt;&gt;"33"))),"x","")</f>
        <v/>
      </c>
      <c r="W357" s="52" t="str">
        <f>IF(AND(OR(LEFT(TH!L357,2)="15",LEFT(TH!M357,2)="15"),'152-CT'!$J$8=TH!F357),"x","")</f>
        <v/>
      </c>
      <c r="X357" s="52" t="str">
        <f>IF(AND(OR(LEFT(TH!L357,2)="15",LEFT(TH!M357,2)="15"),TK!$E$7=TH!F357),"x","")</f>
        <v/>
      </c>
      <c r="Y357" s="52" t="str">
        <f>IF(AND(B357&lt;=NKC!$N$8,B357&gt;=NKC!$M$8),"x","")</f>
        <v/>
      </c>
      <c r="Z357" s="208"/>
    </row>
    <row r="358" spans="1:28" s="587" customFormat="1" ht="15.75" customHeight="1">
      <c r="A358" s="201" t="str">
        <f>IF(B358&lt;&gt;"",IF(AND(B358&gt;=_TM1,B358&lt;=_TM2,OR(TH!L358="1111",TH!M358="1111")),TH!D358,""),"")</f>
        <v/>
      </c>
      <c r="B358" s="36">
        <f t="shared" si="16"/>
        <v>5</v>
      </c>
      <c r="C358" s="188">
        <f t="shared" si="17"/>
        <v>41409</v>
      </c>
      <c r="D358" s="181" t="s">
        <v>1032</v>
      </c>
      <c r="E358" s="188">
        <v>41409</v>
      </c>
      <c r="F358" s="189" t="s">
        <v>1097</v>
      </c>
      <c r="G358" s="189" t="s">
        <v>789</v>
      </c>
      <c r="H358" s="7" t="s">
        <v>510</v>
      </c>
      <c r="I358" s="249">
        <v>198</v>
      </c>
      <c r="J358" s="249">
        <v>6850</v>
      </c>
      <c r="K358" s="38">
        <f>ROUND(I358*J358,0)</f>
        <v>1356300</v>
      </c>
      <c r="L358" s="191" t="s">
        <v>262</v>
      </c>
      <c r="M358" s="191" t="s">
        <v>172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IF(OR(TH!L358=TH!$U$7,M358=TH!$U$7),"x","")</f>
        <v/>
      </c>
      <c r="V358" s="52" t="str">
        <f>IF(AND(B358&gt;='IN-NX'!$P$3,B358&lt;='IN-NX'!$Q$3,'IN-NX'!$D$7=D358,OR(LEFT(L358,2)="15",AND(LEFT(M358,2)&lt;&gt;"15",LEFT(M358,2)&lt;&gt;"33"))),"x","")</f>
        <v/>
      </c>
      <c r="W358" s="52" t="str">
        <f>IF(AND(OR(LEFT(TH!L358,2)="15",LEFT(TH!M358,2)="15"),'152-CT'!$J$8=TH!F358),"x","")</f>
        <v/>
      </c>
      <c r="X358" s="52" t="str">
        <f>IF(AND(OR(LEFT(TH!L358,2)="15",LEFT(TH!M358,2)="15"),TK!$E$7=TH!F358),"x","")</f>
        <v/>
      </c>
      <c r="Y358" s="52" t="str">
        <f>IF(AND(B358&lt;=NKC!$N$8,B358&gt;=NKC!$M$8),"x","")</f>
        <v/>
      </c>
      <c r="Z358" s="208"/>
    </row>
    <row r="359" spans="1:28" s="587" customFormat="1" ht="15.75" customHeight="1">
      <c r="A359" s="201" t="str">
        <f>IF(B359&lt;&gt;"",IF(AND(B359&gt;=_TM1,B359&lt;=_TM2,OR(TH!L359="1111",TH!M359="1111")),TH!D359,""),"")</f>
        <v/>
      </c>
      <c r="B359" s="36">
        <f t="shared" si="16"/>
        <v>5</v>
      </c>
      <c r="C359" s="188">
        <f t="shared" si="17"/>
        <v>41409</v>
      </c>
      <c r="D359" s="181" t="s">
        <v>1032</v>
      </c>
      <c r="E359" s="188">
        <v>41409</v>
      </c>
      <c r="F359" s="189" t="s">
        <v>1096</v>
      </c>
      <c r="G359" s="189" t="s">
        <v>789</v>
      </c>
      <c r="H359" s="7" t="s">
        <v>510</v>
      </c>
      <c r="I359" s="249">
        <v>104</v>
      </c>
      <c r="J359" s="249">
        <v>14100</v>
      </c>
      <c r="K359" s="38">
        <f>ROUND(I359*J359,0)</f>
        <v>1466400</v>
      </c>
      <c r="L359" s="191" t="s">
        <v>262</v>
      </c>
      <c r="M359" s="191" t="s">
        <v>172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IF(OR(TH!L359=TH!$U$7,M359=TH!$U$7),"x","")</f>
        <v/>
      </c>
      <c r="V359" s="52" t="str">
        <f>IF(AND(B359&gt;='IN-NX'!$P$3,B359&lt;='IN-NX'!$Q$3,'IN-NX'!$D$7=D359,OR(LEFT(L359,2)="15",AND(LEFT(M359,2)&lt;&gt;"15",LEFT(M359,2)&lt;&gt;"33"))),"x","")</f>
        <v/>
      </c>
      <c r="W359" s="52" t="str">
        <f>IF(AND(OR(LEFT(TH!L359,2)="15",LEFT(TH!M359,2)="15"),'152-CT'!$J$8=TH!F359),"x","")</f>
        <v/>
      </c>
      <c r="X359" s="52" t="str">
        <f>IF(AND(OR(LEFT(TH!L359,2)="15",LEFT(TH!M359,2)="15"),TK!$E$7=TH!F359),"x","")</f>
        <v/>
      </c>
      <c r="Y359" s="52" t="str">
        <f>IF(AND(B359&lt;=NKC!$N$8,B359&gt;=NKC!$M$8),"x","")</f>
        <v/>
      </c>
      <c r="Z359" s="208"/>
      <c r="AB359" s="195"/>
    </row>
    <row r="360" spans="1:28" s="208" customFormat="1" ht="15.75" customHeight="1">
      <c r="A360" s="201" t="str">
        <f>IF(B360&lt;&gt;"",IF(AND(B360&gt;=_TM1,B360&lt;=_TM2,OR(TH!L360="1111",TH!M360="1111")),TH!D360,""),"")</f>
        <v/>
      </c>
      <c r="B360" s="36">
        <f t="shared" si="16"/>
        <v>5</v>
      </c>
      <c r="C360" s="188">
        <f t="shared" si="17"/>
        <v>41409</v>
      </c>
      <c r="D360" s="181" t="s">
        <v>1032</v>
      </c>
      <c r="E360" s="188">
        <v>41409</v>
      </c>
      <c r="F360" s="189" t="s">
        <v>783</v>
      </c>
      <c r="G360" s="189" t="s">
        <v>789</v>
      </c>
      <c r="H360" s="7" t="s">
        <v>510</v>
      </c>
      <c r="I360" s="249">
        <v>211</v>
      </c>
      <c r="J360" s="249">
        <v>8800</v>
      </c>
      <c r="K360" s="38">
        <f>ROUND(I360*J360,0)</f>
        <v>1856800</v>
      </c>
      <c r="L360" s="191" t="s">
        <v>262</v>
      </c>
      <c r="M360" s="191" t="s">
        <v>172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IF(OR(TH!L360=TH!$U$7,M360=TH!$U$7),"x","")</f>
        <v/>
      </c>
      <c r="V360" s="52" t="str">
        <f>IF(AND(B360&gt;='IN-NX'!$P$3,B360&lt;='IN-NX'!$Q$3,'IN-NX'!$D$7=D360,OR(LEFT(L360,2)="15",AND(LEFT(M360,2)&lt;&gt;"15",LEFT(M360,2)&lt;&gt;"33"))),"x","")</f>
        <v/>
      </c>
      <c r="W360" s="52" t="str">
        <f>IF(AND(OR(LEFT(TH!L360,2)="15",LEFT(TH!M360,2)="15"),'152-CT'!$J$8=TH!F360),"x","")</f>
        <v/>
      </c>
      <c r="X360" s="52" t="str">
        <f>IF(AND(OR(LEFT(TH!L360,2)="15",LEFT(TH!M360,2)="15"),TK!$E$7=TH!F360),"x","")</f>
        <v/>
      </c>
      <c r="Y360" s="52" t="str">
        <f>IF(AND(B360&lt;=NKC!$N$8,B360&gt;=NKC!$M$8),"x","")</f>
        <v/>
      </c>
      <c r="AA360" s="587"/>
      <c r="AB360" s="195"/>
    </row>
    <row r="361" spans="1:28" s="208" customFormat="1" ht="15.75" customHeight="1">
      <c r="A361" s="201" t="str">
        <f>IF(B361&lt;&gt;"",IF(AND(B361&gt;=_TM1,B361&lt;=_TM2,OR(TH!L361="1111",TH!M361="1111")),TH!D361,""),"")</f>
        <v/>
      </c>
      <c r="B361" s="36">
        <f t="shared" si="16"/>
        <v>5</v>
      </c>
      <c r="C361" s="188">
        <f t="shared" si="17"/>
        <v>41409</v>
      </c>
      <c r="D361" s="181" t="s">
        <v>1032</v>
      </c>
      <c r="E361" s="188">
        <v>41409</v>
      </c>
      <c r="F361" s="189" t="s">
        <v>693</v>
      </c>
      <c r="G361" s="189" t="s">
        <v>789</v>
      </c>
      <c r="H361" s="7" t="s">
        <v>510</v>
      </c>
      <c r="I361" s="249"/>
      <c r="J361" s="249"/>
      <c r="K361" s="38">
        <v>584340</v>
      </c>
      <c r="L361" s="191" t="s">
        <v>262</v>
      </c>
      <c r="M361" s="191" t="s">
        <v>425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IF(OR(TH!L361=TH!$U$7,M361=TH!$U$7),"x","")</f>
        <v/>
      </c>
      <c r="V361" s="52" t="str">
        <f>IF(AND(B361&gt;='IN-NX'!$P$3,B361&lt;='IN-NX'!$Q$3,'IN-NX'!$D$7=D361,OR(LEFT(L361,2)="15",AND(LEFT(M361,2)&lt;&gt;"15",LEFT(M361,2)&lt;&gt;"33"))),"x","")</f>
        <v/>
      </c>
      <c r="W361" s="52" t="str">
        <f>IF(AND(OR(LEFT(TH!L361,2)="15",LEFT(TH!M361,2)="15"),'152-CT'!$J$8=TH!F361),"x","")</f>
        <v/>
      </c>
      <c r="X361" s="52" t="str">
        <f>IF(AND(OR(LEFT(TH!L361,2)="15",LEFT(TH!M361,2)="15"),TK!$E$7=TH!F361),"x","")</f>
        <v/>
      </c>
      <c r="Y361" s="52" t="str">
        <f>IF(AND(B361&lt;=NKC!$N$8,B361&gt;=NKC!$M$8),"x","")</f>
        <v/>
      </c>
      <c r="AA361" s="587" t="str">
        <f>IF(VLOOKUP(H361,DS_131,1,0)&lt;&gt;"","","x")</f>
        <v/>
      </c>
      <c r="AB361" s="195"/>
    </row>
    <row r="362" spans="1:28" s="208" customFormat="1" ht="15.75" customHeight="1">
      <c r="A362" s="201" t="str">
        <f>IF(B362&lt;&gt;"",IF(AND(B362&gt;=_TM1,B362&lt;=_TM2,OR(TH!L362="1111",TH!M362="1111")),TH!D362,""),"")</f>
        <v/>
      </c>
      <c r="B362" s="36">
        <f t="shared" si="16"/>
        <v>5</v>
      </c>
      <c r="C362" s="188">
        <f t="shared" si="17"/>
        <v>41409</v>
      </c>
      <c r="D362" s="181" t="s">
        <v>1033</v>
      </c>
      <c r="E362" s="188">
        <v>41409</v>
      </c>
      <c r="F362" s="189" t="s">
        <v>451</v>
      </c>
      <c r="G362" s="480" t="s">
        <v>790</v>
      </c>
      <c r="H362" s="7" t="s">
        <v>791</v>
      </c>
      <c r="I362" s="249">
        <v>2000</v>
      </c>
      <c r="J362" s="249">
        <v>9000</v>
      </c>
      <c r="K362" s="38">
        <f>ROUND(I362*J362,0)</f>
        <v>18000000</v>
      </c>
      <c r="L362" s="191" t="s">
        <v>262</v>
      </c>
      <c r="M362" s="191" t="s">
        <v>172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IF(OR(TH!L362=TH!$U$7,M362=TH!$U$7),"x","")</f>
        <v/>
      </c>
      <c r="V362" s="52" t="str">
        <f>IF(AND(B362&gt;='IN-NX'!$P$3,B362&lt;='IN-NX'!$Q$3,'IN-NX'!$D$7=D362,OR(LEFT(L362,2)="15",AND(LEFT(M362,2)&lt;&gt;"15",LEFT(M362,2)&lt;&gt;"33"))),"x","")</f>
        <v/>
      </c>
      <c r="W362" s="52" t="str">
        <f>IF(AND(OR(LEFT(TH!L362,2)="15",LEFT(TH!M362,2)="15"),'152-CT'!$J$8=TH!F362),"x","")</f>
        <v/>
      </c>
      <c r="X362" s="52" t="str">
        <f>IF(AND(OR(LEFT(TH!L362,2)="15",LEFT(TH!M362,2)="15"),TK!$E$7=TH!F362),"x","")</f>
        <v/>
      </c>
      <c r="Y362" s="52" t="str">
        <f>IF(AND(B362&lt;=NKC!$N$8,B362&gt;=NKC!$M$8),"x","")</f>
        <v/>
      </c>
      <c r="AA362" s="587"/>
      <c r="AB362" s="195"/>
    </row>
    <row r="363" spans="1:28" s="587" customFormat="1" ht="15.75" customHeight="1">
      <c r="A363" s="201" t="str">
        <f>IF(B363&lt;&gt;"",IF(AND(B363&gt;=_TM1,B363&lt;=_TM2,OR(TH!L363="1111",TH!M363="1111")),TH!D363,""),"")</f>
        <v/>
      </c>
      <c r="B363" s="36">
        <f t="shared" si="16"/>
        <v>5</v>
      </c>
      <c r="C363" s="188">
        <f t="shared" si="17"/>
        <v>41409</v>
      </c>
      <c r="D363" s="181" t="s">
        <v>1033</v>
      </c>
      <c r="E363" s="188">
        <v>41409</v>
      </c>
      <c r="F363" s="189" t="s">
        <v>693</v>
      </c>
      <c r="G363" s="480" t="s">
        <v>790</v>
      </c>
      <c r="H363" s="7" t="s">
        <v>791</v>
      </c>
      <c r="I363" s="249"/>
      <c r="J363" s="249"/>
      <c r="K363" s="38">
        <v>1800000</v>
      </c>
      <c r="L363" s="191" t="s">
        <v>262</v>
      </c>
      <c r="M363" s="191" t="s">
        <v>425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IF(OR(TH!L363=TH!$U$7,M363=TH!$U$7),"x","")</f>
        <v/>
      </c>
      <c r="V363" s="52" t="str">
        <f>IF(AND(B363&gt;='IN-NX'!$P$3,B363&lt;='IN-NX'!$Q$3,'IN-NX'!$D$7=D363,OR(LEFT(L363,2)="15",AND(LEFT(M363,2)&lt;&gt;"15",LEFT(M363,2)&lt;&gt;"33"))),"x","")</f>
        <v/>
      </c>
      <c r="W363" s="52" t="str">
        <f>IF(AND(OR(LEFT(TH!L363,2)="15",LEFT(TH!M363,2)="15"),'152-CT'!$J$8=TH!F363),"x","")</f>
        <v/>
      </c>
      <c r="X363" s="52" t="str">
        <f>IF(AND(OR(LEFT(TH!L363,2)="15",LEFT(TH!M363,2)="15"),TK!$E$7=TH!F363),"x","")</f>
        <v/>
      </c>
      <c r="Y363" s="52" t="str">
        <f>IF(AND(B363&lt;=NKC!$N$8,B363&gt;=NKC!$M$8),"x","")</f>
        <v/>
      </c>
      <c r="Z363" s="208"/>
      <c r="AA363" s="587" t="str">
        <f>IF(VLOOKUP(H363,DS_131,1,0)&lt;&gt;"","","x")</f>
        <v/>
      </c>
      <c r="AB363" s="195"/>
    </row>
    <row r="364" spans="1:28" s="587" customFormat="1" ht="15.75" customHeight="1">
      <c r="A364" s="201" t="str">
        <f>IF(B364&lt;&gt;"",IF(AND(B364&gt;=_TM1,B364&lt;=_TM2,OR(TH!L364="1111",TH!M364="1111")),TH!D364,""),"")</f>
        <v/>
      </c>
      <c r="B364" s="36">
        <f t="shared" si="16"/>
        <v>5</v>
      </c>
      <c r="C364" s="188">
        <f t="shared" si="17"/>
        <v>41409</v>
      </c>
      <c r="D364" s="181" t="s">
        <v>544</v>
      </c>
      <c r="E364" s="188">
        <v>41409</v>
      </c>
      <c r="F364" s="186" t="s">
        <v>337</v>
      </c>
      <c r="G364" s="480" t="s">
        <v>790</v>
      </c>
      <c r="H364" s="7" t="s">
        <v>791</v>
      </c>
      <c r="I364" s="249"/>
      <c r="J364" s="249"/>
      <c r="K364" s="38">
        <v>19800000</v>
      </c>
      <c r="L364" s="191" t="s">
        <v>47</v>
      </c>
      <c r="M364" s="191" t="s">
        <v>262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>x</v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IF(OR(TH!L364=TH!$U$7,M364=TH!$U$7),"x","")</f>
        <v/>
      </c>
      <c r="V364" s="52" t="str">
        <f>IF(AND(B364&gt;='IN-NX'!$P$3,B364&lt;='IN-NX'!$Q$3,'IN-NX'!$D$7=D364,OR(LEFT(L364,2)="15",AND(LEFT(M364,2)&lt;&gt;"15",LEFT(M364,2)&lt;&gt;"33"))),"x","")</f>
        <v/>
      </c>
      <c r="W364" s="52" t="str">
        <f>IF(AND(OR(LEFT(TH!L364,2)="15",LEFT(TH!M364,2)="15"),'152-CT'!$J$8=TH!F364),"x","")</f>
        <v/>
      </c>
      <c r="X364" s="52" t="str">
        <f>IF(AND(OR(LEFT(TH!L364,2)="15",LEFT(TH!M364,2)="15"),TK!$E$7=TH!F364),"x","")</f>
        <v/>
      </c>
      <c r="Y364" s="52" t="str">
        <f>IF(AND(B364&lt;=NKC!$N$8,B364&gt;=NKC!$M$8),"x","")</f>
        <v/>
      </c>
      <c r="Z364" s="208"/>
      <c r="AA364" s="587" t="str">
        <f>IF(VLOOKUP(H364,DS_131,1,0)&lt;&gt;"","","x")</f>
        <v/>
      </c>
      <c r="AB364" s="195"/>
    </row>
    <row r="365" spans="1:28" s="587" customFormat="1" ht="15.75" customHeight="1">
      <c r="A365" s="201" t="str">
        <f>IF(B365&lt;&gt;"",IF(AND(B365&gt;=_TM1,B365&lt;=_TM2,OR(TH!L365="1111",TH!M365="1111")),TH!D365,""),"")</f>
        <v/>
      </c>
      <c r="B365" s="36">
        <f t="shared" si="16"/>
        <v>5</v>
      </c>
      <c r="C365" s="181">
        <f t="shared" si="17"/>
        <v>41410</v>
      </c>
      <c r="D365" s="181" t="s">
        <v>335</v>
      </c>
      <c r="E365" s="188">
        <v>41410</v>
      </c>
      <c r="F365" s="186" t="s">
        <v>337</v>
      </c>
      <c r="G365" s="597" t="s">
        <v>332</v>
      </c>
      <c r="H365" s="7" t="s">
        <v>427</v>
      </c>
      <c r="I365" s="250"/>
      <c r="J365" s="251"/>
      <c r="K365" s="38">
        <v>27451050</v>
      </c>
      <c r="L365" s="596" t="s">
        <v>24</v>
      </c>
      <c r="M365" s="596" t="s">
        <v>262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>x</v>
      </c>
      <c r="T365" s="52" t="str">
        <f>IF(ISERROR(FIND('112'!$M$9,G365,1)),"",IF((AND(RIGHT(G365,2)=RIGHT('112'!$M$9,2),B365&lt;'112'!$N$8,$M365='112'!$I$6)),"x",""))</f>
        <v/>
      </c>
      <c r="U365" s="52" t="str">
        <f>IF(OR(TH!L365=TH!$U$7,M365=TH!$U$7),"x","")</f>
        <v/>
      </c>
      <c r="V365" s="52" t="str">
        <f>IF(AND(B365&gt;='IN-NX'!$P$3,B365&lt;='IN-NX'!$Q$3,'IN-NX'!$D$7=D365,OR(LEFT(L365,2)="15",AND(LEFT(M365,2)&lt;&gt;"15",LEFT(M365,2)&lt;&gt;"33"))),"x","")</f>
        <v/>
      </c>
      <c r="W365" s="52" t="str">
        <f>IF(AND(OR(LEFT(TH!L365,2)="15",LEFT(TH!M365,2)="15"),'152-CT'!$J$8=TH!F365),"x","")</f>
        <v/>
      </c>
      <c r="X365" s="52" t="str">
        <f>IF(AND(OR(LEFT(TH!L365,2)="15",LEFT(TH!M365,2)="15"),TK!$E$7=TH!F365),"x","")</f>
        <v/>
      </c>
      <c r="Y365" s="52" t="str">
        <f>IF(AND(B365&lt;=NKC!$N$8,B365&gt;=NKC!$M$8),"x","")</f>
        <v/>
      </c>
      <c r="Z365" s="208"/>
      <c r="AA365" s="208"/>
      <c r="AB365" s="208"/>
    </row>
    <row r="366" spans="1:28" s="587" customFormat="1" ht="15.75" customHeight="1">
      <c r="A366" s="201" t="str">
        <f>IF(B366&lt;&gt;"",IF(AND(B366&gt;=_TM1,B366&lt;=_TM2,OR(TH!L366="1111",TH!M366="1111")),TH!D366,""),"")</f>
        <v/>
      </c>
      <c r="B366" s="36">
        <f t="shared" si="16"/>
        <v>5</v>
      </c>
      <c r="C366" s="188">
        <f t="shared" si="17"/>
        <v>41410</v>
      </c>
      <c r="D366" s="181" t="s">
        <v>1034</v>
      </c>
      <c r="E366" s="188">
        <v>41410</v>
      </c>
      <c r="F366" s="189" t="s">
        <v>451</v>
      </c>
      <c r="G366" s="189" t="s">
        <v>792</v>
      </c>
      <c r="H366" s="7" t="s">
        <v>791</v>
      </c>
      <c r="I366" s="249">
        <v>2500</v>
      </c>
      <c r="J366" s="249">
        <v>7000</v>
      </c>
      <c r="K366" s="38">
        <f>ROUND(I366*J366,0)</f>
        <v>17500000</v>
      </c>
      <c r="L366" s="191" t="s">
        <v>262</v>
      </c>
      <c r="M366" s="191" t="s">
        <v>172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IF(OR(TH!L366=TH!$U$7,M366=TH!$U$7),"x","")</f>
        <v/>
      </c>
      <c r="V366" s="52" t="str">
        <f>IF(AND(B366&gt;='IN-NX'!$P$3,B366&lt;='IN-NX'!$Q$3,'IN-NX'!$D$7=D366,OR(LEFT(L366,2)="15",AND(LEFT(M366,2)&lt;&gt;"15",LEFT(M366,2)&lt;&gt;"33"))),"x","")</f>
        <v/>
      </c>
      <c r="W366" s="52" t="str">
        <f>IF(AND(OR(LEFT(TH!L366,2)="15",LEFT(TH!M366,2)="15"),'152-CT'!$J$8=TH!F366),"x","")</f>
        <v/>
      </c>
      <c r="X366" s="52" t="str">
        <f>IF(AND(OR(LEFT(TH!L366,2)="15",LEFT(TH!M366,2)="15"),TK!$E$7=TH!F366),"x","")</f>
        <v/>
      </c>
      <c r="Y366" s="52" t="str">
        <f>IF(AND(B366&lt;=NKC!$N$8,B366&gt;=NKC!$M$8),"x","")</f>
        <v/>
      </c>
      <c r="Z366" s="208"/>
      <c r="AB366" s="195"/>
    </row>
    <row r="367" spans="1:28" s="587" customFormat="1" ht="15.75" customHeight="1">
      <c r="A367" s="201" t="str">
        <f>IF(B367&lt;&gt;"",IF(AND(B367&gt;=_TM1,B367&lt;=_TM2,OR(TH!L367="1111",TH!M367="1111")),TH!D367,""),"")</f>
        <v/>
      </c>
      <c r="B367" s="36">
        <f t="shared" si="16"/>
        <v>5</v>
      </c>
      <c r="C367" s="188">
        <f t="shared" si="17"/>
        <v>41410</v>
      </c>
      <c r="D367" s="181" t="s">
        <v>1034</v>
      </c>
      <c r="E367" s="188">
        <v>41410</v>
      </c>
      <c r="F367" s="189" t="s">
        <v>693</v>
      </c>
      <c r="G367" s="189" t="s">
        <v>792</v>
      </c>
      <c r="H367" s="7" t="s">
        <v>791</v>
      </c>
      <c r="I367" s="249"/>
      <c r="J367" s="249"/>
      <c r="K367" s="38">
        <v>1750000</v>
      </c>
      <c r="L367" s="191" t="s">
        <v>262</v>
      </c>
      <c r="M367" s="191" t="s">
        <v>425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IF(OR(TH!L367=TH!$U$7,M367=TH!$U$7),"x","")</f>
        <v/>
      </c>
      <c r="V367" s="52" t="str">
        <f>IF(AND(B367&gt;='IN-NX'!$P$3,B367&lt;='IN-NX'!$Q$3,'IN-NX'!$D$7=D367,OR(LEFT(L367,2)="15",AND(LEFT(M367,2)&lt;&gt;"15",LEFT(M367,2)&lt;&gt;"33"))),"x","")</f>
        <v/>
      </c>
      <c r="W367" s="52" t="str">
        <f>IF(AND(OR(LEFT(TH!L367,2)="15",LEFT(TH!M367,2)="15"),'152-CT'!$J$8=TH!F367),"x","")</f>
        <v/>
      </c>
      <c r="X367" s="52" t="str">
        <f>IF(AND(OR(LEFT(TH!L367,2)="15",LEFT(TH!M367,2)="15"),TK!$E$7=TH!F367),"x","")</f>
        <v/>
      </c>
      <c r="Y367" s="52" t="str">
        <f>IF(AND(B367&lt;=NKC!$N$8,B367&gt;=NKC!$M$8),"x","")</f>
        <v/>
      </c>
      <c r="Z367" s="208"/>
      <c r="AA367" s="587" t="str">
        <f>IF(VLOOKUP(H367,DS_131,1,0)&lt;&gt;"","","x")</f>
        <v/>
      </c>
      <c r="AB367" s="195"/>
    </row>
    <row r="368" spans="1:28" s="587" customFormat="1" ht="15.75" customHeight="1">
      <c r="A368" s="201" t="str">
        <f>IF(B368&lt;&gt;"",IF(AND(B368&gt;=_TM1,B368&lt;=_TM2,OR(TH!L368="1111",TH!M368="1111")),TH!D368,""),"")</f>
        <v/>
      </c>
      <c r="B368" s="36">
        <f t="shared" si="16"/>
        <v>5</v>
      </c>
      <c r="C368" s="188">
        <f t="shared" si="17"/>
        <v>41410</v>
      </c>
      <c r="D368" s="181" t="s">
        <v>550</v>
      </c>
      <c r="E368" s="188">
        <v>41410</v>
      </c>
      <c r="F368" s="186" t="s">
        <v>337</v>
      </c>
      <c r="G368" s="189" t="s">
        <v>792</v>
      </c>
      <c r="H368" s="7" t="s">
        <v>791</v>
      </c>
      <c r="I368" s="249"/>
      <c r="J368" s="249"/>
      <c r="K368" s="38">
        <v>19250000</v>
      </c>
      <c r="L368" s="191" t="s">
        <v>47</v>
      </c>
      <c r="M368" s="191" t="s">
        <v>262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>x</v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IF(OR(TH!L368=TH!$U$7,M368=TH!$U$7),"x","")</f>
        <v/>
      </c>
      <c r="V368" s="52" t="str">
        <f>IF(AND(B368&gt;='IN-NX'!$P$3,B368&lt;='IN-NX'!$Q$3,'IN-NX'!$D$7=D368,OR(LEFT(L368,2)="15",AND(LEFT(M368,2)&lt;&gt;"15",LEFT(M368,2)&lt;&gt;"33"))),"x","")</f>
        <v/>
      </c>
      <c r="W368" s="52" t="str">
        <f>IF(AND(OR(LEFT(TH!L368,2)="15",LEFT(TH!M368,2)="15"),'152-CT'!$J$8=TH!F368),"x","")</f>
        <v/>
      </c>
      <c r="X368" s="52" t="str">
        <f>IF(AND(OR(LEFT(TH!L368,2)="15",LEFT(TH!M368,2)="15"),TK!$E$7=TH!F368),"x","")</f>
        <v/>
      </c>
      <c r="Y368" s="52" t="str">
        <f>IF(AND(B368&lt;=NKC!$N$8,B368&gt;=NKC!$M$8),"x","")</f>
        <v/>
      </c>
      <c r="Z368" s="208"/>
      <c r="AA368" s="587" t="str">
        <f>IF(VLOOKUP(H368,DS_131,1,0)&lt;&gt;"","","x")</f>
        <v/>
      </c>
      <c r="AB368" s="195"/>
    </row>
    <row r="369" spans="1:28" s="208" customFormat="1" ht="15.75" customHeight="1">
      <c r="A369" s="201" t="str">
        <f>IF(B369&lt;&gt;"",IF(AND(B369&gt;=_TM1,B369&lt;=_TM2,OR(TH!L369="1111",TH!M369="1111")),TH!D369,""),"")</f>
        <v/>
      </c>
      <c r="B369" s="36">
        <f t="shared" si="16"/>
        <v>5</v>
      </c>
      <c r="C369" s="188">
        <f t="shared" si="17"/>
        <v>41410</v>
      </c>
      <c r="D369" s="181" t="s">
        <v>1035</v>
      </c>
      <c r="E369" s="188">
        <v>41410</v>
      </c>
      <c r="F369" s="189" t="s">
        <v>698</v>
      </c>
      <c r="G369" s="189" t="s">
        <v>793</v>
      </c>
      <c r="H369" s="7" t="s">
        <v>470</v>
      </c>
      <c r="I369" s="249">
        <v>1035</v>
      </c>
      <c r="J369" s="249">
        <v>8740</v>
      </c>
      <c r="K369" s="38">
        <f>ROUND(I369*J369,0)</f>
        <v>9045900</v>
      </c>
      <c r="L369" s="191" t="s">
        <v>262</v>
      </c>
      <c r="M369" s="191" t="s">
        <v>172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IF(OR(TH!L369=TH!$U$7,M369=TH!$U$7),"x","")</f>
        <v/>
      </c>
      <c r="V369" s="52" t="str">
        <f>IF(AND(B369&gt;='IN-NX'!$P$3,B369&lt;='IN-NX'!$Q$3,'IN-NX'!$D$7=D369,OR(LEFT(L369,2)="15",AND(LEFT(M369,2)&lt;&gt;"15",LEFT(M369,2)&lt;&gt;"33"))),"x","")</f>
        <v/>
      </c>
      <c r="W369" s="52" t="str">
        <f>IF(AND(OR(LEFT(TH!L369,2)="15",LEFT(TH!M369,2)="15"),'152-CT'!$J$8=TH!F369),"x","")</f>
        <v/>
      </c>
      <c r="X369" s="52" t="str">
        <f>IF(AND(OR(LEFT(TH!L369,2)="15",LEFT(TH!M369,2)="15"),TK!$E$7=TH!F369),"x","")</f>
        <v/>
      </c>
      <c r="Y369" s="52" t="str">
        <f>IF(AND(B369&lt;=NKC!$N$8,B369&gt;=NKC!$M$8),"x","")</f>
        <v/>
      </c>
      <c r="AA369" s="587"/>
      <c r="AB369" s="195"/>
    </row>
    <row r="370" spans="1:28" s="208" customFormat="1" ht="15.75" customHeight="1">
      <c r="A370" s="201" t="str">
        <f>IF(B370&lt;&gt;"",IF(AND(B370&gt;=_TM1,B370&lt;=_TM2,OR(TH!L370="1111",TH!M370="1111")),TH!D370,""),"")</f>
        <v/>
      </c>
      <c r="B370" s="36">
        <f t="shared" si="16"/>
        <v>5</v>
      </c>
      <c r="C370" s="188">
        <f t="shared" si="17"/>
        <v>41410</v>
      </c>
      <c r="D370" s="181" t="s">
        <v>1035</v>
      </c>
      <c r="E370" s="188">
        <v>41410</v>
      </c>
      <c r="F370" s="189" t="s">
        <v>693</v>
      </c>
      <c r="G370" s="189" t="s">
        <v>793</v>
      </c>
      <c r="H370" s="7" t="s">
        <v>470</v>
      </c>
      <c r="I370" s="249"/>
      <c r="J370" s="249"/>
      <c r="K370" s="38">
        <v>904590</v>
      </c>
      <c r="L370" s="191" t="s">
        <v>262</v>
      </c>
      <c r="M370" s="191" t="s">
        <v>425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IF(OR(TH!L370=TH!$U$7,M370=TH!$U$7),"x","")</f>
        <v/>
      </c>
      <c r="V370" s="52" t="str">
        <f>IF(AND(B370&gt;='IN-NX'!$P$3,B370&lt;='IN-NX'!$Q$3,'IN-NX'!$D$7=D370,OR(LEFT(L370,2)="15",AND(LEFT(M370,2)&lt;&gt;"15",LEFT(M370,2)&lt;&gt;"33"))),"x","")</f>
        <v/>
      </c>
      <c r="W370" s="52" t="str">
        <f>IF(AND(OR(LEFT(TH!L370,2)="15",LEFT(TH!M370,2)="15"),'152-CT'!$J$8=TH!F370),"x","")</f>
        <v/>
      </c>
      <c r="X370" s="52" t="str">
        <f>IF(AND(OR(LEFT(TH!L370,2)="15",LEFT(TH!M370,2)="15"),TK!$E$7=TH!F370),"x","")</f>
        <v/>
      </c>
      <c r="Y370" s="52" t="str">
        <f>IF(AND(B370&lt;=NKC!$N$8,B370&gt;=NKC!$M$8),"x","")</f>
        <v/>
      </c>
      <c r="AA370" s="587" t="str">
        <f>IF(VLOOKUP(H370,DS_131,1,0)&lt;&gt;"","","x")</f>
        <v/>
      </c>
      <c r="AB370" s="195"/>
    </row>
    <row r="371" spans="1:28" s="208" customFormat="1" ht="15.75" customHeight="1">
      <c r="A371" s="201" t="str">
        <f>IF(B371&lt;&gt;"",IF(AND(B371&gt;=_TM1,B371&lt;=_TM2,OR(TH!L371="1111",TH!M371="1111")),TH!D371,""),"")</f>
        <v/>
      </c>
      <c r="B371" s="36">
        <f t="shared" si="16"/>
        <v>5</v>
      </c>
      <c r="C371" s="188">
        <f t="shared" si="17"/>
        <v>41410</v>
      </c>
      <c r="D371" s="181" t="s">
        <v>1036</v>
      </c>
      <c r="E371" s="188">
        <v>41410</v>
      </c>
      <c r="F371" s="189" t="s">
        <v>794</v>
      </c>
      <c r="G371" s="189" t="s">
        <v>795</v>
      </c>
      <c r="H371" s="7" t="s">
        <v>796</v>
      </c>
      <c r="I371" s="249">
        <v>553</v>
      </c>
      <c r="J371" s="249">
        <v>9170</v>
      </c>
      <c r="K371" s="38">
        <f>ROUND(I371*J371,0)</f>
        <v>5071010</v>
      </c>
      <c r="L371" s="191" t="s">
        <v>262</v>
      </c>
      <c r="M371" s="191" t="s">
        <v>172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IF(OR(TH!L371=TH!$U$7,M371=TH!$U$7),"x","")</f>
        <v/>
      </c>
      <c r="V371" s="52" t="str">
        <f>IF(AND(B371&gt;='IN-NX'!$P$3,B371&lt;='IN-NX'!$Q$3,'IN-NX'!$D$7=D371,OR(LEFT(L371,2)="15",AND(LEFT(M371,2)&lt;&gt;"15",LEFT(M371,2)&lt;&gt;"33"))),"x","")</f>
        <v/>
      </c>
      <c r="W371" s="52" t="str">
        <f>IF(AND(OR(LEFT(TH!L371,2)="15",LEFT(TH!M371,2)="15"),'152-CT'!$J$8=TH!F371),"x","")</f>
        <v/>
      </c>
      <c r="X371" s="52" t="str">
        <f>IF(AND(OR(LEFT(TH!L371,2)="15",LEFT(TH!M371,2)="15"),TK!$E$7=TH!F371),"x","")</f>
        <v/>
      </c>
      <c r="Y371" s="52" t="str">
        <f>IF(AND(B371&lt;=NKC!$N$8,B371&gt;=NKC!$M$8),"x","")</f>
        <v/>
      </c>
      <c r="AA371" s="587"/>
      <c r="AB371" s="587"/>
    </row>
    <row r="372" spans="1:28" s="208" customFormat="1" ht="15.75" customHeight="1">
      <c r="A372" s="201" t="str">
        <f>IF(B372&lt;&gt;"",IF(AND(B372&gt;=_TM1,B372&lt;=_TM2,OR(TH!L372="1111",TH!M372="1111")),TH!D372,""),"")</f>
        <v/>
      </c>
      <c r="B372" s="36">
        <f t="shared" si="16"/>
        <v>5</v>
      </c>
      <c r="C372" s="188">
        <f t="shared" si="17"/>
        <v>41410</v>
      </c>
      <c r="D372" s="181" t="s">
        <v>1036</v>
      </c>
      <c r="E372" s="188">
        <v>41410</v>
      </c>
      <c r="F372" s="189" t="s">
        <v>693</v>
      </c>
      <c r="G372" s="189" t="s">
        <v>795</v>
      </c>
      <c r="H372" s="7" t="s">
        <v>796</v>
      </c>
      <c r="I372" s="249"/>
      <c r="J372" s="249"/>
      <c r="K372" s="38">
        <v>507101</v>
      </c>
      <c r="L372" s="191" t="s">
        <v>262</v>
      </c>
      <c r="M372" s="191" t="s">
        <v>425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IF(OR(TH!L372=TH!$U$7,M372=TH!$U$7),"x","")</f>
        <v/>
      </c>
      <c r="V372" s="52" t="str">
        <f>IF(AND(B372&gt;='IN-NX'!$P$3,B372&lt;='IN-NX'!$Q$3,'IN-NX'!$D$7=D372,OR(LEFT(L372,2)="15",AND(LEFT(M372,2)&lt;&gt;"15",LEFT(M372,2)&lt;&gt;"33"))),"x","")</f>
        <v/>
      </c>
      <c r="W372" s="52" t="str">
        <f>IF(AND(OR(LEFT(TH!L372,2)="15",LEFT(TH!M372,2)="15"),'152-CT'!$J$8=TH!F372),"x","")</f>
        <v/>
      </c>
      <c r="X372" s="52" t="str">
        <f>IF(AND(OR(LEFT(TH!L372,2)="15",LEFT(TH!M372,2)="15"),TK!$E$7=TH!F372),"x","")</f>
        <v/>
      </c>
      <c r="Y372" s="52" t="str">
        <f>IF(AND(B372&lt;=NKC!$N$8,B372&gt;=NKC!$M$8),"x","")</f>
        <v/>
      </c>
      <c r="AA372" s="587" t="str">
        <f>IF(VLOOKUP(H372,DS_131,1,0)&lt;&gt;"","","x")</f>
        <v/>
      </c>
      <c r="AB372" s="587"/>
    </row>
    <row r="373" spans="1:28" s="587" customFormat="1" ht="15.75" customHeight="1">
      <c r="A373" s="201" t="str">
        <f>IF(B373&lt;&gt;"",IF(AND(B373&gt;=_TM1,B373&lt;=_TM2,OR(TH!L373="1111",TH!M373="1111")),TH!D373,""),"")</f>
        <v/>
      </c>
      <c r="B373" s="36">
        <f t="shared" si="16"/>
        <v>5</v>
      </c>
      <c r="C373" s="188">
        <f t="shared" si="17"/>
        <v>41410</v>
      </c>
      <c r="D373" s="181" t="s">
        <v>1267</v>
      </c>
      <c r="E373" s="188">
        <v>41410</v>
      </c>
      <c r="F373" s="186" t="s">
        <v>337</v>
      </c>
      <c r="G373" s="189" t="s">
        <v>795</v>
      </c>
      <c r="H373" s="7" t="s">
        <v>796</v>
      </c>
      <c r="I373" s="249"/>
      <c r="J373" s="249"/>
      <c r="K373" s="38">
        <v>5578111</v>
      </c>
      <c r="L373" s="191" t="s">
        <v>47</v>
      </c>
      <c r="M373" s="191" t="s">
        <v>262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IF(OR(TH!L373=TH!$U$7,M373=TH!$U$7),"x","")</f>
        <v/>
      </c>
      <c r="V373" s="52" t="str">
        <f>IF(AND(B373&gt;='IN-NX'!$P$3,B373&lt;='IN-NX'!$Q$3,'IN-NX'!$D$7=D373,OR(LEFT(L373,2)="15",AND(LEFT(M373,2)&lt;&gt;"15",LEFT(M373,2)&lt;&gt;"33"))),"x","")</f>
        <v/>
      </c>
      <c r="W373" s="52" t="str">
        <f>IF(AND(OR(LEFT(TH!L373,2)="15",LEFT(TH!M373,2)="15"),'152-CT'!$J$8=TH!F373),"x","")</f>
        <v/>
      </c>
      <c r="X373" s="52" t="str">
        <f>IF(AND(OR(LEFT(TH!L373,2)="15",LEFT(TH!M373,2)="15"),TK!$E$7=TH!F373),"x","")</f>
        <v/>
      </c>
      <c r="Y373" s="52" t="str">
        <f>IF(AND(B373&lt;=NKC!$N$8,B373&gt;=NKC!$M$8),"x","")</f>
        <v/>
      </c>
      <c r="Z373" s="208"/>
      <c r="AA373" s="587" t="str">
        <f>IF(VLOOKUP(H373,DS_131,1,0)&lt;&gt;"","","x")</f>
        <v/>
      </c>
    </row>
    <row r="374" spans="1:28" s="587" customFormat="1" ht="15.75" customHeight="1">
      <c r="A374" s="201" t="str">
        <f>IF(B374&lt;&gt;"",IF(AND(B374&gt;=_TM1,B374&lt;=_TM2,OR(TH!L374="1111",TH!M374="1111")),TH!D374,""),"")</f>
        <v/>
      </c>
      <c r="B374" s="36">
        <f t="shared" si="16"/>
        <v>5</v>
      </c>
      <c r="C374" s="181">
        <f t="shared" si="17"/>
        <v>41411</v>
      </c>
      <c r="D374" s="181" t="s">
        <v>336</v>
      </c>
      <c r="E374" s="181">
        <v>41411</v>
      </c>
      <c r="F374" s="186" t="s">
        <v>367</v>
      </c>
      <c r="G374" s="597" t="s">
        <v>332</v>
      </c>
      <c r="H374" s="190" t="s">
        <v>1080</v>
      </c>
      <c r="I374" s="249"/>
      <c r="J374" s="249"/>
      <c r="K374" s="595">
        <v>10000000</v>
      </c>
      <c r="L374" s="596" t="s">
        <v>8</v>
      </c>
      <c r="M374" s="596" t="s">
        <v>24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>x</v>
      </c>
      <c r="U374" s="52" t="str">
        <f>IF(OR(TH!L374=TH!$U$7,M374=TH!$U$7),"x","")</f>
        <v/>
      </c>
      <c r="V374" s="52" t="str">
        <f>IF(AND(B374&gt;='IN-NX'!$P$3,B374&lt;='IN-NX'!$Q$3,'IN-NX'!$D$7=D374,OR(LEFT(L374,2)="15",AND(LEFT(M374,2)&lt;&gt;"15",LEFT(M374,2)&lt;&gt;"33"))),"x","")</f>
        <v/>
      </c>
      <c r="W374" s="52" t="str">
        <f>IF(AND(OR(LEFT(TH!L374,2)="15",LEFT(TH!M374,2)="15"),'152-CT'!$J$8=TH!F374),"x","")</f>
        <v/>
      </c>
      <c r="X374" s="52" t="str">
        <f>IF(AND(OR(LEFT(TH!L374,2)="15",LEFT(TH!M374,2)="15"),TK!$E$7=TH!F374),"x","")</f>
        <v/>
      </c>
      <c r="Y374" s="52" t="str">
        <f>IF(AND(B374&lt;=NKC!$N$8,B374&gt;=NKC!$M$8),"x","")</f>
        <v/>
      </c>
      <c r="Z374" s="208"/>
      <c r="AA374" s="208"/>
      <c r="AB374" s="208"/>
    </row>
    <row r="375" spans="1:28" s="587" customFormat="1" ht="15.75" customHeight="1">
      <c r="A375" s="201" t="str">
        <f>IF(B375&lt;&gt;"",IF(AND(B375&gt;=_TM1,B375&lt;=_TM2,OR(TH!L375="1111",TH!M375="1111")),TH!D375,""),"")</f>
        <v/>
      </c>
      <c r="B375" s="36">
        <f t="shared" si="16"/>
        <v>5</v>
      </c>
      <c r="C375" s="181">
        <f t="shared" si="17"/>
        <v>41411</v>
      </c>
      <c r="D375" s="181" t="s">
        <v>336</v>
      </c>
      <c r="E375" s="181">
        <v>41411</v>
      </c>
      <c r="F375" s="186" t="s">
        <v>338</v>
      </c>
      <c r="G375" s="597" t="s">
        <v>332</v>
      </c>
      <c r="H375" s="190"/>
      <c r="I375" s="249"/>
      <c r="J375" s="249"/>
      <c r="K375" s="595">
        <v>20000</v>
      </c>
      <c r="L375" s="596" t="s">
        <v>83</v>
      </c>
      <c r="M375" s="596" t="s">
        <v>24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>x</v>
      </c>
      <c r="U375" s="52" t="str">
        <f>IF(OR(TH!L375=TH!$U$7,M375=TH!$U$7),"x","")</f>
        <v>x</v>
      </c>
      <c r="V375" s="52" t="str">
        <f>IF(AND(B375&gt;='IN-NX'!$P$3,B375&lt;='IN-NX'!$Q$3,'IN-NX'!$D$7=D375,OR(LEFT(L375,2)="15",AND(LEFT(M375,2)&lt;&gt;"15",LEFT(M375,2)&lt;&gt;"33"))),"x","")</f>
        <v/>
      </c>
      <c r="W375" s="52" t="str">
        <f>IF(AND(OR(LEFT(TH!L375,2)="15",LEFT(TH!M375,2)="15"),'152-CT'!$J$8=TH!F375),"x","")</f>
        <v/>
      </c>
      <c r="X375" s="52" t="str">
        <f>IF(AND(OR(LEFT(TH!L375,2)="15",LEFT(TH!M375,2)="15"),TK!$E$7=TH!F375),"x","")</f>
        <v/>
      </c>
      <c r="Y375" s="52" t="str">
        <f>IF(AND(B375&lt;=NKC!$N$8,B375&gt;=NKC!$M$8),"x","")</f>
        <v/>
      </c>
      <c r="AA375" s="208"/>
      <c r="AB375" s="208"/>
    </row>
    <row r="376" spans="1:28" s="587" customFormat="1" ht="15.75" customHeight="1">
      <c r="A376" s="201" t="str">
        <f>IF(B376&lt;&gt;"",IF(AND(B376&gt;=_TM1,B376&lt;=_TM2,OR(TH!L376="1111",TH!M376="1111")),TH!D376,""),"")</f>
        <v/>
      </c>
      <c r="B376" s="36">
        <f t="shared" si="16"/>
        <v>5</v>
      </c>
      <c r="C376" s="181">
        <f t="shared" si="17"/>
        <v>41411</v>
      </c>
      <c r="D376" s="181" t="s">
        <v>1269</v>
      </c>
      <c r="E376" s="181">
        <v>41411</v>
      </c>
      <c r="F376" s="186" t="s">
        <v>469</v>
      </c>
      <c r="G376" s="597" t="s">
        <v>332</v>
      </c>
      <c r="H376" s="7" t="s">
        <v>364</v>
      </c>
      <c r="I376" s="250"/>
      <c r="J376" s="251"/>
      <c r="K376" s="38">
        <v>17500000</v>
      </c>
      <c r="L376" s="596" t="s">
        <v>47</v>
      </c>
      <c r="M376" s="596" t="s">
        <v>24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>x</v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>x</v>
      </c>
      <c r="U376" s="52" t="str">
        <f>IF(OR(TH!L376=TH!$U$7,M376=TH!$U$7),"x","")</f>
        <v/>
      </c>
      <c r="V376" s="52" t="str">
        <f>IF(AND(B376&gt;='IN-NX'!$P$3,B376&lt;='IN-NX'!$Q$3,'IN-NX'!$D$7=D376,OR(LEFT(L376,2)="15",AND(LEFT(M376,2)&lt;&gt;"15",LEFT(M376,2)&lt;&gt;"33"))),"x","")</f>
        <v/>
      </c>
      <c r="W376" s="52" t="str">
        <f>IF(AND(OR(LEFT(TH!L376,2)="15",LEFT(TH!M376,2)="15"),'152-CT'!$J$8=TH!F376),"x","")</f>
        <v/>
      </c>
      <c r="X376" s="52" t="str">
        <f>IF(AND(OR(LEFT(TH!L376,2)="15",LEFT(TH!M376,2)="15"),TK!$E$7=TH!F376),"x","")</f>
        <v/>
      </c>
      <c r="Y376" s="52" t="str">
        <f>IF(AND(B376&lt;=NKC!$N$8,B376&gt;=NKC!$M$8),"x","")</f>
        <v/>
      </c>
      <c r="AA376" s="208"/>
      <c r="AB376" s="208"/>
    </row>
    <row r="377" spans="1:28" s="587" customFormat="1" ht="15.75" customHeight="1">
      <c r="A377" s="201" t="str">
        <f>IF(B377&lt;&gt;"",IF(AND(B377&gt;=_TM1,B377&lt;=_TM2,OR(TH!L377="1111",TH!M377="1111")),TH!D377,""),"")</f>
        <v/>
      </c>
      <c r="B377" s="36">
        <f t="shared" si="16"/>
        <v>5</v>
      </c>
      <c r="C377" s="181">
        <f t="shared" si="17"/>
        <v>41411</v>
      </c>
      <c r="D377" s="181" t="s">
        <v>336</v>
      </c>
      <c r="E377" s="181">
        <v>41411</v>
      </c>
      <c r="F377" s="186" t="s">
        <v>482</v>
      </c>
      <c r="G377" s="597" t="s">
        <v>332</v>
      </c>
      <c r="H377" s="7"/>
      <c r="I377" s="251"/>
      <c r="J377" s="249"/>
      <c r="K377" s="595">
        <v>15000</v>
      </c>
      <c r="L377" s="596" t="s">
        <v>83</v>
      </c>
      <c r="M377" s="596" t="s">
        <v>24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>x</v>
      </c>
      <c r="U377" s="52" t="str">
        <f>IF(OR(TH!L377=TH!$U$7,M377=TH!$U$7),"x","")</f>
        <v>x</v>
      </c>
      <c r="V377" s="52" t="str">
        <f>IF(AND(B377&gt;='IN-NX'!$P$3,B377&lt;='IN-NX'!$Q$3,'IN-NX'!$D$7=D377,OR(LEFT(L377,2)="15",AND(LEFT(M377,2)&lt;&gt;"15",LEFT(M377,2)&lt;&gt;"33"))),"x","")</f>
        <v/>
      </c>
      <c r="W377" s="52" t="str">
        <f>IF(AND(OR(LEFT(TH!L377,2)="15",LEFT(TH!M377,2)="15"),'152-CT'!$J$8=TH!F377),"x","")</f>
        <v/>
      </c>
      <c r="X377" s="52" t="str">
        <f>IF(AND(OR(LEFT(TH!L377,2)="15",LEFT(TH!M377,2)="15"),TK!$E$7=TH!F377),"x","")</f>
        <v/>
      </c>
      <c r="Y377" s="52" t="str">
        <f>IF(AND(B377&lt;=NKC!$N$8,B377&gt;=NKC!$M$8),"x","")</f>
        <v/>
      </c>
      <c r="Z377" s="208"/>
    </row>
    <row r="378" spans="1:28" s="587" customFormat="1" ht="15.75" customHeight="1">
      <c r="A378" s="201" t="str">
        <f>IF(B378&lt;&gt;"",IF(AND(B378&gt;=_TM1,B378&lt;=_TM2,OR(TH!L378="1111",TH!M378="1111")),TH!D378,""),"")</f>
        <v/>
      </c>
      <c r="B378" s="36">
        <f t="shared" si="16"/>
        <v>5</v>
      </c>
      <c r="C378" s="188">
        <f t="shared" si="17"/>
        <v>41411</v>
      </c>
      <c r="D378" s="181" t="s">
        <v>1037</v>
      </c>
      <c r="E378" s="188">
        <v>41411</v>
      </c>
      <c r="F378" s="189" t="s">
        <v>781</v>
      </c>
      <c r="G378" s="189" t="s">
        <v>797</v>
      </c>
      <c r="H378" s="7" t="s">
        <v>510</v>
      </c>
      <c r="I378" s="249">
        <v>297</v>
      </c>
      <c r="J378" s="249">
        <v>9350</v>
      </c>
      <c r="K378" s="38">
        <f>ROUND(I378*J378,0)</f>
        <v>2776950</v>
      </c>
      <c r="L378" s="191" t="s">
        <v>262</v>
      </c>
      <c r="M378" s="191" t="s">
        <v>172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IF(OR(TH!L378=TH!$U$7,M378=TH!$U$7),"x","")</f>
        <v/>
      </c>
      <c r="V378" s="52" t="str">
        <f>IF(AND(B378&gt;='IN-NX'!$P$3,B378&lt;='IN-NX'!$Q$3,'IN-NX'!$D$7=D378,OR(LEFT(L378,2)="15",AND(LEFT(M378,2)&lt;&gt;"15",LEFT(M378,2)&lt;&gt;"33"))),"x","")</f>
        <v/>
      </c>
      <c r="W378" s="52" t="str">
        <f>IF(AND(OR(LEFT(TH!L378,2)="15",LEFT(TH!M378,2)="15"),'152-CT'!$J$8=TH!F378),"x","")</f>
        <v/>
      </c>
      <c r="X378" s="52" t="str">
        <f>IF(AND(OR(LEFT(TH!L378,2)="15",LEFT(TH!M378,2)="15"),TK!$E$7=TH!F378),"x","")</f>
        <v/>
      </c>
      <c r="Y378" s="52" t="str">
        <f>IF(AND(B378&lt;=NKC!$N$8,B378&gt;=NKC!$M$8),"x","")</f>
        <v/>
      </c>
      <c r="Z378" s="208"/>
    </row>
    <row r="379" spans="1:28" s="587" customFormat="1" ht="15.75" customHeight="1">
      <c r="A379" s="201" t="str">
        <f>IF(B379&lt;&gt;"",IF(AND(B379&gt;=_TM1,B379&lt;=_TM2,OR(TH!L379="1111",TH!M379="1111")),TH!D379,""),"")</f>
        <v/>
      </c>
      <c r="B379" s="36">
        <f t="shared" si="16"/>
        <v>5</v>
      </c>
      <c r="C379" s="188">
        <f t="shared" si="17"/>
        <v>41411</v>
      </c>
      <c r="D379" s="181" t="s">
        <v>1037</v>
      </c>
      <c r="E379" s="188">
        <v>41411</v>
      </c>
      <c r="F379" s="189" t="s">
        <v>693</v>
      </c>
      <c r="G379" s="189" t="s">
        <v>797</v>
      </c>
      <c r="H379" s="7" t="s">
        <v>510</v>
      </c>
      <c r="I379" s="249"/>
      <c r="J379" s="249"/>
      <c r="K379" s="38">
        <v>277695</v>
      </c>
      <c r="L379" s="191" t="s">
        <v>262</v>
      </c>
      <c r="M379" s="191" t="s">
        <v>425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IF(OR(TH!L379=TH!$U$7,M379=TH!$U$7),"x","")</f>
        <v/>
      </c>
      <c r="V379" s="52" t="str">
        <f>IF(AND(B379&gt;='IN-NX'!$P$3,B379&lt;='IN-NX'!$Q$3,'IN-NX'!$D$7=D379,OR(LEFT(L379,2)="15",AND(LEFT(M379,2)&lt;&gt;"15",LEFT(M379,2)&lt;&gt;"33"))),"x","")</f>
        <v/>
      </c>
      <c r="W379" s="52" t="str">
        <f>IF(AND(OR(LEFT(TH!L379,2)="15",LEFT(TH!M379,2)="15"),'152-CT'!$J$8=TH!F379),"x","")</f>
        <v/>
      </c>
      <c r="X379" s="52" t="str">
        <f>IF(AND(OR(LEFT(TH!L379,2)="15",LEFT(TH!M379,2)="15"),TK!$E$7=TH!F379),"x","")</f>
        <v/>
      </c>
      <c r="Y379" s="52" t="str">
        <f>IF(AND(B379&lt;=NKC!$N$8,B379&gt;=NKC!$M$8),"x","")</f>
        <v/>
      </c>
      <c r="Z379" s="208"/>
      <c r="AA379" s="587" t="str">
        <f>IF(VLOOKUP(H379,DS_131,1,0)&lt;&gt;"","","x")</f>
        <v/>
      </c>
    </row>
    <row r="380" spans="1:28" s="587" customFormat="1" ht="15.75" customHeight="1">
      <c r="A380" s="201" t="str">
        <f>IF(B380&lt;&gt;"",IF(AND(B380&gt;=_TM1,B380&lt;=_TM2,OR(TH!L380="1111",TH!M380="1111")),TH!D380,""),"")</f>
        <v/>
      </c>
      <c r="B380" s="36">
        <f t="shared" si="16"/>
        <v>5</v>
      </c>
      <c r="C380" s="181">
        <f t="shared" si="17"/>
        <v>41414</v>
      </c>
      <c r="D380" s="181" t="s">
        <v>335</v>
      </c>
      <c r="E380" s="181">
        <v>41414</v>
      </c>
      <c r="F380" s="186" t="s">
        <v>337</v>
      </c>
      <c r="G380" s="597" t="s">
        <v>332</v>
      </c>
      <c r="H380" s="7" t="s">
        <v>472</v>
      </c>
      <c r="I380" s="249"/>
      <c r="J380" s="249"/>
      <c r="K380" s="595">
        <v>10000000</v>
      </c>
      <c r="L380" s="596" t="s">
        <v>24</v>
      </c>
      <c r="M380" s="596" t="s">
        <v>262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>x</v>
      </c>
      <c r="T380" s="52" t="str">
        <f>IF(ISERROR(FIND('112'!$M$9,G380,1)),"",IF((AND(RIGHT(G380,2)=RIGHT('112'!$M$9,2),B380&lt;'112'!$N$8,$M380='112'!$I$6)),"x",""))</f>
        <v/>
      </c>
      <c r="U380" s="52" t="str">
        <f>IF(OR(TH!L380=TH!$U$7,M380=TH!$U$7),"x","")</f>
        <v/>
      </c>
      <c r="V380" s="52" t="str">
        <f>IF(AND(B380&gt;='IN-NX'!$P$3,B380&lt;='IN-NX'!$Q$3,'IN-NX'!$D$7=D380,OR(LEFT(L380,2)="15",AND(LEFT(M380,2)&lt;&gt;"15",LEFT(M380,2)&lt;&gt;"33"))),"x","")</f>
        <v/>
      </c>
      <c r="W380" s="52" t="str">
        <f>IF(AND(OR(LEFT(TH!L380,2)="15",LEFT(TH!M380,2)="15"),'152-CT'!$J$8=TH!F380),"x","")</f>
        <v/>
      </c>
      <c r="X380" s="52" t="str">
        <f>IF(AND(OR(LEFT(TH!L380,2)="15",LEFT(TH!M380,2)="15"),TK!$E$7=TH!F380),"x","")</f>
        <v/>
      </c>
      <c r="Y380" s="52" t="str">
        <f>IF(AND(B380&lt;=NKC!$N$8,B380&gt;=NKC!$M$8),"x","")</f>
        <v/>
      </c>
      <c r="Z380" s="208"/>
    </row>
    <row r="381" spans="1:28" s="587" customFormat="1" ht="15.75" customHeight="1">
      <c r="A381" s="201" t="str">
        <f>IF(B381&lt;&gt;"",IF(AND(B381&gt;=_TM1,B381&lt;=_TM2,OR(TH!L381="1111",TH!M381="1111")),TH!D381,""),"")</f>
        <v/>
      </c>
      <c r="B381" s="36">
        <f t="shared" si="16"/>
        <v>5</v>
      </c>
      <c r="C381" s="181">
        <f t="shared" si="17"/>
        <v>41414</v>
      </c>
      <c r="D381" s="181" t="s">
        <v>335</v>
      </c>
      <c r="E381" s="181">
        <v>41414</v>
      </c>
      <c r="F381" s="186" t="s">
        <v>337</v>
      </c>
      <c r="G381" s="597" t="s">
        <v>332</v>
      </c>
      <c r="H381" s="7" t="s">
        <v>470</v>
      </c>
      <c r="I381" s="249"/>
      <c r="J381" s="249"/>
      <c r="K381" s="595">
        <v>9950490</v>
      </c>
      <c r="L381" s="596" t="s">
        <v>24</v>
      </c>
      <c r="M381" s="596" t="s">
        <v>262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>x</v>
      </c>
      <c r="T381" s="52" t="str">
        <f>IF(ISERROR(FIND('112'!$M$9,G381,1)),"",IF((AND(RIGHT(G381,2)=RIGHT('112'!$M$9,2),B381&lt;'112'!$N$8,$M381='112'!$I$6)),"x",""))</f>
        <v/>
      </c>
      <c r="U381" s="52" t="str">
        <f>IF(OR(TH!L381=TH!$U$7,M381=TH!$U$7),"x","")</f>
        <v/>
      </c>
      <c r="V381" s="52" t="str">
        <f>IF(AND(B381&gt;='IN-NX'!$P$3,B381&lt;='IN-NX'!$Q$3,'IN-NX'!$D$7=D381,OR(LEFT(L381,2)="15",AND(LEFT(M381,2)&lt;&gt;"15",LEFT(M381,2)&lt;&gt;"33"))),"x","")</f>
        <v/>
      </c>
      <c r="W381" s="52" t="str">
        <f>IF(AND(OR(LEFT(TH!L381,2)="15",LEFT(TH!M381,2)="15"),'152-CT'!$J$8=TH!F381),"x","")</f>
        <v/>
      </c>
      <c r="X381" s="52" t="str">
        <f>IF(AND(OR(LEFT(TH!L381,2)="15",LEFT(TH!M381,2)="15"),TK!$E$7=TH!F381),"x","")</f>
        <v/>
      </c>
      <c r="Y381" s="52" t="str">
        <f>IF(AND(B381&lt;=NKC!$N$8,B381&gt;=NKC!$M$8),"x","")</f>
        <v/>
      </c>
      <c r="Z381" s="208"/>
    </row>
    <row r="382" spans="1:28" s="587" customFormat="1" ht="15.75" customHeight="1">
      <c r="A382" s="201" t="str">
        <f>IF(B382&lt;&gt;"",IF(AND(B382&gt;=_TM1,B382&lt;=_TM2,OR(TH!L382="1111",TH!M382="1111")),TH!D382,""),"")</f>
        <v/>
      </c>
      <c r="B382" s="36">
        <f t="shared" si="16"/>
        <v>5</v>
      </c>
      <c r="C382" s="188">
        <f t="shared" si="17"/>
        <v>41415</v>
      </c>
      <c r="D382" s="181" t="s">
        <v>1038</v>
      </c>
      <c r="E382" s="188">
        <v>41415</v>
      </c>
      <c r="F382" s="189" t="s">
        <v>798</v>
      </c>
      <c r="G382" s="189" t="s">
        <v>799</v>
      </c>
      <c r="H382" s="7" t="s">
        <v>499</v>
      </c>
      <c r="I382" s="249">
        <v>303</v>
      </c>
      <c r="J382" s="249">
        <v>5201</v>
      </c>
      <c r="K382" s="38">
        <f>ROUND(I382*J382,0)</f>
        <v>1575903</v>
      </c>
      <c r="L382" s="191" t="s">
        <v>262</v>
      </c>
      <c r="M382" s="191" t="s">
        <v>172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IF(OR(TH!L382=TH!$U$7,M382=TH!$U$7),"x","")</f>
        <v/>
      </c>
      <c r="V382" s="52" t="str">
        <f>IF(AND(B382&gt;='IN-NX'!$P$3,B382&lt;='IN-NX'!$Q$3,'IN-NX'!$D$7=D382,OR(LEFT(L382,2)="15",AND(LEFT(M382,2)&lt;&gt;"15",LEFT(M382,2)&lt;&gt;"33"))),"x","")</f>
        <v/>
      </c>
      <c r="W382" s="52" t="str">
        <f>IF(AND(OR(LEFT(TH!L382,2)="15",LEFT(TH!M382,2)="15"),'152-CT'!$J$8=TH!F382),"x","")</f>
        <v/>
      </c>
      <c r="X382" s="52" t="str">
        <f>IF(AND(OR(LEFT(TH!L382,2)="15",LEFT(TH!M382,2)="15"),TK!$E$7=TH!F382),"x","")</f>
        <v/>
      </c>
      <c r="Y382" s="52" t="str">
        <f>IF(AND(B382&lt;=NKC!$N$8,B382&gt;=NKC!$M$8),"x","")</f>
        <v/>
      </c>
      <c r="Z382" s="208"/>
    </row>
    <row r="383" spans="1:28" s="587" customFormat="1" ht="15.75" customHeight="1">
      <c r="A383" s="201" t="str">
        <f>IF(B383&lt;&gt;"",IF(AND(B383&gt;=_TM1,B383&lt;=_TM2,OR(TH!L383="1111",TH!M383="1111")),TH!D383,""),"")</f>
        <v/>
      </c>
      <c r="B383" s="36">
        <f t="shared" si="16"/>
        <v>5</v>
      </c>
      <c r="C383" s="188">
        <f t="shared" si="17"/>
        <v>41415</v>
      </c>
      <c r="D383" s="181" t="s">
        <v>1038</v>
      </c>
      <c r="E383" s="188">
        <v>41415</v>
      </c>
      <c r="F383" s="189" t="s">
        <v>800</v>
      </c>
      <c r="G383" s="189" t="s">
        <v>799</v>
      </c>
      <c r="H383" s="7" t="s">
        <v>499</v>
      </c>
      <c r="I383" s="249">
        <v>209</v>
      </c>
      <c r="J383" s="249">
        <v>5117</v>
      </c>
      <c r="K383" s="38">
        <f>ROUND(I383*J383,0)</f>
        <v>1069453</v>
      </c>
      <c r="L383" s="191" t="s">
        <v>262</v>
      </c>
      <c r="M383" s="191" t="s">
        <v>172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IF(OR(TH!L383=TH!$U$7,M383=TH!$U$7),"x","")</f>
        <v/>
      </c>
      <c r="V383" s="52" t="str">
        <f>IF(AND(B383&gt;='IN-NX'!$P$3,B383&lt;='IN-NX'!$Q$3,'IN-NX'!$D$7=D383,OR(LEFT(L383,2)="15",AND(LEFT(M383,2)&lt;&gt;"15",LEFT(M383,2)&lt;&gt;"33"))),"x","")</f>
        <v/>
      </c>
      <c r="W383" s="52" t="str">
        <f>IF(AND(OR(LEFT(TH!L383,2)="15",LEFT(TH!M383,2)="15"),'152-CT'!$J$8=TH!F383),"x","")</f>
        <v/>
      </c>
      <c r="X383" s="52" t="str">
        <f>IF(AND(OR(LEFT(TH!L383,2)="15",LEFT(TH!M383,2)="15"),TK!$E$7=TH!F383),"x","")</f>
        <v/>
      </c>
      <c r="Y383" s="52" t="str">
        <f>IF(AND(B383&lt;=NKC!$N$8,B383&gt;=NKC!$M$8),"x","")</f>
        <v/>
      </c>
      <c r="Z383" s="208"/>
    </row>
    <row r="384" spans="1:28" s="587" customFormat="1" ht="15.75" customHeight="1">
      <c r="A384" s="201" t="str">
        <f>IF(B384&lt;&gt;"",IF(AND(B384&gt;=_TM1,B384&lt;=_TM2,OR(TH!L384="1111",TH!M384="1111")),TH!D384,""),"")</f>
        <v/>
      </c>
      <c r="B384" s="36">
        <f t="shared" si="16"/>
        <v>5</v>
      </c>
      <c r="C384" s="188">
        <f t="shared" si="17"/>
        <v>41415</v>
      </c>
      <c r="D384" s="181" t="s">
        <v>1038</v>
      </c>
      <c r="E384" s="188">
        <v>41415</v>
      </c>
      <c r="F384" s="189" t="s">
        <v>801</v>
      </c>
      <c r="G384" s="189" t="s">
        <v>799</v>
      </c>
      <c r="H384" s="7" t="s">
        <v>499</v>
      </c>
      <c r="I384" s="249">
        <v>305</v>
      </c>
      <c r="J384" s="249">
        <v>5191</v>
      </c>
      <c r="K384" s="38">
        <f>ROUND(I384*J384,0)</f>
        <v>1583255</v>
      </c>
      <c r="L384" s="191" t="s">
        <v>262</v>
      </c>
      <c r="M384" s="191" t="s">
        <v>172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IF(OR(TH!L384=TH!$U$7,M384=TH!$U$7),"x","")</f>
        <v/>
      </c>
      <c r="V384" s="52" t="str">
        <f>IF(AND(B384&gt;='IN-NX'!$P$3,B384&lt;='IN-NX'!$Q$3,'IN-NX'!$D$7=D384,OR(LEFT(L384,2)="15",AND(LEFT(M384,2)&lt;&gt;"15",LEFT(M384,2)&lt;&gt;"33"))),"x","")</f>
        <v/>
      </c>
      <c r="W384" s="52" t="str">
        <f>IF(AND(OR(LEFT(TH!L384,2)="15",LEFT(TH!M384,2)="15"),'152-CT'!$J$8=TH!F384),"x","")</f>
        <v/>
      </c>
      <c r="X384" s="52" t="str">
        <f>IF(AND(OR(LEFT(TH!L384,2)="15",LEFT(TH!M384,2)="15"),TK!$E$7=TH!F384),"x","")</f>
        <v/>
      </c>
      <c r="Y384" s="52" t="str">
        <f>IF(AND(B384&lt;=NKC!$N$8,B384&gt;=NKC!$M$8),"x","")</f>
        <v/>
      </c>
      <c r="Z384" s="208"/>
    </row>
    <row r="385" spans="1:28" s="587" customFormat="1" ht="15.75" customHeight="1">
      <c r="A385" s="201" t="str">
        <f>IF(B385&lt;&gt;"",IF(AND(B385&gt;=_TM1,B385&lt;=_TM2,OR(TH!L385="1111",TH!M385="1111")),TH!D385,""),"")</f>
        <v/>
      </c>
      <c r="B385" s="36">
        <f t="shared" si="16"/>
        <v>5</v>
      </c>
      <c r="C385" s="188">
        <f t="shared" si="17"/>
        <v>41415</v>
      </c>
      <c r="D385" s="181" t="s">
        <v>1038</v>
      </c>
      <c r="E385" s="188">
        <v>41415</v>
      </c>
      <c r="F385" s="189" t="s">
        <v>802</v>
      </c>
      <c r="G385" s="480" t="s">
        <v>799</v>
      </c>
      <c r="H385" s="7" t="s">
        <v>499</v>
      </c>
      <c r="I385" s="249">
        <v>303</v>
      </c>
      <c r="J385" s="249">
        <v>4865</v>
      </c>
      <c r="K385" s="38">
        <f>ROUND(I385*J385,0)</f>
        <v>1474095</v>
      </c>
      <c r="L385" s="191" t="s">
        <v>262</v>
      </c>
      <c r="M385" s="191" t="s">
        <v>172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IF(OR(TH!L385=TH!$U$7,M385=TH!$U$7),"x","")</f>
        <v/>
      </c>
      <c r="V385" s="52" t="str">
        <f>IF(AND(B385&gt;='IN-NX'!$P$3,B385&lt;='IN-NX'!$Q$3,'IN-NX'!$D$7=D385,OR(LEFT(L385,2)="15",AND(LEFT(M385,2)&lt;&gt;"15",LEFT(M385,2)&lt;&gt;"33"))),"x","")</f>
        <v/>
      </c>
      <c r="W385" s="52" t="str">
        <f>IF(AND(OR(LEFT(TH!L385,2)="15",LEFT(TH!M385,2)="15"),'152-CT'!$J$8=TH!F385),"x","")</f>
        <v/>
      </c>
      <c r="X385" s="52" t="str">
        <f>IF(AND(OR(LEFT(TH!L385,2)="15",LEFT(TH!M385,2)="15"),TK!$E$7=TH!F385),"x","")</f>
        <v/>
      </c>
      <c r="Y385" s="52" t="str">
        <f>IF(AND(B385&lt;=NKC!$N$8,B385&gt;=NKC!$M$8),"x","")</f>
        <v/>
      </c>
      <c r="Z385" s="208"/>
    </row>
    <row r="386" spans="1:28" s="587" customFormat="1" ht="15.75" customHeight="1">
      <c r="A386" s="201" t="str">
        <f>IF(B386&lt;&gt;"",IF(AND(B386&gt;=_TM1,B386&lt;=_TM2,OR(TH!L386="1111",TH!M386="1111")),TH!D386,""),"")</f>
        <v/>
      </c>
      <c r="B386" s="36">
        <f t="shared" si="16"/>
        <v>5</v>
      </c>
      <c r="C386" s="188">
        <f t="shared" si="17"/>
        <v>41415</v>
      </c>
      <c r="D386" s="181" t="s">
        <v>1038</v>
      </c>
      <c r="E386" s="188">
        <v>41415</v>
      </c>
      <c r="F386" s="189" t="s">
        <v>1123</v>
      </c>
      <c r="G386" s="480" t="s">
        <v>799</v>
      </c>
      <c r="H386" s="7" t="s">
        <v>499</v>
      </c>
      <c r="I386" s="249">
        <v>270</v>
      </c>
      <c r="J386" s="249">
        <v>7337</v>
      </c>
      <c r="K386" s="38">
        <f>ROUND(I386*J386,0)</f>
        <v>1980990</v>
      </c>
      <c r="L386" s="191" t="s">
        <v>262</v>
      </c>
      <c r="M386" s="191" t="s">
        <v>172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IF(OR(TH!L386=TH!$U$7,M386=TH!$U$7),"x","")</f>
        <v/>
      </c>
      <c r="V386" s="52" t="str">
        <f>IF(AND(B386&gt;='IN-NX'!$P$3,B386&lt;='IN-NX'!$Q$3,'IN-NX'!$D$7=D386,OR(LEFT(L386,2)="15",AND(LEFT(M386,2)&lt;&gt;"15",LEFT(M386,2)&lt;&gt;"33"))),"x","")</f>
        <v/>
      </c>
      <c r="W386" s="52" t="str">
        <f>IF(AND(OR(LEFT(TH!L386,2)="15",LEFT(TH!M386,2)="15"),'152-CT'!$J$8=TH!F386),"x","")</f>
        <v/>
      </c>
      <c r="X386" s="52" t="str">
        <f>IF(AND(OR(LEFT(TH!L386,2)="15",LEFT(TH!M386,2)="15"),TK!$E$7=TH!F386),"x","")</f>
        <v/>
      </c>
      <c r="Y386" s="52" t="str">
        <f>IF(AND(B386&lt;=NKC!$N$8,B386&gt;=NKC!$M$8),"x","")</f>
        <v/>
      </c>
      <c r="Z386" s="208"/>
    </row>
    <row r="387" spans="1:28" s="587" customFormat="1" ht="15.75" customHeight="1">
      <c r="A387" s="201" t="str">
        <f>IF(B387&lt;&gt;"",IF(AND(B387&gt;=_TM1,B387&lt;=_TM2,OR(TH!L387="1111",TH!M387="1111")),TH!D387,""),"")</f>
        <v/>
      </c>
      <c r="B387" s="36">
        <f t="shared" si="16"/>
        <v>5</v>
      </c>
      <c r="C387" s="188">
        <f t="shared" si="17"/>
        <v>41415</v>
      </c>
      <c r="D387" s="181" t="s">
        <v>1038</v>
      </c>
      <c r="E387" s="188">
        <v>41415</v>
      </c>
      <c r="F387" s="189" t="s">
        <v>693</v>
      </c>
      <c r="G387" s="480" t="s">
        <v>799</v>
      </c>
      <c r="H387" s="7" t="s">
        <v>499</v>
      </c>
      <c r="I387" s="249"/>
      <c r="J387" s="249"/>
      <c r="K387" s="38">
        <v>768369</v>
      </c>
      <c r="L387" s="191" t="s">
        <v>262</v>
      </c>
      <c r="M387" s="191" t="s">
        <v>425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IF(OR(TH!L387=TH!$U$7,M387=TH!$U$7),"x","")</f>
        <v/>
      </c>
      <c r="V387" s="52" t="str">
        <f>IF(AND(B387&gt;='IN-NX'!$P$3,B387&lt;='IN-NX'!$Q$3,'IN-NX'!$D$7=D387,OR(LEFT(L387,2)="15",AND(LEFT(M387,2)&lt;&gt;"15",LEFT(M387,2)&lt;&gt;"33"))),"x","")</f>
        <v/>
      </c>
      <c r="W387" s="52" t="str">
        <f>IF(AND(OR(LEFT(TH!L387,2)="15",LEFT(TH!M387,2)="15"),'152-CT'!$J$8=TH!F387),"x","")</f>
        <v/>
      </c>
      <c r="X387" s="52" t="str">
        <f>IF(AND(OR(LEFT(TH!L387,2)="15",LEFT(TH!M387,2)="15"),TK!$E$7=TH!F387),"x","")</f>
        <v/>
      </c>
      <c r="Y387" s="52" t="str">
        <f>IF(AND(B387&lt;=NKC!$N$8,B387&gt;=NKC!$M$8),"x","")</f>
        <v/>
      </c>
      <c r="Z387" s="208"/>
      <c r="AA387" s="587" t="str">
        <f>IF(VLOOKUP(H387,DS_131,1,0)&lt;&gt;"","","x")</f>
        <v/>
      </c>
    </row>
    <row r="388" spans="1:28" s="587" customFormat="1" ht="15.75" customHeight="1">
      <c r="A388" s="201" t="str">
        <f>IF(B388&lt;&gt;"",IF(AND(B388&gt;=_TM1,B388&lt;=_TM2,OR(TH!L388="1111",TH!M388="1111")),TH!D388,""),"")</f>
        <v/>
      </c>
      <c r="B388" s="36">
        <f t="shared" si="16"/>
        <v>5</v>
      </c>
      <c r="C388" s="188">
        <f t="shared" si="17"/>
        <v>41415</v>
      </c>
      <c r="D388" s="181" t="s">
        <v>1270</v>
      </c>
      <c r="E388" s="188">
        <v>41415</v>
      </c>
      <c r="F388" s="186" t="s">
        <v>337</v>
      </c>
      <c r="G388" s="480" t="s">
        <v>1329</v>
      </c>
      <c r="H388" s="7" t="s">
        <v>499</v>
      </c>
      <c r="I388" s="249"/>
      <c r="J388" s="249"/>
      <c r="K388" s="38">
        <v>16257379</v>
      </c>
      <c r="L388" s="191" t="s">
        <v>47</v>
      </c>
      <c r="M388" s="191" t="s">
        <v>262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>x</v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IF(OR(TH!L388=TH!$U$7,M388=TH!$U$7),"x","")</f>
        <v/>
      </c>
      <c r="V388" s="52" t="str">
        <f>IF(AND(B388&gt;='IN-NX'!$P$3,B388&lt;='IN-NX'!$Q$3,'IN-NX'!$D$7=D388,OR(LEFT(L388,2)="15",AND(LEFT(M388,2)&lt;&gt;"15",LEFT(M388,2)&lt;&gt;"33"))),"x","")</f>
        <v/>
      </c>
      <c r="W388" s="52" t="str">
        <f>IF(AND(OR(LEFT(TH!L388,2)="15",LEFT(TH!M388,2)="15"),'152-CT'!$J$8=TH!F388),"x","")</f>
        <v/>
      </c>
      <c r="X388" s="52" t="str">
        <f>IF(AND(OR(LEFT(TH!L388,2)="15",LEFT(TH!M388,2)="15"),TK!$E$7=TH!F388),"x","")</f>
        <v/>
      </c>
      <c r="Y388" s="52" t="str">
        <f>IF(AND(B388&lt;=NKC!$N$8,B388&gt;=NKC!$M$8),"x","")</f>
        <v/>
      </c>
      <c r="Z388" s="208"/>
      <c r="AA388" s="587" t="str">
        <f>IF(VLOOKUP(H388,DS_131,1,0)&lt;&gt;"","","x")</f>
        <v/>
      </c>
    </row>
    <row r="389" spans="1:28" s="587" customFormat="1" ht="15.75" customHeight="1">
      <c r="A389" s="201" t="str">
        <f>IF(B389&lt;&gt;"",IF(AND(B389&gt;=_TM1,B389&lt;=_TM2,OR(TH!L389="1111",TH!M389="1111")),TH!D389,""),"")</f>
        <v/>
      </c>
      <c r="B389" s="36">
        <f t="shared" si="16"/>
        <v>5</v>
      </c>
      <c r="C389" s="188">
        <f t="shared" si="17"/>
        <v>41418</v>
      </c>
      <c r="D389" s="181" t="s">
        <v>1039</v>
      </c>
      <c r="E389" s="188">
        <v>41418</v>
      </c>
      <c r="F389" s="189" t="s">
        <v>1109</v>
      </c>
      <c r="G389" s="480" t="s">
        <v>803</v>
      </c>
      <c r="H389" s="7" t="s">
        <v>757</v>
      </c>
      <c r="I389" s="249">
        <v>1034</v>
      </c>
      <c r="J389" s="249">
        <v>6000</v>
      </c>
      <c r="K389" s="38">
        <f>ROUND(I389*J389,0)</f>
        <v>6204000</v>
      </c>
      <c r="L389" s="191" t="s">
        <v>262</v>
      </c>
      <c r="M389" s="191" t="s">
        <v>172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IF(OR(TH!L389=TH!$U$7,M389=TH!$U$7),"x","")</f>
        <v/>
      </c>
      <c r="V389" s="52" t="str">
        <f>IF(AND(B389&gt;='IN-NX'!$P$3,B389&lt;='IN-NX'!$Q$3,'IN-NX'!$D$7=D389,OR(LEFT(L389,2)="15",AND(LEFT(M389,2)&lt;&gt;"15",LEFT(M389,2)&lt;&gt;"33"))),"x","")</f>
        <v/>
      </c>
      <c r="W389" s="52" t="str">
        <f>IF(AND(OR(LEFT(TH!L389,2)="15",LEFT(TH!M389,2)="15"),'152-CT'!$J$8=TH!F389),"x","")</f>
        <v/>
      </c>
      <c r="X389" s="52" t="str">
        <f>IF(AND(OR(LEFT(TH!L389,2)="15",LEFT(TH!M389,2)="15"),TK!$E$7=TH!F389),"x","")</f>
        <v/>
      </c>
      <c r="Y389" s="52" t="str">
        <f>IF(AND(B389&lt;=NKC!$N$8,B389&gt;=NKC!$M$8),"x","")</f>
        <v/>
      </c>
      <c r="Z389" s="208"/>
    </row>
    <row r="390" spans="1:28" s="587" customFormat="1" ht="15.75" customHeight="1">
      <c r="A390" s="201" t="str">
        <f>IF(B390&lt;&gt;"",IF(AND(B390&gt;=_TM1,B390&lt;=_TM2,OR(TH!L390="1111",TH!M390="1111")),TH!D390,""),"")</f>
        <v/>
      </c>
      <c r="B390" s="36">
        <f t="shared" si="16"/>
        <v>5</v>
      </c>
      <c r="C390" s="188">
        <f t="shared" si="17"/>
        <v>41418</v>
      </c>
      <c r="D390" s="181" t="s">
        <v>1039</v>
      </c>
      <c r="E390" s="188">
        <v>41418</v>
      </c>
      <c r="F390" s="189" t="s">
        <v>693</v>
      </c>
      <c r="G390" s="480" t="s">
        <v>803</v>
      </c>
      <c r="H390" s="7" t="s">
        <v>757</v>
      </c>
      <c r="I390" s="249"/>
      <c r="J390" s="249"/>
      <c r="K390" s="38">
        <v>620400</v>
      </c>
      <c r="L390" s="191" t="s">
        <v>262</v>
      </c>
      <c r="M390" s="191" t="s">
        <v>425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IF(OR(TH!L390=TH!$U$7,M390=TH!$U$7),"x","")</f>
        <v/>
      </c>
      <c r="V390" s="52" t="str">
        <f>IF(AND(B390&gt;='IN-NX'!$P$3,B390&lt;='IN-NX'!$Q$3,'IN-NX'!$D$7=D390,OR(LEFT(L390,2)="15",AND(LEFT(M390,2)&lt;&gt;"15",LEFT(M390,2)&lt;&gt;"33"))),"x","")</f>
        <v/>
      </c>
      <c r="W390" s="52" t="str">
        <f>IF(AND(OR(LEFT(TH!L390,2)="15",LEFT(TH!M390,2)="15"),'152-CT'!$J$8=TH!F390),"x","")</f>
        <v/>
      </c>
      <c r="X390" s="52" t="str">
        <f>IF(AND(OR(LEFT(TH!L390,2)="15",LEFT(TH!M390,2)="15"),TK!$E$7=TH!F390),"x","")</f>
        <v/>
      </c>
      <c r="Y390" s="52" t="str">
        <f>IF(AND(B390&lt;=NKC!$N$8,B390&gt;=NKC!$M$8),"x","")</f>
        <v/>
      </c>
      <c r="Z390" s="208"/>
      <c r="AA390" s="587" t="str">
        <f>IF(VLOOKUP(H390,DS_131,1,0)&lt;&gt;"","","x")</f>
        <v/>
      </c>
    </row>
    <row r="391" spans="1:28" s="587" customFormat="1" ht="15.75" customHeight="1">
      <c r="A391" s="201" t="str">
        <f>IF(B391&lt;&gt;"",IF(AND(B391&gt;=_TM1,B391&lt;=_TM2,OR(TH!L391="1111",TH!M391="1111")),TH!D391,""),"")</f>
        <v/>
      </c>
      <c r="B391" s="36">
        <f t="shared" ref="B391:B450" si="18">IF(C391&lt;&gt;"",MONTH(C391),"")</f>
        <v>5</v>
      </c>
      <c r="C391" s="181">
        <f t="shared" si="17"/>
        <v>41419</v>
      </c>
      <c r="D391" s="181" t="s">
        <v>335</v>
      </c>
      <c r="E391" s="188">
        <v>41419</v>
      </c>
      <c r="F391" s="186" t="s">
        <v>365</v>
      </c>
      <c r="G391" s="597" t="s">
        <v>332</v>
      </c>
      <c r="H391" s="45"/>
      <c r="I391" s="249"/>
      <c r="J391" s="249"/>
      <c r="K391" s="38">
        <v>13612</v>
      </c>
      <c r="L391" s="596" t="s">
        <v>24</v>
      </c>
      <c r="M391" s="596" t="s">
        <v>40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>x</v>
      </c>
      <c r="T391" s="52" t="str">
        <f>IF(ISERROR(FIND('112'!$M$9,G391,1)),"",IF((AND(RIGHT(G391,2)=RIGHT('112'!$M$9,2),B391&lt;'112'!$N$8,$M391='112'!$I$6)),"x",""))</f>
        <v/>
      </c>
      <c r="U391" s="52" t="str">
        <f>IF(OR(TH!L391=TH!$U$7,M391=TH!$U$7),"x","")</f>
        <v/>
      </c>
      <c r="V391" s="52" t="str">
        <f>IF(AND(B391&gt;='IN-NX'!$P$3,B391&lt;='IN-NX'!$Q$3,'IN-NX'!$D$7=D391,OR(LEFT(L391,2)="15",AND(LEFT(M391,2)&lt;&gt;"15",LEFT(M391,2)&lt;&gt;"33"))),"x","")</f>
        <v/>
      </c>
      <c r="W391" s="52" t="str">
        <f>IF(AND(OR(LEFT(TH!L391,2)="15",LEFT(TH!M391,2)="15"),'152-CT'!$J$8=TH!F391),"x","")</f>
        <v/>
      </c>
      <c r="X391" s="52" t="str">
        <f>IF(AND(OR(LEFT(TH!L391,2)="15",LEFT(TH!M391,2)="15"),TK!$E$7=TH!F391),"x","")</f>
        <v/>
      </c>
      <c r="Y391" s="52" t="str">
        <f>IF(AND(B391&lt;=NKC!$N$8,B391&gt;=NKC!$M$8),"x","")</f>
        <v/>
      </c>
      <c r="Z391" s="208"/>
      <c r="AA391" s="208"/>
      <c r="AB391" s="208"/>
    </row>
    <row r="392" spans="1:28" s="587" customFormat="1" ht="15.75" customHeight="1">
      <c r="A392" s="201" t="str">
        <f>IF(B392&lt;&gt;"",IF(AND(B392&gt;=_TM1,B392&lt;=_TM2,OR(TH!L392="1111",TH!M392="1111")),TH!D392,""),"")</f>
        <v/>
      </c>
      <c r="B392" s="36">
        <f t="shared" si="18"/>
        <v>5</v>
      </c>
      <c r="C392" s="181">
        <f t="shared" si="17"/>
        <v>41421</v>
      </c>
      <c r="D392" s="181" t="s">
        <v>335</v>
      </c>
      <c r="E392" s="188">
        <v>41421</v>
      </c>
      <c r="F392" s="186" t="s">
        <v>337</v>
      </c>
      <c r="G392" s="597" t="s">
        <v>332</v>
      </c>
      <c r="H392" s="7" t="s">
        <v>427</v>
      </c>
      <c r="I392" s="249"/>
      <c r="J392" s="249"/>
      <c r="K392" s="38">
        <v>28498800</v>
      </c>
      <c r="L392" s="596" t="s">
        <v>24</v>
      </c>
      <c r="M392" s="596" t="s">
        <v>262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>x</v>
      </c>
      <c r="T392" s="52" t="str">
        <f>IF(ISERROR(FIND('112'!$M$9,G392,1)),"",IF((AND(RIGHT(G392,2)=RIGHT('112'!$M$9,2),B392&lt;'112'!$N$8,$M392='112'!$I$6)),"x",""))</f>
        <v/>
      </c>
      <c r="U392" s="52" t="str">
        <f>IF(OR(TH!L392=TH!$U$7,M392=TH!$U$7),"x","")</f>
        <v/>
      </c>
      <c r="V392" s="52" t="str">
        <f>IF(AND(B392&gt;='IN-NX'!$P$3,B392&lt;='IN-NX'!$Q$3,'IN-NX'!$D$7=D392,OR(LEFT(L392,2)="15",AND(LEFT(M392,2)&lt;&gt;"15",LEFT(M392,2)&lt;&gt;"33"))),"x","")</f>
        <v/>
      </c>
      <c r="W392" s="52" t="str">
        <f>IF(AND(OR(LEFT(TH!L392,2)="15",LEFT(TH!M392,2)="15"),'152-CT'!$J$8=TH!F392),"x","")</f>
        <v/>
      </c>
      <c r="X392" s="52" t="str">
        <f>IF(AND(OR(LEFT(TH!L392,2)="15",LEFT(TH!M392,2)="15"),TK!$E$7=TH!F392),"x","")</f>
        <v/>
      </c>
      <c r="Y392" s="52" t="str">
        <f>IF(AND(B392&lt;=NKC!$N$8,B392&gt;=NKC!$M$8),"x","")</f>
        <v/>
      </c>
      <c r="Z392" s="208"/>
    </row>
    <row r="393" spans="1:28" s="587" customFormat="1" ht="15.75" customHeight="1">
      <c r="A393" s="201" t="str">
        <f>IF(B393&lt;&gt;"",IF(AND(B393&gt;=_TM1,B393&lt;=_TM2,OR(TH!L393="1111",TH!M393="1111")),TH!D393,""),"")</f>
        <v/>
      </c>
      <c r="B393" s="36">
        <f t="shared" si="18"/>
        <v>5</v>
      </c>
      <c r="C393" s="188">
        <f t="shared" si="17"/>
        <v>41423</v>
      </c>
      <c r="D393" s="181" t="s">
        <v>409</v>
      </c>
      <c r="E393" s="181">
        <v>41423</v>
      </c>
      <c r="F393" s="189" t="s">
        <v>637</v>
      </c>
      <c r="G393" s="657" t="s">
        <v>638</v>
      </c>
      <c r="H393" s="190" t="s">
        <v>612</v>
      </c>
      <c r="I393" s="249">
        <v>150</v>
      </c>
      <c r="J393" s="249">
        <v>15456</v>
      </c>
      <c r="K393" s="38">
        <f>ROUND(I393*J393,0)</f>
        <v>2318400</v>
      </c>
      <c r="L393" s="191" t="s">
        <v>156</v>
      </c>
      <c r="M393" s="19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IF(OR(TH!L393=TH!$U$7,M393=TH!$U$7),"x","")</f>
        <v/>
      </c>
      <c r="V393" s="52" t="str">
        <f>IF(AND(B393&gt;='IN-NX'!$P$3,B393&lt;='IN-NX'!$Q$3,'IN-NX'!$D$7=D393,OR(LEFT(L393,2)="15",AND(LEFT(M393,2)&lt;&gt;"15",LEFT(M393,2)&lt;&gt;"33"))),"x","")</f>
        <v/>
      </c>
      <c r="W393" s="52" t="str">
        <f>IF(AND(OR(LEFT(TH!L393,2)="15",LEFT(TH!M393,2)="15"),'152-CT'!$J$8=TH!F393),"x","")</f>
        <v/>
      </c>
      <c r="X393" s="52" t="str">
        <f>IF(AND(OR(LEFT(TH!L393,2)="15",LEFT(TH!M393,2)="15"),TK!$E$7=TH!F393),"x","")</f>
        <v/>
      </c>
      <c r="Y393" s="52" t="str">
        <f>IF(AND(B393&lt;=NKC!$N$8,B393&gt;=NKC!$M$8),"x","")</f>
        <v/>
      </c>
      <c r="Z393" s="587">
        <v>6</v>
      </c>
      <c r="AA393" s="195"/>
      <c r="AB393" s="195"/>
    </row>
    <row r="394" spans="1:28" s="587" customFormat="1" ht="15.75" customHeight="1">
      <c r="A394" s="201" t="str">
        <f>IF(B394&lt;&gt;"",IF(AND(B394&gt;=_TM1,B394&lt;=_TM2,OR(TH!L394="1111",TH!M394="1111")),TH!D394,""),"")</f>
        <v/>
      </c>
      <c r="B394" s="36">
        <f t="shared" si="18"/>
        <v>5</v>
      </c>
      <c r="C394" s="188">
        <f t="shared" ref="C394:C453" si="19">E394</f>
        <v>41423</v>
      </c>
      <c r="D394" s="181" t="s">
        <v>409</v>
      </c>
      <c r="E394" s="181">
        <v>41423</v>
      </c>
      <c r="F394" s="189" t="s">
        <v>639</v>
      </c>
      <c r="G394" s="657" t="s">
        <v>638</v>
      </c>
      <c r="H394" s="190" t="s">
        <v>612</v>
      </c>
      <c r="I394" s="249">
        <v>1280</v>
      </c>
      <c r="J394" s="249">
        <v>10801</v>
      </c>
      <c r="K394" s="38">
        <f>ROUND(I394*J394,0)</f>
        <v>13825280</v>
      </c>
      <c r="L394" s="191" t="s">
        <v>156</v>
      </c>
      <c r="M394" s="19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IF(OR(TH!L394=TH!$U$7,M394=TH!$U$7),"x","")</f>
        <v/>
      </c>
      <c r="V394" s="52" t="str">
        <f>IF(AND(B394&gt;='IN-NX'!$P$3,B394&lt;='IN-NX'!$Q$3,'IN-NX'!$D$7=D394,OR(LEFT(L394,2)="15",AND(LEFT(M394,2)&lt;&gt;"15",LEFT(M394,2)&lt;&gt;"33"))),"x","")</f>
        <v/>
      </c>
      <c r="W394" s="52" t="str">
        <f>IF(AND(OR(LEFT(TH!L394,2)="15",LEFT(TH!M394,2)="15"),'152-CT'!$J$8=TH!F394),"x","")</f>
        <v/>
      </c>
      <c r="X394" s="52" t="str">
        <f>IF(AND(OR(LEFT(TH!L394,2)="15",LEFT(TH!M394,2)="15"),TK!$E$7=TH!F394),"x","")</f>
        <v/>
      </c>
      <c r="Y394" s="52" t="str">
        <f>IF(AND(B394&lt;=NKC!$N$8,B394&gt;=NKC!$M$8),"x","")</f>
        <v/>
      </c>
      <c r="Z394" s="587">
        <v>6</v>
      </c>
      <c r="AA394" s="195"/>
      <c r="AB394" s="195"/>
    </row>
    <row r="395" spans="1:28" s="587" customFormat="1" ht="15.75" customHeight="1">
      <c r="A395" s="201" t="str">
        <f>IF(B395&lt;&gt;"",IF(AND(B395&gt;=_TM1,B395&lt;=_TM2,OR(TH!L395="1111",TH!M395="1111")),TH!D395,""),"")</f>
        <v/>
      </c>
      <c r="B395" s="36">
        <f t="shared" si="18"/>
        <v>5</v>
      </c>
      <c r="C395" s="188">
        <f t="shared" si="19"/>
        <v>41423</v>
      </c>
      <c r="D395" s="181" t="s">
        <v>409</v>
      </c>
      <c r="E395" s="181">
        <v>41423</v>
      </c>
      <c r="F395" s="189" t="s">
        <v>557</v>
      </c>
      <c r="G395" s="657" t="s">
        <v>638</v>
      </c>
      <c r="H395" s="190" t="s">
        <v>612</v>
      </c>
      <c r="I395" s="249"/>
      <c r="J395" s="249"/>
      <c r="K395" s="38">
        <v>1614368</v>
      </c>
      <c r="L395" s="191" t="s">
        <v>9</v>
      </c>
      <c r="M395" s="19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IF(OR(TH!L395=TH!$U$7,M395=TH!$U$7),"x","")</f>
        <v/>
      </c>
      <c r="V395" s="52" t="str">
        <f>IF(AND(B395&gt;='IN-NX'!$P$3,B395&lt;='IN-NX'!$Q$3,'IN-NX'!$D$7=D395,OR(LEFT(L395,2)="15",AND(LEFT(M395,2)&lt;&gt;"15",LEFT(M395,2)&lt;&gt;"33"))),"x","")</f>
        <v/>
      </c>
      <c r="W395" s="52" t="str">
        <f>IF(AND(OR(LEFT(TH!L395,2)="15",LEFT(TH!M395,2)="15"),'152-CT'!$J$8=TH!F395),"x","")</f>
        <v/>
      </c>
      <c r="X395" s="52" t="str">
        <f>IF(AND(OR(LEFT(TH!L395,2)="15",LEFT(TH!M395,2)="15"),TK!$E$7=TH!F395),"x","")</f>
        <v/>
      </c>
      <c r="Y395" s="52" t="str">
        <f>IF(AND(B395&lt;=NKC!$N$8,B395&gt;=NKC!$M$8),"x","")</f>
        <v/>
      </c>
      <c r="Z395" s="587">
        <v>6</v>
      </c>
      <c r="AA395" s="195"/>
      <c r="AB395" s="195"/>
    </row>
    <row r="396" spans="1:28" s="587" customFormat="1" ht="15.75" customHeight="1">
      <c r="A396" s="201" t="str">
        <f>IF(B396&lt;&gt;"",IF(AND(B396&gt;=_TM1,B396&lt;=_TM2,OR(TH!L396="1111",TH!M396="1111")),TH!D396,""),"")</f>
        <v/>
      </c>
      <c r="B396" s="36">
        <f t="shared" si="18"/>
        <v>5</v>
      </c>
      <c r="C396" s="188">
        <f t="shared" si="19"/>
        <v>41423</v>
      </c>
      <c r="D396" s="181" t="s">
        <v>391</v>
      </c>
      <c r="E396" s="181">
        <v>41423</v>
      </c>
      <c r="F396" s="189" t="s">
        <v>367</v>
      </c>
      <c r="G396" s="657" t="s">
        <v>638</v>
      </c>
      <c r="H396" s="190" t="s">
        <v>612</v>
      </c>
      <c r="I396" s="249"/>
      <c r="J396" s="249"/>
      <c r="K396" s="38">
        <v>17758048</v>
      </c>
      <c r="L396" s="191" t="s">
        <v>8</v>
      </c>
      <c r="M396" s="191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IF(OR(TH!L396=TH!$U$7,M396=TH!$U$7),"x","")</f>
        <v/>
      </c>
      <c r="V396" s="52" t="str">
        <f>IF(AND(B396&gt;='IN-NX'!$P$3,B396&lt;='IN-NX'!$Q$3,'IN-NX'!$D$7=D396,OR(LEFT(L396,2)="15",AND(LEFT(M396,2)&lt;&gt;"15",LEFT(M396,2)&lt;&gt;"33"))),"x","")</f>
        <v/>
      </c>
      <c r="W396" s="52" t="str">
        <f>IF(AND(OR(LEFT(TH!L396,2)="15",LEFT(TH!M396,2)="15"),'152-CT'!$J$8=TH!F396),"x","")</f>
        <v/>
      </c>
      <c r="X396" s="52" t="str">
        <f>IF(AND(OR(LEFT(TH!L396,2)="15",LEFT(TH!M396,2)="15"),TK!$E$7=TH!F396),"x","")</f>
        <v/>
      </c>
      <c r="Y396" s="52" t="str">
        <f>IF(AND(B396&lt;=NKC!$N$8,B396&gt;=NKC!$M$8),"x","")</f>
        <v/>
      </c>
      <c r="Z396" s="208"/>
      <c r="AA396" s="195"/>
      <c r="AB396" s="195"/>
    </row>
    <row r="397" spans="1:28" s="587" customFormat="1" ht="15.75" customHeight="1">
      <c r="A397" s="201" t="str">
        <f>IF(B397&lt;&gt;"",IF(AND(B397&gt;=_TM1,B397&lt;=_TM2,OR(TH!L397="1111",TH!M397="1111")),TH!D397,""),"")</f>
        <v/>
      </c>
      <c r="B397" s="36">
        <f t="shared" si="18"/>
        <v>5</v>
      </c>
      <c r="C397" s="188">
        <f t="shared" si="19"/>
        <v>41424</v>
      </c>
      <c r="D397" s="181" t="s">
        <v>410</v>
      </c>
      <c r="E397" s="181">
        <v>41424</v>
      </c>
      <c r="F397" s="189" t="s">
        <v>640</v>
      </c>
      <c r="G397" s="657" t="s">
        <v>641</v>
      </c>
      <c r="H397" s="190" t="s">
        <v>612</v>
      </c>
      <c r="I397" s="249">
        <v>835</v>
      </c>
      <c r="J397" s="249">
        <v>14813</v>
      </c>
      <c r="K397" s="38">
        <f>ROUND(I397*J397,0)</f>
        <v>12368855</v>
      </c>
      <c r="L397" s="191" t="s">
        <v>156</v>
      </c>
      <c r="M397" s="191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IF(OR(TH!L397=TH!$U$7,M397=TH!$U$7),"x","")</f>
        <v/>
      </c>
      <c r="V397" s="52" t="str">
        <f>IF(AND(B397&gt;='IN-NX'!$P$3,B397&lt;='IN-NX'!$Q$3,'IN-NX'!$D$7=D397,OR(LEFT(L397,2)="15",AND(LEFT(M397,2)&lt;&gt;"15",LEFT(M397,2)&lt;&gt;"33"))),"x","")</f>
        <v/>
      </c>
      <c r="W397" s="52" t="str">
        <f>IF(AND(OR(LEFT(TH!L397,2)="15",LEFT(TH!M397,2)="15"),'152-CT'!$J$8=TH!F397),"x","")</f>
        <v/>
      </c>
      <c r="X397" s="52" t="str">
        <f>IF(AND(OR(LEFT(TH!L397,2)="15",LEFT(TH!M397,2)="15"),TK!$E$7=TH!F397),"x","")</f>
        <v/>
      </c>
      <c r="Y397" s="52" t="str">
        <f>IF(AND(B397&lt;=NKC!$N$8,B397&gt;=NKC!$M$8),"x","")</f>
        <v/>
      </c>
      <c r="Z397" s="587">
        <v>6</v>
      </c>
      <c r="AA397" s="195"/>
      <c r="AB397" s="195"/>
    </row>
    <row r="398" spans="1:28" s="587" customFormat="1" ht="15.75" customHeight="1">
      <c r="A398" s="201" t="str">
        <f>IF(B398&lt;&gt;"",IF(AND(B398&gt;=_TM1,B398&lt;=_TM2,OR(TH!L398="1111",TH!M398="1111")),TH!D398,""),"")</f>
        <v/>
      </c>
      <c r="B398" s="36">
        <f t="shared" si="18"/>
        <v>5</v>
      </c>
      <c r="C398" s="188">
        <f t="shared" si="19"/>
        <v>41424</v>
      </c>
      <c r="D398" s="181" t="s">
        <v>410</v>
      </c>
      <c r="E398" s="181">
        <v>41424</v>
      </c>
      <c r="F398" s="189" t="s">
        <v>642</v>
      </c>
      <c r="G398" s="657" t="s">
        <v>641</v>
      </c>
      <c r="H398" s="190" t="s">
        <v>612</v>
      </c>
      <c r="I398" s="249">
        <v>150</v>
      </c>
      <c r="J398" s="249">
        <v>10904</v>
      </c>
      <c r="K398" s="38">
        <f>ROUND(I398*J398,0)</f>
        <v>1635600</v>
      </c>
      <c r="L398" s="191" t="s">
        <v>156</v>
      </c>
      <c r="M398" s="19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IF(OR(TH!L398=TH!$U$7,M398=TH!$U$7),"x","")</f>
        <v/>
      </c>
      <c r="V398" s="52" t="str">
        <f>IF(AND(B398&gt;='IN-NX'!$P$3,B398&lt;='IN-NX'!$Q$3,'IN-NX'!$D$7=D398,OR(LEFT(L398,2)="15",AND(LEFT(M398,2)&lt;&gt;"15",LEFT(M398,2)&lt;&gt;"33"))),"x","")</f>
        <v/>
      </c>
      <c r="W398" s="52" t="str">
        <f>IF(AND(OR(LEFT(TH!L398,2)="15",LEFT(TH!M398,2)="15"),'152-CT'!$J$8=TH!F398),"x","")</f>
        <v/>
      </c>
      <c r="X398" s="52" t="str">
        <f>IF(AND(OR(LEFT(TH!L398,2)="15",LEFT(TH!M398,2)="15"),TK!$E$7=TH!F398),"x","")</f>
        <v/>
      </c>
      <c r="Y398" s="52" t="str">
        <f>IF(AND(B398&lt;=NKC!$N$8,B398&gt;=NKC!$M$8),"x","")</f>
        <v/>
      </c>
      <c r="Z398" s="587">
        <v>6</v>
      </c>
      <c r="AA398" s="195"/>
      <c r="AB398" s="195"/>
    </row>
    <row r="399" spans="1:28" s="587" customFormat="1" ht="15.75" customHeight="1">
      <c r="A399" s="201" t="str">
        <f>IF(B399&lt;&gt;"",IF(AND(B399&gt;=_TM1,B399&lt;=_TM2,OR(TH!L399="1111",TH!M399="1111")),TH!D399,""),"")</f>
        <v/>
      </c>
      <c r="B399" s="36">
        <f t="shared" si="18"/>
        <v>5</v>
      </c>
      <c r="C399" s="188">
        <f t="shared" si="19"/>
        <v>41424</v>
      </c>
      <c r="D399" s="181" t="s">
        <v>410</v>
      </c>
      <c r="E399" s="181">
        <v>41424</v>
      </c>
      <c r="F399" s="189" t="s">
        <v>557</v>
      </c>
      <c r="G399" s="657" t="s">
        <v>641</v>
      </c>
      <c r="H399" s="190" t="s">
        <v>612</v>
      </c>
      <c r="I399" s="249"/>
      <c r="J399" s="249"/>
      <c r="K399" s="38">
        <v>1400445</v>
      </c>
      <c r="L399" s="191" t="s">
        <v>9</v>
      </c>
      <c r="M399" s="19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IF(OR(TH!L399=TH!$U$7,M399=TH!$U$7),"x","")</f>
        <v/>
      </c>
      <c r="V399" s="52" t="str">
        <f>IF(AND(B399&gt;='IN-NX'!$P$3,B399&lt;='IN-NX'!$Q$3,'IN-NX'!$D$7=D399,OR(LEFT(L399,2)="15",AND(LEFT(M399,2)&lt;&gt;"15",LEFT(M399,2)&lt;&gt;"33"))),"x","")</f>
        <v/>
      </c>
      <c r="W399" s="52" t="str">
        <f>IF(AND(OR(LEFT(TH!L399,2)="15",LEFT(TH!M399,2)="15"),'152-CT'!$J$8=TH!F399),"x","")</f>
        <v/>
      </c>
      <c r="X399" s="52" t="str">
        <f>IF(AND(OR(LEFT(TH!L399,2)="15",LEFT(TH!M399,2)="15"),TK!$E$7=TH!F399),"x","")</f>
        <v/>
      </c>
      <c r="Y399" s="52" t="str">
        <f>IF(AND(B399&lt;=NKC!$N$8,B399&gt;=NKC!$M$8),"x","")</f>
        <v/>
      </c>
      <c r="Z399" s="587">
        <v>6</v>
      </c>
      <c r="AA399" s="195"/>
      <c r="AB399" s="195"/>
    </row>
    <row r="400" spans="1:28" s="587" customFormat="1" ht="15.75" customHeight="1">
      <c r="A400" s="201" t="str">
        <f>IF(B400&lt;&gt;"",IF(AND(B400&gt;=_TM1,B400&lt;=_TM2,OR(TH!L400="1111",TH!M400="1111")),TH!D400,""),"")</f>
        <v/>
      </c>
      <c r="B400" s="36">
        <f t="shared" si="18"/>
        <v>5</v>
      </c>
      <c r="C400" s="188">
        <f t="shared" si="19"/>
        <v>41424</v>
      </c>
      <c r="D400" s="181" t="s">
        <v>393</v>
      </c>
      <c r="E400" s="181">
        <v>41424</v>
      </c>
      <c r="F400" s="189" t="s">
        <v>367</v>
      </c>
      <c r="G400" s="657" t="s">
        <v>641</v>
      </c>
      <c r="H400" s="190" t="s">
        <v>612</v>
      </c>
      <c r="I400" s="249"/>
      <c r="J400" s="249"/>
      <c r="K400" s="38">
        <v>15404900</v>
      </c>
      <c r="L400" s="191" t="s">
        <v>8</v>
      </c>
      <c r="M400" s="191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IF(OR(TH!L400=TH!$U$7,M400=TH!$U$7),"x","")</f>
        <v/>
      </c>
      <c r="V400" s="52" t="str">
        <f>IF(AND(B400&gt;='IN-NX'!$P$3,B400&lt;='IN-NX'!$Q$3,'IN-NX'!$D$7=D400,OR(LEFT(L400,2)="15",AND(LEFT(M400,2)&lt;&gt;"15",LEFT(M400,2)&lt;&gt;"33"))),"x","")</f>
        <v/>
      </c>
      <c r="W400" s="52" t="str">
        <f>IF(AND(OR(LEFT(TH!L400,2)="15",LEFT(TH!M400,2)="15"),'152-CT'!$J$8=TH!F400),"x","")</f>
        <v/>
      </c>
      <c r="X400" s="52" t="str">
        <f>IF(AND(OR(LEFT(TH!L400,2)="15",LEFT(TH!M400,2)="15"),TK!$E$7=TH!F400),"x","")</f>
        <v/>
      </c>
      <c r="Y400" s="52" t="str">
        <f>IF(AND(B400&lt;=NKC!$N$8,B400&gt;=NKC!$M$8),"x","")</f>
        <v/>
      </c>
      <c r="Z400" s="208"/>
      <c r="AA400" s="195"/>
      <c r="AB400" s="195"/>
    </row>
    <row r="401" spans="1:28" s="587" customFormat="1" ht="15.75" customHeight="1">
      <c r="A401" s="201" t="str">
        <f>IF(B401&lt;&gt;"",IF(AND(B401&gt;=_TM1,B401&lt;=_TM2,OR(TH!L401="1111",TH!M401="1111")),TH!D401,""),"")</f>
        <v/>
      </c>
      <c r="B401" s="36">
        <f t="shared" si="18"/>
        <v>5</v>
      </c>
      <c r="C401" s="771">
        <f t="shared" si="19"/>
        <v>41425</v>
      </c>
      <c r="D401" s="771" t="s">
        <v>339</v>
      </c>
      <c r="E401" s="771">
        <v>41425</v>
      </c>
      <c r="F401" s="696" t="s">
        <v>1255</v>
      </c>
      <c r="G401" s="697"/>
      <c r="H401" s="609"/>
      <c r="I401" s="477"/>
      <c r="J401" s="477"/>
      <c r="K401" s="698">
        <v>5880000</v>
      </c>
      <c r="L401" s="699" t="s">
        <v>83</v>
      </c>
      <c r="M401" s="699" t="s">
        <v>265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IF(OR(TH!L401=TH!$U$7,M401=TH!$U$7),"x","")</f>
        <v>x</v>
      </c>
      <c r="V401" s="52" t="str">
        <f>IF(AND(B401&gt;='IN-NX'!$P$3,B401&lt;='IN-NX'!$Q$3,'IN-NX'!$D$7=D401,OR(LEFT(L401,2)="15",AND(LEFT(M401,2)&lt;&gt;"15",LEFT(M401,2)&lt;&gt;"33"))),"x","")</f>
        <v/>
      </c>
      <c r="W401" s="52" t="str">
        <f>IF(AND(OR(LEFT(TH!L401,2)="15",LEFT(TH!M401,2)="15"),'152-CT'!$J$8=TH!F401),"x","")</f>
        <v/>
      </c>
      <c r="X401" s="52" t="str">
        <f>IF(AND(OR(LEFT(TH!L401,2)="15",LEFT(TH!M401,2)="15"),TK!$E$7=TH!F401),"x","")</f>
        <v/>
      </c>
      <c r="Y401" s="52" t="str">
        <f>IF(AND(B401&lt;=NKC!$N$8,B401&gt;=NKC!$M$8),"x","")</f>
        <v/>
      </c>
      <c r="Z401" s="195"/>
      <c r="AA401" s="195"/>
      <c r="AB401" s="195"/>
    </row>
    <row r="402" spans="1:28" s="587" customFormat="1" ht="15.75" customHeight="1">
      <c r="A402" s="201" t="str">
        <f>IF(B402&lt;&gt;"",IF(AND(B402&gt;=_TM1,B402&lt;=_TM2,OR(TH!L402="1111",TH!M402="1111")),TH!D402,""),"")</f>
        <v/>
      </c>
      <c r="B402" s="36">
        <f t="shared" si="18"/>
        <v>5</v>
      </c>
      <c r="C402" s="771">
        <f t="shared" si="19"/>
        <v>41425</v>
      </c>
      <c r="D402" s="771" t="s">
        <v>339</v>
      </c>
      <c r="E402" s="771">
        <v>41425</v>
      </c>
      <c r="F402" s="696" t="s">
        <v>1256</v>
      </c>
      <c r="G402" s="697"/>
      <c r="H402" s="609"/>
      <c r="I402" s="477"/>
      <c r="J402" s="477"/>
      <c r="K402" s="698">
        <v>7570000</v>
      </c>
      <c r="L402" s="699" t="s">
        <v>162</v>
      </c>
      <c r="M402" s="699" t="s">
        <v>265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IF(OR(TH!L402=TH!$U$7,M402=TH!$U$7),"x","")</f>
        <v/>
      </c>
      <c r="V402" s="52" t="str">
        <f>IF(AND(B402&gt;='IN-NX'!$P$3,B402&lt;='IN-NX'!$Q$3,'IN-NX'!$D$7=D402,OR(LEFT(L402,2)="15",AND(LEFT(M402,2)&lt;&gt;"15",LEFT(M402,2)&lt;&gt;"33"))),"x","")</f>
        <v/>
      </c>
      <c r="W402" s="52" t="str">
        <f>IF(AND(OR(LEFT(TH!L402,2)="15",LEFT(TH!M402,2)="15"),'152-CT'!$J$8=TH!F402),"x","")</f>
        <v/>
      </c>
      <c r="X402" s="52" t="str">
        <f>IF(AND(OR(LEFT(TH!L402,2)="15",LEFT(TH!M402,2)="15"),TK!$E$7=TH!F402),"x","")</f>
        <v/>
      </c>
      <c r="Y402" s="52" t="str">
        <f>IF(AND(B402&lt;=NKC!$N$8,B402&gt;=NKC!$M$8),"x","")</f>
        <v/>
      </c>
      <c r="Z402" s="195"/>
      <c r="AA402" s="195"/>
      <c r="AB402" s="195"/>
    </row>
    <row r="403" spans="1:28" s="587" customFormat="1" ht="15.75" customHeight="1">
      <c r="A403" s="201" t="str">
        <f>IF(B403&lt;&gt;"",IF(AND(B403&gt;=_TM1,B403&lt;=_TM2,OR(TH!L403="1111",TH!M403="1111")),TH!D403,""),"")</f>
        <v/>
      </c>
      <c r="B403" s="36">
        <f t="shared" si="18"/>
        <v>5</v>
      </c>
      <c r="C403" s="771">
        <f t="shared" si="19"/>
        <v>41425</v>
      </c>
      <c r="D403" s="771" t="s">
        <v>394</v>
      </c>
      <c r="E403" s="771">
        <v>41425</v>
      </c>
      <c r="F403" s="696" t="str">
        <f>"Thanh toán tiền lương tháng "&amp;MONTH(E403)&amp;"/"&amp;YEAR(E403)</f>
        <v>Thanh toán tiền lương tháng 5/2013</v>
      </c>
      <c r="G403" s="697"/>
      <c r="H403" s="609" t="s">
        <v>364</v>
      </c>
      <c r="I403" s="477"/>
      <c r="J403" s="477"/>
      <c r="K403" s="698">
        <f>K401+K402</f>
        <v>13450000</v>
      </c>
      <c r="L403" s="699" t="s">
        <v>265</v>
      </c>
      <c r="M403" s="699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IF(OR(TH!L403=TH!$U$7,M403=TH!$U$7),"x","")</f>
        <v/>
      </c>
      <c r="V403" s="52" t="str">
        <f>IF(AND(B403&gt;='IN-NX'!$P$3,B403&lt;='IN-NX'!$Q$3,'IN-NX'!$D$7=D403,OR(LEFT(L403,2)="15",AND(LEFT(M403,2)&lt;&gt;"15",LEFT(M403,2)&lt;&gt;"33"))),"x","")</f>
        <v/>
      </c>
      <c r="W403" s="52" t="str">
        <f>IF(AND(OR(LEFT(TH!L403,2)="15",LEFT(TH!M403,2)="15"),'152-CT'!$J$8=TH!F403),"x","")</f>
        <v/>
      </c>
      <c r="X403" s="52" t="str">
        <f>IF(AND(OR(LEFT(TH!L403,2)="15",LEFT(TH!M403,2)="15"),TK!$E$7=TH!F403),"x","")</f>
        <v/>
      </c>
      <c r="Y403" s="52" t="str">
        <f>IF(AND(B403&lt;=NKC!$N$8,B403&gt;=NKC!$M$8),"x","")</f>
        <v/>
      </c>
      <c r="Z403" s="195"/>
      <c r="AA403" s="195"/>
      <c r="AB403" s="195"/>
    </row>
    <row r="404" spans="1:28" s="587" customFormat="1" ht="15.75" customHeight="1">
      <c r="A404" s="201" t="str">
        <f>IF(B404&lt;&gt;"",IF(AND(B404&gt;=_TM1,B404&lt;=_TM2,OR(TH!L404="1111",TH!M404="1111")),TH!D404,""),"")</f>
        <v/>
      </c>
      <c r="B404" s="36">
        <f t="shared" si="18"/>
        <v>5</v>
      </c>
      <c r="C404" s="181">
        <f t="shared" si="19"/>
        <v>41425</v>
      </c>
      <c r="D404" s="181" t="s">
        <v>335</v>
      </c>
      <c r="E404" s="188">
        <v>41425</v>
      </c>
      <c r="F404" s="186" t="s">
        <v>337</v>
      </c>
      <c r="G404" s="597" t="s">
        <v>332</v>
      </c>
      <c r="H404" s="7" t="s">
        <v>472</v>
      </c>
      <c r="I404" s="250"/>
      <c r="J404" s="251"/>
      <c r="K404" s="38">
        <v>20000000</v>
      </c>
      <c r="L404" s="596" t="s">
        <v>24</v>
      </c>
      <c r="M404" s="596" t="s">
        <v>262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52" t="str">
        <f>IF(OR(TH!L404=TH!$U$7,M404=TH!$U$7),"x","")</f>
        <v/>
      </c>
      <c r="V404" s="52" t="str">
        <f>IF(AND(B404&gt;='IN-NX'!$P$3,B404&lt;='IN-NX'!$Q$3,'IN-NX'!$D$7=D404,OR(LEFT(L404,2)="15",AND(LEFT(M404,2)&lt;&gt;"15",LEFT(M404,2)&lt;&gt;"33"))),"x","")</f>
        <v/>
      </c>
      <c r="W404" s="52" t="str">
        <f>IF(AND(OR(LEFT(TH!L404,2)="15",LEFT(TH!M404,2)="15"),'152-CT'!$J$8=TH!F404),"x","")</f>
        <v/>
      </c>
      <c r="X404" s="52" t="str">
        <f>IF(AND(OR(LEFT(TH!L404,2)="15",LEFT(TH!M404,2)="15"),TK!$E$7=TH!F404),"x","")</f>
        <v/>
      </c>
      <c r="Y404" s="52" t="str">
        <f>IF(AND(B404&lt;=NKC!$N$8,B404&gt;=NKC!$M$8),"x","")</f>
        <v/>
      </c>
    </row>
    <row r="405" spans="1:28" s="587" customFormat="1" ht="15.75" customHeight="1">
      <c r="A405" s="201" t="str">
        <f>IF(B405&lt;&gt;"",IF(AND(B405&gt;=_TM1,B405&lt;=_TM2,OR(TH!L405="1111",TH!M405="1111")),TH!D405,""),"")</f>
        <v/>
      </c>
      <c r="B405" s="36">
        <f t="shared" si="18"/>
        <v>5</v>
      </c>
      <c r="C405" s="181">
        <f t="shared" si="19"/>
        <v>41425</v>
      </c>
      <c r="D405" s="181" t="s">
        <v>1271</v>
      </c>
      <c r="E405" s="188">
        <v>41425</v>
      </c>
      <c r="F405" s="186" t="s">
        <v>469</v>
      </c>
      <c r="G405" s="597" t="s">
        <v>332</v>
      </c>
      <c r="H405" s="7" t="s">
        <v>364</v>
      </c>
      <c r="I405" s="249"/>
      <c r="J405" s="251"/>
      <c r="K405" s="595">
        <v>68000000</v>
      </c>
      <c r="L405" s="596" t="s">
        <v>47</v>
      </c>
      <c r="M405" s="596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>x</v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>x</v>
      </c>
      <c r="U405" s="52" t="str">
        <f>IF(OR(TH!L405=TH!$U$7,M405=TH!$U$7),"x","")</f>
        <v/>
      </c>
      <c r="V405" s="52" t="str">
        <f>IF(AND(B405&gt;='IN-NX'!$P$3,B405&lt;='IN-NX'!$Q$3,'IN-NX'!$D$7=D405,OR(LEFT(L405,2)="15",AND(LEFT(M405,2)&lt;&gt;"15",LEFT(M405,2)&lt;&gt;"33"))),"x","")</f>
        <v/>
      </c>
      <c r="W405" s="52" t="str">
        <f>IF(AND(OR(LEFT(TH!L405,2)="15",LEFT(TH!M405,2)="15"),'152-CT'!$J$8=TH!F405),"x","")</f>
        <v/>
      </c>
      <c r="X405" s="52" t="str">
        <f>IF(AND(OR(LEFT(TH!L405,2)="15",LEFT(TH!M405,2)="15"),TK!$E$7=TH!F405),"x","")</f>
        <v/>
      </c>
      <c r="Y405" s="52" t="str">
        <f>IF(AND(B405&lt;=NKC!$N$8,B405&gt;=NKC!$M$8),"x","")</f>
        <v/>
      </c>
    </row>
    <row r="406" spans="1:28" s="587" customFormat="1" ht="15.75" customHeight="1">
      <c r="A406" s="201" t="str">
        <f>IF(B406&lt;&gt;"",IF(AND(B406&gt;=_TM1,B406&lt;=_TM2,OR(TH!L406="1111",TH!M406="1111")),TH!D406,""),"")</f>
        <v/>
      </c>
      <c r="B406" s="36">
        <f t="shared" si="18"/>
        <v>6</v>
      </c>
      <c r="C406" s="181">
        <f t="shared" si="19"/>
        <v>41429</v>
      </c>
      <c r="D406" s="181" t="s">
        <v>395</v>
      </c>
      <c r="E406" s="181">
        <v>41429</v>
      </c>
      <c r="F406" s="186" t="s">
        <v>483</v>
      </c>
      <c r="G406" s="657" t="s">
        <v>484</v>
      </c>
      <c r="H406" s="7" t="s">
        <v>485</v>
      </c>
      <c r="I406" s="249"/>
      <c r="J406" s="249"/>
      <c r="K406" s="595">
        <v>22244468</v>
      </c>
      <c r="L406" s="596" t="s">
        <v>61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IF(OR(TH!L406=TH!$U$7,M406=TH!$U$7),"x","")</f>
        <v/>
      </c>
      <c r="V406" s="52" t="str">
        <f>IF(AND(B406&gt;='IN-NX'!$P$3,B406&lt;='IN-NX'!$Q$3,'IN-NX'!$D$7=D406,OR(LEFT(L406,2)="15",AND(LEFT(M406,2)&lt;&gt;"15",LEFT(M406,2)&lt;&gt;"33"))),"x","")</f>
        <v/>
      </c>
      <c r="W406" s="52" t="str">
        <f>IF(AND(OR(LEFT(TH!L406,2)="15",LEFT(TH!M406,2)="15"),'152-CT'!$J$8=TH!F406),"x","")</f>
        <v/>
      </c>
      <c r="X406" s="52" t="str">
        <f>IF(AND(OR(LEFT(TH!L406,2)="15",LEFT(TH!M406,2)="15"),TK!$E$7=TH!F406),"x","")</f>
        <v/>
      </c>
      <c r="Y406" s="52" t="str">
        <f>IF(AND(B406&lt;=NKC!$N$8,B406&gt;=NKC!$M$8),"x","")</f>
        <v/>
      </c>
    </row>
    <row r="407" spans="1:28" s="587" customFormat="1" ht="15.75" customHeight="1">
      <c r="A407" s="201" t="str">
        <f>IF(B407&lt;&gt;"",IF(AND(B407&gt;=_TM1,B407&lt;=_TM2,OR(TH!L407="1111",TH!M407="1111")),TH!D407,""),"")</f>
        <v/>
      </c>
      <c r="B407" s="36">
        <f t="shared" si="18"/>
        <v>6</v>
      </c>
      <c r="C407" s="188">
        <f t="shared" si="19"/>
        <v>41429</v>
      </c>
      <c r="D407" s="181" t="s">
        <v>1040</v>
      </c>
      <c r="E407" s="188">
        <v>41429</v>
      </c>
      <c r="F407" s="189" t="s">
        <v>1107</v>
      </c>
      <c r="G407" s="480" t="s">
        <v>804</v>
      </c>
      <c r="H407" s="7" t="s">
        <v>757</v>
      </c>
      <c r="I407" s="249">
        <v>296</v>
      </c>
      <c r="J407" s="249">
        <v>15100</v>
      </c>
      <c r="K407" s="38">
        <f>ROUND(I407*J407,0)</f>
        <v>4469600</v>
      </c>
      <c r="L407" s="191" t="s">
        <v>262</v>
      </c>
      <c r="M407" s="191" t="s">
        <v>172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IF(OR(TH!L407=TH!$U$7,M407=TH!$U$7),"x","")</f>
        <v/>
      </c>
      <c r="V407" s="52" t="str">
        <f>IF(AND(B407&gt;='IN-NX'!$P$3,B407&lt;='IN-NX'!$Q$3,'IN-NX'!$D$7=D407,OR(LEFT(L407,2)="15",AND(LEFT(M407,2)&lt;&gt;"15",LEFT(M407,2)&lt;&gt;"33"))),"x","")</f>
        <v/>
      </c>
      <c r="W407" s="52" t="str">
        <f>IF(AND(OR(LEFT(TH!L407,2)="15",LEFT(TH!M407,2)="15"),'152-CT'!$J$8=TH!F407),"x","")</f>
        <v/>
      </c>
      <c r="X407" s="52" t="str">
        <f>IF(AND(OR(LEFT(TH!L407,2)="15",LEFT(TH!M407,2)="15"),TK!$E$7=TH!F407),"x","")</f>
        <v/>
      </c>
      <c r="Y407" s="52" t="str">
        <f>IF(AND(B407&lt;=NKC!$N$8,B407&gt;=NKC!$M$8),"x","")</f>
        <v/>
      </c>
      <c r="Z407" s="208"/>
    </row>
    <row r="408" spans="1:28" s="587" customFormat="1" ht="15.75" customHeight="1">
      <c r="A408" s="201" t="str">
        <f>IF(B408&lt;&gt;"",IF(AND(B408&gt;=_TM1,B408&lt;=_TM2,OR(TH!L408="1111",TH!M408="1111")),TH!D408,""),"")</f>
        <v/>
      </c>
      <c r="B408" s="36">
        <f t="shared" si="18"/>
        <v>6</v>
      </c>
      <c r="C408" s="188">
        <f t="shared" si="19"/>
        <v>41429</v>
      </c>
      <c r="D408" s="181" t="s">
        <v>1040</v>
      </c>
      <c r="E408" s="188">
        <v>41429</v>
      </c>
      <c r="F408" s="189" t="s">
        <v>693</v>
      </c>
      <c r="G408" s="480" t="s">
        <v>804</v>
      </c>
      <c r="H408" s="7" t="s">
        <v>757</v>
      </c>
      <c r="I408" s="249"/>
      <c r="J408" s="249"/>
      <c r="K408" s="38">
        <v>446960</v>
      </c>
      <c r="L408" s="191" t="s">
        <v>262</v>
      </c>
      <c r="M408" s="191" t="s">
        <v>425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IF(OR(TH!L408=TH!$U$7,M408=TH!$U$7),"x","")</f>
        <v/>
      </c>
      <c r="V408" s="52" t="str">
        <f>IF(AND(B408&gt;='IN-NX'!$P$3,B408&lt;='IN-NX'!$Q$3,'IN-NX'!$D$7=D408,OR(LEFT(L408,2)="15",AND(LEFT(M408,2)&lt;&gt;"15",LEFT(M408,2)&lt;&gt;"33"))),"x","")</f>
        <v/>
      </c>
      <c r="W408" s="52" t="str">
        <f>IF(AND(OR(LEFT(TH!L408,2)="15",LEFT(TH!M408,2)="15"),'152-CT'!$J$8=TH!F408),"x","")</f>
        <v/>
      </c>
      <c r="X408" s="52" t="str">
        <f>IF(AND(OR(LEFT(TH!L408,2)="15",LEFT(TH!M408,2)="15"),TK!$E$7=TH!F408),"x","")</f>
        <v/>
      </c>
      <c r="Y408" s="52" t="str">
        <f>IF(AND(B408&lt;=NKC!$N$8,B408&gt;=NKC!$M$8),"x","")</f>
        <v/>
      </c>
      <c r="Z408" s="208"/>
      <c r="AA408" s="587" t="str">
        <f>IF(VLOOKUP(H408,DS_131,1,0)&lt;&gt;"","","x")</f>
        <v/>
      </c>
    </row>
    <row r="409" spans="1:28" s="587" customFormat="1" ht="15.75" customHeight="1">
      <c r="A409" s="201" t="str">
        <f>IF(B409&lt;&gt;"",IF(AND(B409&gt;=_TM1,B409&lt;=_TM2,OR(TH!L409="1111",TH!M409="1111")),TH!D409,""),"")</f>
        <v/>
      </c>
      <c r="B409" s="36">
        <f t="shared" si="18"/>
        <v>6</v>
      </c>
      <c r="C409" s="188">
        <f t="shared" si="19"/>
        <v>41429</v>
      </c>
      <c r="D409" s="181" t="s">
        <v>1272</v>
      </c>
      <c r="E409" s="188">
        <v>41429</v>
      </c>
      <c r="F409" s="186" t="s">
        <v>337</v>
      </c>
      <c r="G409" s="480" t="s">
        <v>1304</v>
      </c>
      <c r="H409" s="7" t="s">
        <v>757</v>
      </c>
      <c r="I409" s="249"/>
      <c r="J409" s="249"/>
      <c r="K409" s="38">
        <v>15221162</v>
      </c>
      <c r="L409" s="191" t="s">
        <v>47</v>
      </c>
      <c r="M409" s="191" t="s">
        <v>262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>x</v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IF(OR(TH!L409=TH!$U$7,M409=TH!$U$7),"x","")</f>
        <v/>
      </c>
      <c r="V409" s="52" t="str">
        <f>IF(AND(B409&gt;='IN-NX'!$P$3,B409&lt;='IN-NX'!$Q$3,'IN-NX'!$D$7=D409,OR(LEFT(L409,2)="15",AND(LEFT(M409,2)&lt;&gt;"15",LEFT(M409,2)&lt;&gt;"33"))),"x","")</f>
        <v/>
      </c>
      <c r="W409" s="52" t="str">
        <f>IF(AND(OR(LEFT(TH!L409,2)="15",LEFT(TH!M409,2)="15"),'152-CT'!$J$8=TH!F409),"x","")</f>
        <v/>
      </c>
      <c r="X409" s="52" t="str">
        <f>IF(AND(OR(LEFT(TH!L409,2)="15",LEFT(TH!M409,2)="15"),TK!$E$7=TH!F409),"x","")</f>
        <v/>
      </c>
      <c r="Y409" s="52" t="str">
        <f>IF(AND(B409&lt;=NKC!$N$8,B409&gt;=NKC!$M$8),"x","")</f>
        <v/>
      </c>
      <c r="Z409" s="208"/>
      <c r="AA409" s="587" t="str">
        <f>IF(VLOOKUP(H409,DS_131,1,0)&lt;&gt;"","","x")</f>
        <v/>
      </c>
    </row>
    <row r="410" spans="1:28" s="587" customFormat="1" ht="15.75" customHeight="1">
      <c r="A410" s="201" t="str">
        <f>IF(B410&lt;&gt;"",IF(AND(B410&gt;=_TM1,B410&lt;=_TM2,OR(TH!L410="1111",TH!M410="1111")),TH!D410,""),"")</f>
        <v/>
      </c>
      <c r="B410" s="36">
        <f t="shared" si="18"/>
        <v>6</v>
      </c>
      <c r="C410" s="188">
        <f t="shared" si="19"/>
        <v>41429</v>
      </c>
      <c r="D410" s="181" t="s">
        <v>1041</v>
      </c>
      <c r="E410" s="188">
        <v>41429</v>
      </c>
      <c r="F410" s="189" t="s">
        <v>805</v>
      </c>
      <c r="G410" s="480" t="s">
        <v>806</v>
      </c>
      <c r="H410" s="7" t="s">
        <v>710</v>
      </c>
      <c r="I410" s="249">
        <v>847</v>
      </c>
      <c r="J410" s="249">
        <v>10500</v>
      </c>
      <c r="K410" s="38">
        <f>ROUND(I410*J410,0)</f>
        <v>8893500</v>
      </c>
      <c r="L410" s="191" t="s">
        <v>262</v>
      </c>
      <c r="M410" s="191" t="s">
        <v>172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IF(OR(TH!L410=TH!$U$7,M410=TH!$U$7),"x","")</f>
        <v/>
      </c>
      <c r="V410" s="52" t="str">
        <f>IF(AND(B410&gt;='IN-NX'!$P$3,B410&lt;='IN-NX'!$Q$3,'IN-NX'!$D$7=D410,OR(LEFT(L410,2)="15",AND(LEFT(M410,2)&lt;&gt;"15",LEFT(M410,2)&lt;&gt;"33"))),"x","")</f>
        <v/>
      </c>
      <c r="W410" s="52" t="str">
        <f>IF(AND(OR(LEFT(TH!L410,2)="15",LEFT(TH!M410,2)="15"),'152-CT'!$J$8=TH!F410),"x","")</f>
        <v/>
      </c>
      <c r="X410" s="52" t="str">
        <f>IF(AND(OR(LEFT(TH!L410,2)="15",LEFT(TH!M410,2)="15"),TK!$E$7=TH!F410),"x","")</f>
        <v/>
      </c>
      <c r="Y410" s="52" t="str">
        <f>IF(AND(B410&lt;=NKC!$N$8,B410&gt;=NKC!$M$8),"x","")</f>
        <v/>
      </c>
      <c r="Z410" s="208"/>
    </row>
    <row r="411" spans="1:28" s="587" customFormat="1" ht="15.75" customHeight="1">
      <c r="A411" s="201" t="str">
        <f>IF(B411&lt;&gt;"",IF(AND(B411&gt;=_TM1,B411&lt;=_TM2,OR(TH!L411="1111",TH!M411="1111")),TH!D411,""),"")</f>
        <v/>
      </c>
      <c r="B411" s="36">
        <f t="shared" si="18"/>
        <v>6</v>
      </c>
      <c r="C411" s="188">
        <f t="shared" si="19"/>
        <v>41429</v>
      </c>
      <c r="D411" s="181" t="s">
        <v>1041</v>
      </c>
      <c r="E411" s="188">
        <v>41429</v>
      </c>
      <c r="F411" s="189" t="s">
        <v>693</v>
      </c>
      <c r="G411" s="480" t="s">
        <v>806</v>
      </c>
      <c r="H411" s="7" t="s">
        <v>710</v>
      </c>
      <c r="I411" s="249"/>
      <c r="J411" s="249"/>
      <c r="K411" s="38">
        <v>889350</v>
      </c>
      <c r="L411" s="191" t="s">
        <v>262</v>
      </c>
      <c r="M411" s="191" t="s">
        <v>425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IF(OR(TH!L411=TH!$U$7,M411=TH!$U$7),"x","")</f>
        <v/>
      </c>
      <c r="V411" s="52" t="str">
        <f>IF(AND(B411&gt;='IN-NX'!$P$3,B411&lt;='IN-NX'!$Q$3,'IN-NX'!$D$7=D411,OR(LEFT(L411,2)="15",AND(LEFT(M411,2)&lt;&gt;"15",LEFT(M411,2)&lt;&gt;"33"))),"x","")</f>
        <v/>
      </c>
      <c r="W411" s="52" t="str">
        <f>IF(AND(OR(LEFT(TH!L411,2)="15",LEFT(TH!M411,2)="15"),'152-CT'!$J$8=TH!F411),"x","")</f>
        <v/>
      </c>
      <c r="X411" s="52" t="str">
        <f>IF(AND(OR(LEFT(TH!L411,2)="15",LEFT(TH!M411,2)="15"),TK!$E$7=TH!F411),"x","")</f>
        <v/>
      </c>
      <c r="Y411" s="52" t="str">
        <f>IF(AND(B411&lt;=NKC!$N$8,B411&gt;=NKC!$M$8),"x","")</f>
        <v/>
      </c>
      <c r="Z411" s="208"/>
      <c r="AA411" s="587" t="str">
        <f>IF(VLOOKUP(H411,DS_131,1,0)&lt;&gt;"","","x")</f>
        <v/>
      </c>
    </row>
    <row r="412" spans="1:28" s="587" customFormat="1" ht="15.75" customHeight="1">
      <c r="A412" s="201" t="str">
        <f>IF(B412&lt;&gt;"",IF(AND(B412&gt;=_TM1,B412&lt;=_TM2,OR(TH!L412="1111",TH!M412="1111")),TH!D412,""),"")</f>
        <v/>
      </c>
      <c r="B412" s="36">
        <f t="shared" si="18"/>
        <v>6</v>
      </c>
      <c r="C412" s="188">
        <f t="shared" si="19"/>
        <v>41430</v>
      </c>
      <c r="D412" s="181" t="s">
        <v>1042</v>
      </c>
      <c r="E412" s="188">
        <v>41430</v>
      </c>
      <c r="F412" s="189" t="s">
        <v>807</v>
      </c>
      <c r="G412" s="480" t="s">
        <v>808</v>
      </c>
      <c r="H412" s="190" t="s">
        <v>489</v>
      </c>
      <c r="I412" s="249">
        <v>2399</v>
      </c>
      <c r="J412" s="249">
        <v>6700</v>
      </c>
      <c r="K412" s="38">
        <f>ROUND(I412*J412,0)</f>
        <v>16073300</v>
      </c>
      <c r="L412" s="191" t="s">
        <v>262</v>
      </c>
      <c r="M412" s="191" t="s">
        <v>172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IF(OR(TH!L412=TH!$U$7,M412=TH!$U$7),"x","")</f>
        <v/>
      </c>
      <c r="V412" s="52" t="str">
        <f>IF(AND(B412&gt;='IN-NX'!$P$3,B412&lt;='IN-NX'!$Q$3,'IN-NX'!$D$7=D412,OR(LEFT(L412,2)="15",AND(LEFT(M412,2)&lt;&gt;"15",LEFT(M412,2)&lt;&gt;"33"))),"x","")</f>
        <v/>
      </c>
      <c r="W412" s="52" t="str">
        <f>IF(AND(OR(LEFT(TH!L412,2)="15",LEFT(TH!M412,2)="15"),'152-CT'!$J$8=TH!F412),"x","")</f>
        <v/>
      </c>
      <c r="X412" s="52" t="str">
        <f>IF(AND(OR(LEFT(TH!L412,2)="15",LEFT(TH!M412,2)="15"),TK!$E$7=TH!F412),"x","")</f>
        <v/>
      </c>
      <c r="Y412" s="52" t="str">
        <f>IF(AND(B412&lt;=NKC!$N$8,B412&gt;=NKC!$M$8),"x","")</f>
        <v/>
      </c>
      <c r="Z412" s="208"/>
    </row>
    <row r="413" spans="1:28" s="587" customFormat="1" ht="15.75" customHeight="1">
      <c r="A413" s="201" t="str">
        <f>IF(B413&lt;&gt;"",IF(AND(B413&gt;=_TM1,B413&lt;=_TM2,OR(TH!L413="1111",TH!M413="1111")),TH!D413,""),"")</f>
        <v/>
      </c>
      <c r="B413" s="36">
        <f t="shared" si="18"/>
        <v>6</v>
      </c>
      <c r="C413" s="188">
        <f t="shared" si="19"/>
        <v>41430</v>
      </c>
      <c r="D413" s="181" t="s">
        <v>1042</v>
      </c>
      <c r="E413" s="188">
        <v>41430</v>
      </c>
      <c r="F413" s="189" t="s">
        <v>807</v>
      </c>
      <c r="G413" s="480" t="s">
        <v>808</v>
      </c>
      <c r="H413" s="190" t="s">
        <v>489</v>
      </c>
      <c r="I413" s="249">
        <v>2542</v>
      </c>
      <c r="J413" s="249">
        <v>7200</v>
      </c>
      <c r="K413" s="38">
        <f>ROUND(I413*J413,0)</f>
        <v>18302400</v>
      </c>
      <c r="L413" s="191" t="s">
        <v>262</v>
      </c>
      <c r="M413" s="191" t="s">
        <v>172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IF(OR(TH!L413=TH!$U$7,M413=TH!$U$7),"x","")</f>
        <v/>
      </c>
      <c r="V413" s="52" t="str">
        <f>IF(AND(B413&gt;='IN-NX'!$P$3,B413&lt;='IN-NX'!$Q$3,'IN-NX'!$D$7=D413,OR(LEFT(L413,2)="15",AND(LEFT(M413,2)&lt;&gt;"15",LEFT(M413,2)&lt;&gt;"33"))),"x","")</f>
        <v/>
      </c>
      <c r="W413" s="52" t="str">
        <f>IF(AND(OR(LEFT(TH!L413,2)="15",LEFT(TH!M413,2)="15"),'152-CT'!$J$8=TH!F413),"x","")</f>
        <v/>
      </c>
      <c r="X413" s="52" t="str">
        <f>IF(AND(OR(LEFT(TH!L413,2)="15",LEFT(TH!M413,2)="15"),TK!$E$7=TH!F413),"x","")</f>
        <v/>
      </c>
      <c r="Y413" s="52" t="str">
        <f>IF(AND(B413&lt;=NKC!$N$8,B413&gt;=NKC!$M$8),"x","")</f>
        <v/>
      </c>
      <c r="Z413" s="208"/>
    </row>
    <row r="414" spans="1:28" s="587" customFormat="1" ht="15.75" customHeight="1">
      <c r="A414" s="201" t="str">
        <f>IF(B414&lt;&gt;"",IF(AND(B414&gt;=_TM1,B414&lt;=_TM2,OR(TH!L414="1111",TH!M414="1111")),TH!D414,""),"")</f>
        <v/>
      </c>
      <c r="B414" s="36">
        <f t="shared" si="18"/>
        <v>6</v>
      </c>
      <c r="C414" s="188">
        <f t="shared" si="19"/>
        <v>41430</v>
      </c>
      <c r="D414" s="181" t="s">
        <v>1042</v>
      </c>
      <c r="E414" s="188">
        <v>41430</v>
      </c>
      <c r="F414" s="189" t="s">
        <v>693</v>
      </c>
      <c r="G414" s="480" t="s">
        <v>808</v>
      </c>
      <c r="H414" s="190" t="s">
        <v>489</v>
      </c>
      <c r="I414" s="249"/>
      <c r="J414" s="249"/>
      <c r="K414" s="38">
        <v>3437570</v>
      </c>
      <c r="L414" s="191" t="s">
        <v>262</v>
      </c>
      <c r="M414" s="191" t="s">
        <v>425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IF(OR(TH!L414=TH!$U$7,M414=TH!$U$7),"x","")</f>
        <v/>
      </c>
      <c r="V414" s="52" t="str">
        <f>IF(AND(B414&gt;='IN-NX'!$P$3,B414&lt;='IN-NX'!$Q$3,'IN-NX'!$D$7=D414,OR(LEFT(L414,2)="15",AND(LEFT(M414,2)&lt;&gt;"15",LEFT(M414,2)&lt;&gt;"33"))),"x","")</f>
        <v/>
      </c>
      <c r="W414" s="52" t="str">
        <f>IF(AND(OR(LEFT(TH!L414,2)="15",LEFT(TH!M414,2)="15"),'152-CT'!$J$8=TH!F414),"x","")</f>
        <v/>
      </c>
      <c r="X414" s="52" t="str">
        <f>IF(AND(OR(LEFT(TH!L414,2)="15",LEFT(TH!M414,2)="15"),TK!$E$7=TH!F414),"x","")</f>
        <v/>
      </c>
      <c r="Y414" s="52" t="str">
        <f>IF(AND(B414&lt;=NKC!$N$8,B414&gt;=NKC!$M$8),"x","")</f>
        <v/>
      </c>
      <c r="Z414" s="208"/>
      <c r="AA414" s="587" t="str">
        <f>IF(VLOOKUP(H414,DS_131,1,0)&lt;&gt;"","","x")</f>
        <v/>
      </c>
    </row>
    <row r="415" spans="1:28" s="587" customFormat="1" ht="15.75" customHeight="1">
      <c r="A415" s="201" t="str">
        <f>IF(B415&lt;&gt;"",IF(AND(B415&gt;=_TM1,B415&lt;=_TM2,OR(TH!L415="1111",TH!M415="1111")),TH!D415,""),"")</f>
        <v/>
      </c>
      <c r="B415" s="36">
        <f t="shared" si="18"/>
        <v>6</v>
      </c>
      <c r="C415" s="188">
        <f t="shared" si="19"/>
        <v>41432</v>
      </c>
      <c r="D415" s="181" t="s">
        <v>1043</v>
      </c>
      <c r="E415" s="188">
        <v>41432</v>
      </c>
      <c r="F415" s="189" t="s">
        <v>1096</v>
      </c>
      <c r="G415" s="480" t="s">
        <v>809</v>
      </c>
      <c r="H415" s="7" t="s">
        <v>510</v>
      </c>
      <c r="I415" s="249">
        <v>106</v>
      </c>
      <c r="J415" s="249">
        <v>14100</v>
      </c>
      <c r="K415" s="38">
        <f>ROUND(I415*J415,0)</f>
        <v>1494600</v>
      </c>
      <c r="L415" s="191" t="s">
        <v>262</v>
      </c>
      <c r="M415" s="191" t="s">
        <v>172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IF(OR(TH!L415=TH!$U$7,M415=TH!$U$7),"x","")</f>
        <v/>
      </c>
      <c r="V415" s="52" t="str">
        <f>IF(AND(B415&gt;='IN-NX'!$P$3,B415&lt;='IN-NX'!$Q$3,'IN-NX'!$D$7=D415,OR(LEFT(L415,2)="15",AND(LEFT(M415,2)&lt;&gt;"15",LEFT(M415,2)&lt;&gt;"33"))),"x","")</f>
        <v/>
      </c>
      <c r="W415" s="52" t="str">
        <f>IF(AND(OR(LEFT(TH!L415,2)="15",LEFT(TH!M415,2)="15"),'152-CT'!$J$8=TH!F415),"x","")</f>
        <v/>
      </c>
      <c r="X415" s="52" t="str">
        <f>IF(AND(OR(LEFT(TH!L415,2)="15",LEFT(TH!M415,2)="15"),TK!$E$7=TH!F415),"x","")</f>
        <v/>
      </c>
      <c r="Y415" s="52" t="str">
        <f>IF(AND(B415&lt;=NKC!$N$8,B415&gt;=NKC!$M$8),"x","")</f>
        <v/>
      </c>
      <c r="Z415" s="208"/>
    </row>
    <row r="416" spans="1:28" s="587" customFormat="1" ht="15.75" customHeight="1">
      <c r="A416" s="201" t="str">
        <f>IF(B416&lt;&gt;"",IF(AND(B416&gt;=_TM1,B416&lt;=_TM2,OR(TH!L416="1111",TH!M416="1111")),TH!D416,""),"")</f>
        <v/>
      </c>
      <c r="B416" s="36">
        <f t="shared" si="18"/>
        <v>6</v>
      </c>
      <c r="C416" s="188">
        <f t="shared" si="19"/>
        <v>41432</v>
      </c>
      <c r="D416" s="181" t="s">
        <v>1043</v>
      </c>
      <c r="E416" s="188">
        <v>41432</v>
      </c>
      <c r="F416" s="189" t="s">
        <v>1099</v>
      </c>
      <c r="G416" s="480" t="s">
        <v>809</v>
      </c>
      <c r="H416" s="7" t="s">
        <v>510</v>
      </c>
      <c r="I416" s="249">
        <v>197</v>
      </c>
      <c r="J416" s="249">
        <v>9950</v>
      </c>
      <c r="K416" s="38">
        <f>ROUND(I416*J416,0)</f>
        <v>1960150</v>
      </c>
      <c r="L416" s="191" t="s">
        <v>262</v>
      </c>
      <c r="M416" s="191" t="s">
        <v>172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IF(OR(TH!L416=TH!$U$7,M416=TH!$U$7),"x","")</f>
        <v/>
      </c>
      <c r="V416" s="52" t="str">
        <f>IF(AND(B416&gt;='IN-NX'!$P$3,B416&lt;='IN-NX'!$Q$3,'IN-NX'!$D$7=D416,OR(LEFT(L416,2)="15",AND(LEFT(M416,2)&lt;&gt;"15",LEFT(M416,2)&lt;&gt;"33"))),"x","")</f>
        <v/>
      </c>
      <c r="W416" s="52" t="str">
        <f>IF(AND(OR(LEFT(TH!L416,2)="15",LEFT(TH!M416,2)="15"),'152-CT'!$J$8=TH!F416),"x","")</f>
        <v/>
      </c>
      <c r="X416" s="52" t="str">
        <f>IF(AND(OR(LEFT(TH!L416,2)="15",LEFT(TH!M416,2)="15"),TK!$E$7=TH!F416),"x","")</f>
        <v/>
      </c>
      <c r="Y416" s="52" t="str">
        <f>IF(AND(B416&lt;=NKC!$N$8,B416&gt;=NKC!$M$8),"x","")</f>
        <v/>
      </c>
      <c r="Z416" s="208"/>
    </row>
    <row r="417" spans="1:28" s="208" customFormat="1" ht="15.75" customHeight="1">
      <c r="A417" s="201" t="str">
        <f>IF(B417&lt;&gt;"",IF(AND(B417&gt;=_TM1,B417&lt;=_TM2,OR(TH!L417="1111",TH!M417="1111")),TH!D417,""),"")</f>
        <v/>
      </c>
      <c r="B417" s="36">
        <f t="shared" si="18"/>
        <v>6</v>
      </c>
      <c r="C417" s="188">
        <f t="shared" si="19"/>
        <v>41432</v>
      </c>
      <c r="D417" s="181" t="s">
        <v>1043</v>
      </c>
      <c r="E417" s="188">
        <v>41432</v>
      </c>
      <c r="F417" s="189" t="s">
        <v>810</v>
      </c>
      <c r="G417" s="480" t="s">
        <v>809</v>
      </c>
      <c r="H417" s="7" t="s">
        <v>510</v>
      </c>
      <c r="I417" s="249">
        <v>104</v>
      </c>
      <c r="J417" s="249">
        <v>12300</v>
      </c>
      <c r="K417" s="38">
        <f>ROUND(I417*J417,0)</f>
        <v>1279200</v>
      </c>
      <c r="L417" s="191" t="s">
        <v>262</v>
      </c>
      <c r="M417" s="191" t="s">
        <v>172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IF(OR(TH!L417=TH!$U$7,M417=TH!$U$7),"x","")</f>
        <v/>
      </c>
      <c r="V417" s="52" t="str">
        <f>IF(AND(B417&gt;='IN-NX'!$P$3,B417&lt;='IN-NX'!$Q$3,'IN-NX'!$D$7=D417,OR(LEFT(L417,2)="15",AND(LEFT(M417,2)&lt;&gt;"15",LEFT(M417,2)&lt;&gt;"33"))),"x","")</f>
        <v/>
      </c>
      <c r="W417" s="52" t="str">
        <f>IF(AND(OR(LEFT(TH!L417,2)="15",LEFT(TH!M417,2)="15"),'152-CT'!$J$8=TH!F417),"x","")</f>
        <v/>
      </c>
      <c r="X417" s="52" t="str">
        <f>IF(AND(OR(LEFT(TH!L417,2)="15",LEFT(TH!M417,2)="15"),TK!$E$7=TH!F417),"x","")</f>
        <v/>
      </c>
      <c r="Y417" s="52" t="str">
        <f>IF(AND(B417&lt;=NKC!$N$8,B417&gt;=NKC!$M$8),"x","")</f>
        <v/>
      </c>
      <c r="AA417" s="587"/>
      <c r="AB417" s="587"/>
    </row>
    <row r="418" spans="1:28" s="208" customFormat="1" ht="15.75" customHeight="1">
      <c r="A418" s="201" t="str">
        <f>IF(B418&lt;&gt;"",IF(AND(B418&gt;=_TM1,B418&lt;=_TM2,OR(TH!L418="1111",TH!M418="1111")),TH!D418,""),"")</f>
        <v/>
      </c>
      <c r="B418" s="36">
        <f t="shared" si="18"/>
        <v>6</v>
      </c>
      <c r="C418" s="188">
        <f t="shared" si="19"/>
        <v>41432</v>
      </c>
      <c r="D418" s="181" t="s">
        <v>1043</v>
      </c>
      <c r="E418" s="188">
        <v>41432</v>
      </c>
      <c r="F418" s="189" t="s">
        <v>811</v>
      </c>
      <c r="G418" s="480" t="s">
        <v>809</v>
      </c>
      <c r="H418" s="7" t="s">
        <v>510</v>
      </c>
      <c r="I418" s="249">
        <v>141</v>
      </c>
      <c r="J418" s="249">
        <v>11000</v>
      </c>
      <c r="K418" s="38">
        <f>ROUND(I418*J418,0)</f>
        <v>1551000</v>
      </c>
      <c r="L418" s="191" t="s">
        <v>262</v>
      </c>
      <c r="M418" s="191" t="s">
        <v>172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IF(OR(TH!L418=TH!$U$7,M418=TH!$U$7),"x","")</f>
        <v/>
      </c>
      <c r="V418" s="52" t="str">
        <f>IF(AND(B418&gt;='IN-NX'!$P$3,B418&lt;='IN-NX'!$Q$3,'IN-NX'!$D$7=D418,OR(LEFT(L418,2)="15",AND(LEFT(M418,2)&lt;&gt;"15",LEFT(M418,2)&lt;&gt;"33"))),"x","")</f>
        <v/>
      </c>
      <c r="W418" s="52" t="str">
        <f>IF(AND(OR(LEFT(TH!L418,2)="15",LEFT(TH!M418,2)="15"),'152-CT'!$J$8=TH!F418),"x","")</f>
        <v/>
      </c>
      <c r="X418" s="52" t="str">
        <f>IF(AND(OR(LEFT(TH!L418,2)="15",LEFT(TH!M418,2)="15"),TK!$E$7=TH!F418),"x","")</f>
        <v/>
      </c>
      <c r="Y418" s="52" t="str">
        <f>IF(AND(B418&lt;=NKC!$N$8,B418&gt;=NKC!$M$8),"x","")</f>
        <v/>
      </c>
      <c r="AA418" s="587"/>
      <c r="AB418" s="587"/>
    </row>
    <row r="419" spans="1:28" s="208" customFormat="1" ht="15.75" customHeight="1">
      <c r="A419" s="201" t="str">
        <f>IF(B419&lt;&gt;"",IF(AND(B419&gt;=_TM1,B419&lt;=_TM2,OR(TH!L419="1111",TH!M419="1111")),TH!D419,""),"")</f>
        <v/>
      </c>
      <c r="B419" s="36">
        <f t="shared" si="18"/>
        <v>6</v>
      </c>
      <c r="C419" s="188">
        <f t="shared" si="19"/>
        <v>41432</v>
      </c>
      <c r="D419" s="181" t="s">
        <v>1043</v>
      </c>
      <c r="E419" s="188">
        <v>41432</v>
      </c>
      <c r="F419" s="189" t="s">
        <v>693</v>
      </c>
      <c r="G419" s="480" t="s">
        <v>809</v>
      </c>
      <c r="H419" s="7" t="s">
        <v>510</v>
      </c>
      <c r="I419" s="249"/>
      <c r="J419" s="249"/>
      <c r="K419" s="38">
        <v>628495</v>
      </c>
      <c r="L419" s="191" t="s">
        <v>262</v>
      </c>
      <c r="M419" s="191" t="s">
        <v>425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IF(OR(TH!L419=TH!$U$7,M419=TH!$U$7),"x","")</f>
        <v/>
      </c>
      <c r="V419" s="52" t="str">
        <f>IF(AND(B419&gt;='IN-NX'!$P$3,B419&lt;='IN-NX'!$Q$3,'IN-NX'!$D$7=D419,OR(LEFT(L419,2)="15",AND(LEFT(M419,2)&lt;&gt;"15",LEFT(M419,2)&lt;&gt;"33"))),"x","")</f>
        <v/>
      </c>
      <c r="W419" s="52" t="str">
        <f>IF(AND(OR(LEFT(TH!L419,2)="15",LEFT(TH!M419,2)="15"),'152-CT'!$J$8=TH!F419),"x","")</f>
        <v/>
      </c>
      <c r="X419" s="52" t="str">
        <f>IF(AND(OR(LEFT(TH!L419,2)="15",LEFT(TH!M419,2)="15"),TK!$E$7=TH!F419),"x","")</f>
        <v/>
      </c>
      <c r="Y419" s="52" t="str">
        <f>IF(AND(B419&lt;=NKC!$N$8,B419&gt;=NKC!$M$8),"x","")</f>
        <v/>
      </c>
      <c r="AA419" s="587" t="str">
        <f>IF(VLOOKUP(H419,DS_131,1,0)&lt;&gt;"","","x")</f>
        <v/>
      </c>
      <c r="AB419" s="587"/>
    </row>
    <row r="420" spans="1:28" s="587" customFormat="1" ht="15.75" customHeight="1">
      <c r="A420" s="201" t="str">
        <f>IF(B420&lt;&gt;"",IF(AND(B420&gt;=_TM1,B420&lt;=_TM2,OR(TH!L420="1111",TH!M420="1111")),TH!D420,""),"")</f>
        <v/>
      </c>
      <c r="B420" s="36">
        <f t="shared" si="18"/>
        <v>6</v>
      </c>
      <c r="C420" s="188">
        <f t="shared" si="19"/>
        <v>41432</v>
      </c>
      <c r="D420" s="181" t="s">
        <v>1044</v>
      </c>
      <c r="E420" s="188">
        <v>41432</v>
      </c>
      <c r="F420" s="189" t="s">
        <v>1114</v>
      </c>
      <c r="G420" s="480" t="s">
        <v>812</v>
      </c>
      <c r="H420" s="7" t="s">
        <v>499</v>
      </c>
      <c r="I420" s="249">
        <v>305</v>
      </c>
      <c r="J420" s="249">
        <v>5711</v>
      </c>
      <c r="K420" s="38">
        <f>ROUND(I420*J420,0)</f>
        <v>1741855</v>
      </c>
      <c r="L420" s="191" t="s">
        <v>262</v>
      </c>
      <c r="M420" s="191" t="s">
        <v>172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IF(OR(TH!L420=TH!$U$7,M420=TH!$U$7),"x","")</f>
        <v/>
      </c>
      <c r="V420" s="52" t="str">
        <f>IF(AND(B420&gt;='IN-NX'!$P$3,B420&lt;='IN-NX'!$Q$3,'IN-NX'!$D$7=D420,OR(LEFT(L420,2)="15",AND(LEFT(M420,2)&lt;&gt;"15",LEFT(M420,2)&lt;&gt;"33"))),"x","")</f>
        <v/>
      </c>
      <c r="W420" s="52" t="str">
        <f>IF(AND(OR(LEFT(TH!L420,2)="15",LEFT(TH!M420,2)="15"),'152-CT'!$J$8=TH!F420),"x","")</f>
        <v/>
      </c>
      <c r="X420" s="52" t="str">
        <f>IF(AND(OR(LEFT(TH!L420,2)="15",LEFT(TH!M420,2)="15"),TK!$E$7=TH!F420),"x","")</f>
        <v/>
      </c>
      <c r="Y420" s="52" t="str">
        <f>IF(AND(B420&lt;=NKC!$N$8,B420&gt;=NKC!$M$8),"x","")</f>
        <v/>
      </c>
      <c r="Z420" s="208"/>
      <c r="AB420" s="195"/>
    </row>
    <row r="421" spans="1:28" s="587" customFormat="1" ht="15.75" customHeight="1">
      <c r="A421" s="201" t="str">
        <f>IF(B421&lt;&gt;"",IF(AND(B421&gt;=_TM1,B421&lt;=_TM2,OR(TH!L421="1111",TH!M421="1111")),TH!D421,""),"")</f>
        <v/>
      </c>
      <c r="B421" s="36">
        <f t="shared" si="18"/>
        <v>6</v>
      </c>
      <c r="C421" s="188">
        <f t="shared" si="19"/>
        <v>41432</v>
      </c>
      <c r="D421" s="181" t="s">
        <v>1044</v>
      </c>
      <c r="E421" s="188">
        <v>41432</v>
      </c>
      <c r="F421" s="189" t="s">
        <v>777</v>
      </c>
      <c r="G421" s="480" t="s">
        <v>812</v>
      </c>
      <c r="H421" s="7" t="s">
        <v>499</v>
      </c>
      <c r="I421" s="249">
        <v>318</v>
      </c>
      <c r="J421" s="249">
        <v>6665</v>
      </c>
      <c r="K421" s="38">
        <f>ROUND(I421*J421,0)</f>
        <v>2119470</v>
      </c>
      <c r="L421" s="191" t="s">
        <v>262</v>
      </c>
      <c r="M421" s="191" t="s">
        <v>172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IF(OR(TH!L421=TH!$U$7,M421=TH!$U$7),"x","")</f>
        <v/>
      </c>
      <c r="V421" s="52" t="str">
        <f>IF(AND(B421&gt;='IN-NX'!$P$3,B421&lt;='IN-NX'!$Q$3,'IN-NX'!$D$7=D421,OR(LEFT(L421,2)="15",AND(LEFT(M421,2)&lt;&gt;"15",LEFT(M421,2)&lt;&gt;"33"))),"x","")</f>
        <v/>
      </c>
      <c r="W421" s="52" t="str">
        <f>IF(AND(OR(LEFT(TH!L421,2)="15",LEFT(TH!M421,2)="15"),'152-CT'!$J$8=TH!F421),"x","")</f>
        <v/>
      </c>
      <c r="X421" s="52" t="str">
        <f>IF(AND(OR(LEFT(TH!L421,2)="15",LEFT(TH!M421,2)="15"),TK!$E$7=TH!F421),"x","")</f>
        <v/>
      </c>
      <c r="Y421" s="52" t="str">
        <f>IF(AND(B421&lt;=NKC!$N$8,B421&gt;=NKC!$M$8),"x","")</f>
        <v/>
      </c>
      <c r="Z421" s="208"/>
      <c r="AB421" s="195"/>
    </row>
    <row r="422" spans="1:28" s="587" customFormat="1" ht="15.75" customHeight="1">
      <c r="A422" s="201" t="str">
        <f>IF(B422&lt;&gt;"",IF(AND(B422&gt;=_TM1,B422&lt;=_TM2,OR(TH!L422="1111",TH!M422="1111")),TH!D422,""),"")</f>
        <v/>
      </c>
      <c r="B422" s="36">
        <f t="shared" si="18"/>
        <v>6</v>
      </c>
      <c r="C422" s="188">
        <f t="shared" si="19"/>
        <v>41432</v>
      </c>
      <c r="D422" s="181" t="s">
        <v>1044</v>
      </c>
      <c r="E422" s="188">
        <v>41432</v>
      </c>
      <c r="F422" s="189" t="s">
        <v>813</v>
      </c>
      <c r="G422" s="480" t="s">
        <v>812</v>
      </c>
      <c r="H422" s="7" t="s">
        <v>499</v>
      </c>
      <c r="I422" s="249">
        <v>296</v>
      </c>
      <c r="J422" s="249">
        <v>4629</v>
      </c>
      <c r="K422" s="38">
        <f>ROUND(I422*J422,0)</f>
        <v>1370184</v>
      </c>
      <c r="L422" s="191" t="s">
        <v>262</v>
      </c>
      <c r="M422" s="191" t="s">
        <v>172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IF(OR(TH!L422=TH!$U$7,M422=TH!$U$7),"x","")</f>
        <v/>
      </c>
      <c r="V422" s="52" t="str">
        <f>IF(AND(B422&gt;='IN-NX'!$P$3,B422&lt;='IN-NX'!$Q$3,'IN-NX'!$D$7=D422,OR(LEFT(L422,2)="15",AND(LEFT(M422,2)&lt;&gt;"15",LEFT(M422,2)&lt;&gt;"33"))),"x","")</f>
        <v/>
      </c>
      <c r="W422" s="52" t="str">
        <f>IF(AND(OR(LEFT(TH!L422,2)="15",LEFT(TH!M422,2)="15"),'152-CT'!$J$8=TH!F422),"x","")</f>
        <v/>
      </c>
      <c r="X422" s="52" t="str">
        <f>IF(AND(OR(LEFT(TH!L422,2)="15",LEFT(TH!M422,2)="15"),TK!$E$7=TH!F422),"x","")</f>
        <v/>
      </c>
      <c r="Y422" s="52" t="str">
        <f>IF(AND(B422&lt;=NKC!$N$8,B422&gt;=NKC!$M$8),"x","")</f>
        <v/>
      </c>
      <c r="Z422" s="208"/>
      <c r="AB422" s="195"/>
    </row>
    <row r="423" spans="1:28" s="587" customFormat="1" ht="15.75" customHeight="1">
      <c r="A423" s="201" t="str">
        <f>IF(B423&lt;&gt;"",IF(AND(B423&gt;=_TM1,B423&lt;=_TM2,OR(TH!L423="1111",TH!M423="1111")),TH!D423,""),"")</f>
        <v/>
      </c>
      <c r="B423" s="36">
        <f t="shared" si="18"/>
        <v>6</v>
      </c>
      <c r="C423" s="188">
        <f t="shared" si="19"/>
        <v>41432</v>
      </c>
      <c r="D423" s="181" t="s">
        <v>1044</v>
      </c>
      <c r="E423" s="188">
        <v>41432</v>
      </c>
      <c r="F423" s="189" t="s">
        <v>1105</v>
      </c>
      <c r="G423" s="480" t="s">
        <v>812</v>
      </c>
      <c r="H423" s="7" t="s">
        <v>499</v>
      </c>
      <c r="I423" s="249">
        <v>510</v>
      </c>
      <c r="J423" s="249">
        <v>5238</v>
      </c>
      <c r="K423" s="38">
        <f>ROUND(I423*J423,0)</f>
        <v>2671380</v>
      </c>
      <c r="L423" s="191" t="s">
        <v>262</v>
      </c>
      <c r="M423" s="191" t="s">
        <v>172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IF(OR(TH!L423=TH!$U$7,M423=TH!$U$7),"x","")</f>
        <v/>
      </c>
      <c r="V423" s="52" t="str">
        <f>IF(AND(B423&gt;='IN-NX'!$P$3,B423&lt;='IN-NX'!$Q$3,'IN-NX'!$D$7=D423,OR(LEFT(L423,2)="15",AND(LEFT(M423,2)&lt;&gt;"15",LEFT(M423,2)&lt;&gt;"33"))),"x","")</f>
        <v/>
      </c>
      <c r="W423" s="52" t="str">
        <f>IF(AND(OR(LEFT(TH!L423,2)="15",LEFT(TH!M423,2)="15"),'152-CT'!$J$8=TH!F423),"x","")</f>
        <v/>
      </c>
      <c r="X423" s="52" t="str">
        <f>IF(AND(OR(LEFT(TH!L423,2)="15",LEFT(TH!M423,2)="15"),TK!$E$7=TH!F423),"x","")</f>
        <v/>
      </c>
      <c r="Y423" s="52" t="str">
        <f>IF(AND(B423&lt;=NKC!$N$8,B423&gt;=NKC!$M$8),"x","")</f>
        <v/>
      </c>
      <c r="Z423" s="208"/>
      <c r="AB423" s="195"/>
    </row>
    <row r="424" spans="1:28" s="587" customFormat="1" ht="15.75" customHeight="1">
      <c r="A424" s="201" t="str">
        <f>IF(B424&lt;&gt;"",IF(AND(B424&gt;=_TM1,B424&lt;=_TM2,OR(TH!L424="1111",TH!M424="1111")),TH!D424,""),"")</f>
        <v/>
      </c>
      <c r="B424" s="36">
        <f t="shared" si="18"/>
        <v>6</v>
      </c>
      <c r="C424" s="188">
        <f t="shared" si="19"/>
        <v>41432</v>
      </c>
      <c r="D424" s="181" t="s">
        <v>1044</v>
      </c>
      <c r="E424" s="188">
        <v>41432</v>
      </c>
      <c r="F424" s="189" t="s">
        <v>693</v>
      </c>
      <c r="G424" s="189" t="s">
        <v>812</v>
      </c>
      <c r="H424" s="7" t="s">
        <v>499</v>
      </c>
      <c r="I424" s="249"/>
      <c r="J424" s="249"/>
      <c r="K424" s="38">
        <v>790289</v>
      </c>
      <c r="L424" s="191" t="s">
        <v>262</v>
      </c>
      <c r="M424" s="191" t="s">
        <v>425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IF(OR(TH!L424=TH!$U$7,M424=TH!$U$7),"x","")</f>
        <v/>
      </c>
      <c r="V424" s="52" t="str">
        <f>IF(AND(B424&gt;='IN-NX'!$P$3,B424&lt;='IN-NX'!$Q$3,'IN-NX'!$D$7=D424,OR(LEFT(L424,2)="15",AND(LEFT(M424,2)&lt;&gt;"15",LEFT(M424,2)&lt;&gt;"33"))),"x","")</f>
        <v/>
      </c>
      <c r="W424" s="52" t="str">
        <f>IF(AND(OR(LEFT(TH!L424,2)="15",LEFT(TH!M424,2)="15"),'152-CT'!$J$8=TH!F424),"x","")</f>
        <v/>
      </c>
      <c r="X424" s="52" t="str">
        <f>IF(AND(OR(LEFT(TH!L424,2)="15",LEFT(TH!M424,2)="15"),TK!$E$7=TH!F424),"x","")</f>
        <v/>
      </c>
      <c r="Y424" s="52" t="str">
        <f>IF(AND(B424&lt;=NKC!$N$8,B424&gt;=NKC!$M$8),"x","")</f>
        <v/>
      </c>
      <c r="Z424" s="208"/>
      <c r="AA424" s="587" t="str">
        <f>IF(VLOOKUP(H424,DS_131,1,0)&lt;&gt;"","","x")</f>
        <v/>
      </c>
      <c r="AB424" s="195"/>
    </row>
    <row r="425" spans="1:28" s="587" customFormat="1" ht="15.75" customHeight="1">
      <c r="A425" s="201" t="str">
        <f>IF(B425&lt;&gt;"",IF(AND(B425&gt;=_TM1,B425&lt;=_TM2,OR(TH!L425="1111",TH!M425="1111")),TH!D425,""),"")</f>
        <v/>
      </c>
      <c r="B425" s="36">
        <f t="shared" si="18"/>
        <v>6</v>
      </c>
      <c r="C425" s="188">
        <f t="shared" si="19"/>
        <v>41435</v>
      </c>
      <c r="D425" s="181" t="s">
        <v>1045</v>
      </c>
      <c r="E425" s="188">
        <v>41435</v>
      </c>
      <c r="F425" s="189" t="s">
        <v>814</v>
      </c>
      <c r="G425" s="189" t="s">
        <v>815</v>
      </c>
      <c r="H425" s="7" t="s">
        <v>816</v>
      </c>
      <c r="I425" s="249">
        <v>204</v>
      </c>
      <c r="J425" s="249">
        <v>19000</v>
      </c>
      <c r="K425" s="38">
        <f>ROUND(I425*J425,0)</f>
        <v>3876000</v>
      </c>
      <c r="L425" s="191" t="s">
        <v>262</v>
      </c>
      <c r="M425" s="191" t="s">
        <v>172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IF(OR(TH!L425=TH!$U$7,M425=TH!$U$7),"x","")</f>
        <v/>
      </c>
      <c r="V425" s="52" t="str">
        <f>IF(AND(B425&gt;='IN-NX'!$P$3,B425&lt;='IN-NX'!$Q$3,'IN-NX'!$D$7=D425,OR(LEFT(L425,2)="15",AND(LEFT(M425,2)&lt;&gt;"15",LEFT(M425,2)&lt;&gt;"33"))),"x","")</f>
        <v/>
      </c>
      <c r="W425" s="52" t="str">
        <f>IF(AND(OR(LEFT(TH!L425,2)="15",LEFT(TH!M425,2)="15"),'152-CT'!$J$8=TH!F425),"x","")</f>
        <v/>
      </c>
      <c r="X425" s="52" t="str">
        <f>IF(AND(OR(LEFT(TH!L425,2)="15",LEFT(TH!M425,2)="15"),TK!$E$7=TH!F425),"x","")</f>
        <v/>
      </c>
      <c r="Y425" s="52" t="str">
        <f>IF(AND(B425&lt;=NKC!$N$8,B425&gt;=NKC!$M$8),"x","")</f>
        <v/>
      </c>
      <c r="Z425" s="208"/>
      <c r="AB425" s="195"/>
    </row>
    <row r="426" spans="1:28" s="587" customFormat="1" ht="15.75" customHeight="1">
      <c r="A426" s="201" t="str">
        <f>IF(B426&lt;&gt;"",IF(AND(B426&gt;=_TM1,B426&lt;=_TM2,OR(TH!L426="1111",TH!M426="1111")),TH!D426,""),"")</f>
        <v/>
      </c>
      <c r="B426" s="36">
        <f t="shared" si="18"/>
        <v>6</v>
      </c>
      <c r="C426" s="188">
        <f t="shared" si="19"/>
        <v>41435</v>
      </c>
      <c r="D426" s="181" t="s">
        <v>1045</v>
      </c>
      <c r="E426" s="188">
        <v>41435</v>
      </c>
      <c r="F426" s="189" t="s">
        <v>693</v>
      </c>
      <c r="G426" s="480" t="s">
        <v>815</v>
      </c>
      <c r="H426" s="7" t="s">
        <v>816</v>
      </c>
      <c r="I426" s="249"/>
      <c r="J426" s="249"/>
      <c r="K426" s="38">
        <v>387600</v>
      </c>
      <c r="L426" s="191" t="s">
        <v>262</v>
      </c>
      <c r="M426" s="191" t="s">
        <v>425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IF(OR(TH!L426=TH!$U$7,M426=TH!$U$7),"x","")</f>
        <v/>
      </c>
      <c r="V426" s="52" t="str">
        <f>IF(AND(B426&gt;='IN-NX'!$P$3,B426&lt;='IN-NX'!$Q$3,'IN-NX'!$D$7=D426,OR(LEFT(L426,2)="15",AND(LEFT(M426,2)&lt;&gt;"15",LEFT(M426,2)&lt;&gt;"33"))),"x","")</f>
        <v/>
      </c>
      <c r="W426" s="52" t="str">
        <f>IF(AND(OR(LEFT(TH!L426,2)="15",LEFT(TH!M426,2)="15"),'152-CT'!$J$8=TH!F426),"x","")</f>
        <v/>
      </c>
      <c r="X426" s="52" t="str">
        <f>IF(AND(OR(LEFT(TH!L426,2)="15",LEFT(TH!M426,2)="15"),TK!$E$7=TH!F426),"x","")</f>
        <v/>
      </c>
      <c r="Y426" s="52" t="str">
        <f>IF(AND(B426&lt;=NKC!$N$8,B426&gt;=NKC!$M$8),"x","")</f>
        <v/>
      </c>
      <c r="Z426" s="208"/>
      <c r="AA426" s="587" t="str">
        <f>IF(VLOOKUP(H426,DS_131,1,0)&lt;&gt;"","","x")</f>
        <v/>
      </c>
      <c r="AB426" s="195"/>
    </row>
    <row r="427" spans="1:28" s="208" customFormat="1" ht="15.75" customHeight="1">
      <c r="A427" s="201" t="str">
        <f>IF(B427&lt;&gt;"",IF(AND(B427&gt;=_TM1,B427&lt;=_TM2,OR(TH!L427="1111",TH!M427="1111")),TH!D427,""),"")</f>
        <v/>
      </c>
      <c r="B427" s="36">
        <f t="shared" si="18"/>
        <v>6</v>
      </c>
      <c r="C427" s="188">
        <f t="shared" si="19"/>
        <v>41436</v>
      </c>
      <c r="D427" s="181" t="s">
        <v>1046</v>
      </c>
      <c r="E427" s="188">
        <v>41436</v>
      </c>
      <c r="F427" s="189" t="s">
        <v>1105</v>
      </c>
      <c r="G427" s="480" t="s">
        <v>817</v>
      </c>
      <c r="H427" s="7" t="s">
        <v>499</v>
      </c>
      <c r="I427" s="249">
        <v>157</v>
      </c>
      <c r="J427" s="249">
        <v>5238</v>
      </c>
      <c r="K427" s="38">
        <f>ROUND(I427*J427,0)</f>
        <v>822366</v>
      </c>
      <c r="L427" s="191" t="s">
        <v>262</v>
      </c>
      <c r="M427" s="191" t="s">
        <v>172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IF(OR(TH!L427=TH!$U$7,M427=TH!$U$7),"x","")</f>
        <v/>
      </c>
      <c r="V427" s="52" t="str">
        <f>IF(AND(B427&gt;='IN-NX'!$P$3,B427&lt;='IN-NX'!$Q$3,'IN-NX'!$D$7=D427,OR(LEFT(L427,2)="15",AND(LEFT(M427,2)&lt;&gt;"15",LEFT(M427,2)&lt;&gt;"33"))),"x","")</f>
        <v/>
      </c>
      <c r="W427" s="52" t="str">
        <f>IF(AND(OR(LEFT(TH!L427,2)="15",LEFT(TH!M427,2)="15"),'152-CT'!$J$8=TH!F427),"x","")</f>
        <v/>
      </c>
      <c r="X427" s="52" t="str">
        <f>IF(AND(OR(LEFT(TH!L427,2)="15",LEFT(TH!M427,2)="15"),TK!$E$7=TH!F427),"x","")</f>
        <v/>
      </c>
      <c r="Y427" s="52" t="str">
        <f>IF(AND(B427&lt;=NKC!$N$8,B427&gt;=NKC!$M$8),"x","")</f>
        <v/>
      </c>
      <c r="AA427" s="587"/>
      <c r="AB427" s="195"/>
    </row>
    <row r="428" spans="1:28" s="208" customFormat="1" ht="15.75" customHeight="1">
      <c r="A428" s="201" t="str">
        <f>IF(B428&lt;&gt;"",IF(AND(B428&gt;=_TM1,B428&lt;=_TM2,OR(TH!L428="1111",TH!M428="1111")),TH!D428,""),"")</f>
        <v/>
      </c>
      <c r="B428" s="36">
        <f t="shared" si="18"/>
        <v>6</v>
      </c>
      <c r="C428" s="188">
        <f t="shared" si="19"/>
        <v>41436</v>
      </c>
      <c r="D428" s="181" t="s">
        <v>1046</v>
      </c>
      <c r="E428" s="188">
        <v>41436</v>
      </c>
      <c r="F428" s="189" t="s">
        <v>693</v>
      </c>
      <c r="G428" s="480" t="s">
        <v>817</v>
      </c>
      <c r="H428" s="7" t="s">
        <v>499</v>
      </c>
      <c r="I428" s="249"/>
      <c r="J428" s="249"/>
      <c r="K428" s="38">
        <v>82237</v>
      </c>
      <c r="L428" s="191" t="s">
        <v>262</v>
      </c>
      <c r="M428" s="191" t="s">
        <v>425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IF(OR(TH!L428=TH!$U$7,M428=TH!$U$7),"x","")</f>
        <v/>
      </c>
      <c r="V428" s="52" t="str">
        <f>IF(AND(B428&gt;='IN-NX'!$P$3,B428&lt;='IN-NX'!$Q$3,'IN-NX'!$D$7=D428,OR(LEFT(L428,2)="15",AND(LEFT(M428,2)&lt;&gt;"15",LEFT(M428,2)&lt;&gt;"33"))),"x","")</f>
        <v/>
      </c>
      <c r="W428" s="52" t="str">
        <f>IF(AND(OR(LEFT(TH!L428,2)="15",LEFT(TH!M428,2)="15"),'152-CT'!$J$8=TH!F428),"x","")</f>
        <v/>
      </c>
      <c r="X428" s="52" t="str">
        <f>IF(AND(OR(LEFT(TH!L428,2)="15",LEFT(TH!M428,2)="15"),TK!$E$7=TH!F428),"x","")</f>
        <v/>
      </c>
      <c r="Y428" s="52" t="str">
        <f>IF(AND(B428&lt;=NKC!$N$8,B428&gt;=NKC!$M$8),"x","")</f>
        <v/>
      </c>
      <c r="AA428" s="587" t="str">
        <f>IF(VLOOKUP(H428,DS_131,1,0)&lt;&gt;"","","x")</f>
        <v/>
      </c>
      <c r="AB428" s="195"/>
    </row>
    <row r="429" spans="1:28" s="208" customFormat="1" ht="15.75" customHeight="1">
      <c r="A429" s="201" t="str">
        <f>IF(B429&lt;&gt;"",IF(AND(B429&gt;=_TM1,B429&lt;=_TM2,OR(TH!L429="1111",TH!M429="1111")),TH!D429,""),"")</f>
        <v/>
      </c>
      <c r="B429" s="36">
        <f t="shared" si="18"/>
        <v>6</v>
      </c>
      <c r="C429" s="188">
        <f t="shared" si="19"/>
        <v>41436</v>
      </c>
      <c r="D429" s="181" t="s">
        <v>1047</v>
      </c>
      <c r="E429" s="188">
        <v>41436</v>
      </c>
      <c r="F429" s="189" t="s">
        <v>818</v>
      </c>
      <c r="G429" s="480" t="s">
        <v>819</v>
      </c>
      <c r="H429" s="7" t="s">
        <v>499</v>
      </c>
      <c r="I429" s="249">
        <v>222</v>
      </c>
      <c r="J429" s="249">
        <v>14959</v>
      </c>
      <c r="K429" s="38">
        <f>ROUND(I429*J429,0)</f>
        <v>3320898</v>
      </c>
      <c r="L429" s="191" t="s">
        <v>262</v>
      </c>
      <c r="M429" s="191" t="s">
        <v>172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IF(OR(TH!L429=TH!$U$7,M429=TH!$U$7),"x","")</f>
        <v/>
      </c>
      <c r="V429" s="52" t="str">
        <f>IF(AND(B429&gt;='IN-NX'!$P$3,B429&lt;='IN-NX'!$Q$3,'IN-NX'!$D$7=D429,OR(LEFT(L429,2)="15",AND(LEFT(M429,2)&lt;&gt;"15",LEFT(M429,2)&lt;&gt;"33"))),"x","")</f>
        <v/>
      </c>
      <c r="W429" s="52" t="str">
        <f>IF(AND(OR(LEFT(TH!L429,2)="15",LEFT(TH!M429,2)="15"),'152-CT'!$J$8=TH!F429),"x","")</f>
        <v/>
      </c>
      <c r="X429" s="52" t="str">
        <f>IF(AND(OR(LEFT(TH!L429,2)="15",LEFT(TH!M429,2)="15"),TK!$E$7=TH!F429),"x","")</f>
        <v/>
      </c>
      <c r="Y429" s="52" t="str">
        <f>IF(AND(B429&lt;=NKC!$N$8,B429&gt;=NKC!$M$8),"x","")</f>
        <v/>
      </c>
      <c r="AA429" s="587"/>
      <c r="AB429" s="587"/>
    </row>
    <row r="430" spans="1:28" s="208" customFormat="1" ht="15.75" customHeight="1">
      <c r="A430" s="201" t="str">
        <f>IF(B430&lt;&gt;"",IF(AND(B430&gt;=_TM1,B430&lt;=_TM2,OR(TH!L430="1111",TH!M430="1111")),TH!D430,""),"")</f>
        <v/>
      </c>
      <c r="B430" s="36">
        <f t="shared" si="18"/>
        <v>6</v>
      </c>
      <c r="C430" s="188">
        <f t="shared" si="19"/>
        <v>41436</v>
      </c>
      <c r="D430" s="181" t="s">
        <v>1047</v>
      </c>
      <c r="E430" s="188">
        <v>41436</v>
      </c>
      <c r="F430" s="189" t="s">
        <v>693</v>
      </c>
      <c r="G430" s="480" t="s">
        <v>819</v>
      </c>
      <c r="H430" s="7" t="s">
        <v>499</v>
      </c>
      <c r="I430" s="249"/>
      <c r="J430" s="249"/>
      <c r="K430" s="38">
        <v>332090</v>
      </c>
      <c r="L430" s="191" t="s">
        <v>262</v>
      </c>
      <c r="M430" s="191" t="s">
        <v>425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IF(OR(TH!L430=TH!$U$7,M430=TH!$U$7),"x","")</f>
        <v/>
      </c>
      <c r="V430" s="52" t="str">
        <f>IF(AND(B430&gt;='IN-NX'!$P$3,B430&lt;='IN-NX'!$Q$3,'IN-NX'!$D$7=D430,OR(LEFT(L430,2)="15",AND(LEFT(M430,2)&lt;&gt;"15",LEFT(M430,2)&lt;&gt;"33"))),"x","")</f>
        <v/>
      </c>
      <c r="W430" s="52" t="str">
        <f>IF(AND(OR(LEFT(TH!L430,2)="15",LEFT(TH!M430,2)="15"),'152-CT'!$J$8=TH!F430),"x","")</f>
        <v/>
      </c>
      <c r="X430" s="52" t="str">
        <f>IF(AND(OR(LEFT(TH!L430,2)="15",LEFT(TH!M430,2)="15"),TK!$E$7=TH!F430),"x","")</f>
        <v/>
      </c>
      <c r="Y430" s="52" t="str">
        <f>IF(AND(B430&lt;=NKC!$N$8,B430&gt;=NKC!$M$8),"x","")</f>
        <v/>
      </c>
      <c r="AA430" s="587" t="str">
        <f>IF(VLOOKUP(H430,DS_131,1,0)&lt;&gt;"","","x")</f>
        <v/>
      </c>
      <c r="AB430" s="587"/>
    </row>
    <row r="431" spans="1:28" s="208" customFormat="1" ht="15.75" customHeight="1">
      <c r="A431" s="201" t="str">
        <f>IF(B431&lt;&gt;"",IF(AND(B431&gt;=_TM1,B431&lt;=_TM2,OR(TH!L431="1111",TH!M431="1111")),TH!D431,""),"")</f>
        <v/>
      </c>
      <c r="B431" s="36">
        <f t="shared" si="18"/>
        <v>6</v>
      </c>
      <c r="C431" s="181">
        <f t="shared" si="19"/>
        <v>41443</v>
      </c>
      <c r="D431" s="181" t="s">
        <v>396</v>
      </c>
      <c r="E431" s="188">
        <v>41443</v>
      </c>
      <c r="F431" s="186" t="s">
        <v>383</v>
      </c>
      <c r="G431" s="657" t="s">
        <v>486</v>
      </c>
      <c r="H431" s="7" t="s">
        <v>487</v>
      </c>
      <c r="I431" s="250"/>
      <c r="J431" s="251"/>
      <c r="K431" s="38">
        <v>543634</v>
      </c>
      <c r="L431" s="596" t="s">
        <v>83</v>
      </c>
      <c r="M431" s="596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IF(OR(TH!L431=TH!$U$7,M431=TH!$U$7),"x","")</f>
        <v>x</v>
      </c>
      <c r="V431" s="52" t="str">
        <f>IF(AND(B431&gt;='IN-NX'!$P$3,B431&lt;='IN-NX'!$Q$3,'IN-NX'!$D$7=D431,OR(LEFT(L431,2)="15",AND(LEFT(M431,2)&lt;&gt;"15",LEFT(M431,2)&lt;&gt;"33"))),"x","")</f>
        <v/>
      </c>
      <c r="W431" s="52" t="str">
        <f>IF(AND(OR(LEFT(TH!L431,2)="15",LEFT(TH!M431,2)="15"),'152-CT'!$J$8=TH!F431),"x","")</f>
        <v/>
      </c>
      <c r="X431" s="52" t="str">
        <f>IF(AND(OR(LEFT(TH!L431,2)="15",LEFT(TH!M431,2)="15"),TK!$E$7=TH!F431),"x","")</f>
        <v/>
      </c>
      <c r="Y431" s="52" t="str">
        <f>IF(AND(B431&lt;=NKC!$N$8,B431&gt;=NKC!$M$8),"x","")</f>
        <v/>
      </c>
      <c r="Z431" s="587" t="s">
        <v>1301</v>
      </c>
      <c r="AA431" s="587"/>
      <c r="AB431" s="587"/>
    </row>
    <row r="432" spans="1:28" s="587" customFormat="1" ht="15.75" customHeight="1">
      <c r="A432" s="201" t="str">
        <f>IF(B432&lt;&gt;"",IF(AND(B432&gt;=_TM1,B432&lt;=_TM2,OR(TH!L432="1111",TH!M432="1111")),TH!D432,""),"")</f>
        <v/>
      </c>
      <c r="B432" s="36">
        <f t="shared" si="18"/>
        <v>6</v>
      </c>
      <c r="C432" s="181">
        <f t="shared" si="19"/>
        <v>41443</v>
      </c>
      <c r="D432" s="181" t="s">
        <v>396</v>
      </c>
      <c r="E432" s="188">
        <v>41443</v>
      </c>
      <c r="F432" s="186" t="s">
        <v>384</v>
      </c>
      <c r="G432" s="657" t="s">
        <v>486</v>
      </c>
      <c r="H432" s="7" t="s">
        <v>487</v>
      </c>
      <c r="I432" s="250"/>
      <c r="J432" s="251"/>
      <c r="K432" s="38">
        <v>54363</v>
      </c>
      <c r="L432" s="596" t="s">
        <v>9</v>
      </c>
      <c r="M432" s="596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IF(OR(TH!L432=TH!$U$7,M432=TH!$U$7),"x","")</f>
        <v/>
      </c>
      <c r="V432" s="52" t="str">
        <f>IF(AND(B432&gt;='IN-NX'!$P$3,B432&lt;='IN-NX'!$Q$3,'IN-NX'!$D$7=D432,OR(LEFT(L432,2)="15",AND(LEFT(M432,2)&lt;&gt;"15",LEFT(M432,2)&lt;&gt;"33"))),"x","")</f>
        <v/>
      </c>
      <c r="W432" s="52" t="str">
        <f>IF(AND(OR(LEFT(TH!L432,2)="15",LEFT(TH!M432,2)="15"),'152-CT'!$J$8=TH!F432),"x","")</f>
        <v/>
      </c>
      <c r="X432" s="52" t="str">
        <f>IF(AND(OR(LEFT(TH!L432,2)="15",LEFT(TH!M432,2)="15"),TK!$E$7=TH!F432),"x","")</f>
        <v/>
      </c>
      <c r="Y432" s="52" t="str">
        <f>IF(AND(B432&lt;=NKC!$N$8,B432&gt;=NKC!$M$8),"x","")</f>
        <v/>
      </c>
      <c r="Z432" s="587" t="s">
        <v>1301</v>
      </c>
      <c r="AA432" s="797"/>
      <c r="AB432" s="797"/>
    </row>
    <row r="433" spans="1:28" s="587" customFormat="1" ht="15.75" customHeight="1">
      <c r="A433" s="201" t="str">
        <f>IF(B433&lt;&gt;"",IF(AND(B433&gt;=_TM1,B433&lt;=_TM2,OR(TH!L433="1111",TH!M433="1111")),TH!D433,""),"")</f>
        <v/>
      </c>
      <c r="B433" s="36">
        <f t="shared" si="18"/>
        <v>6</v>
      </c>
      <c r="C433" s="188">
        <f t="shared" si="19"/>
        <v>41443</v>
      </c>
      <c r="D433" s="181" t="s">
        <v>1048</v>
      </c>
      <c r="E433" s="188">
        <v>41443</v>
      </c>
      <c r="F433" s="189" t="s">
        <v>820</v>
      </c>
      <c r="G433" s="480" t="s">
        <v>821</v>
      </c>
      <c r="H433" s="7" t="s">
        <v>549</v>
      </c>
      <c r="I433" s="249">
        <v>494</v>
      </c>
      <c r="J433" s="249">
        <v>17200</v>
      </c>
      <c r="K433" s="38">
        <f>ROUND(I433*J433,0)</f>
        <v>8496800</v>
      </c>
      <c r="L433" s="191" t="s">
        <v>262</v>
      </c>
      <c r="M433" s="191" t="s">
        <v>172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IF(OR(TH!L433=TH!$U$7,M433=TH!$U$7),"x","")</f>
        <v/>
      </c>
      <c r="V433" s="52" t="str">
        <f>IF(AND(B433&gt;='IN-NX'!$P$3,B433&lt;='IN-NX'!$Q$3,'IN-NX'!$D$7=D433,OR(LEFT(L433,2)="15",AND(LEFT(M433,2)&lt;&gt;"15",LEFT(M433,2)&lt;&gt;"33"))),"x","")</f>
        <v/>
      </c>
      <c r="W433" s="52" t="str">
        <f>IF(AND(OR(LEFT(TH!L433,2)="15",LEFT(TH!M433,2)="15"),'152-CT'!$J$8=TH!F433),"x","")</f>
        <v/>
      </c>
      <c r="X433" s="52" t="str">
        <f>IF(AND(OR(LEFT(TH!L433,2)="15",LEFT(TH!M433,2)="15"),TK!$E$7=TH!F433),"x","")</f>
        <v/>
      </c>
      <c r="Y433" s="52" t="str">
        <f>IF(AND(B433&lt;=NKC!$N$8,B433&gt;=NKC!$M$8),"x","")</f>
        <v/>
      </c>
      <c r="Z433" s="208"/>
    </row>
    <row r="434" spans="1:28" s="587" customFormat="1" ht="15.75" customHeight="1">
      <c r="A434" s="201" t="str">
        <f>IF(B434&lt;&gt;"",IF(AND(B434&gt;=_TM1,B434&lt;=_TM2,OR(TH!L434="1111",TH!M434="1111")),TH!D434,""),"")</f>
        <v/>
      </c>
      <c r="B434" s="36">
        <f t="shared" si="18"/>
        <v>6</v>
      </c>
      <c r="C434" s="188">
        <f t="shared" si="19"/>
        <v>41443</v>
      </c>
      <c r="D434" s="181" t="s">
        <v>1048</v>
      </c>
      <c r="E434" s="188">
        <v>41443</v>
      </c>
      <c r="F434" s="189" t="s">
        <v>693</v>
      </c>
      <c r="G434" s="480" t="s">
        <v>821</v>
      </c>
      <c r="H434" s="7" t="s">
        <v>549</v>
      </c>
      <c r="I434" s="249"/>
      <c r="J434" s="249"/>
      <c r="K434" s="38">
        <v>849680</v>
      </c>
      <c r="L434" s="191" t="s">
        <v>262</v>
      </c>
      <c r="M434" s="191" t="s">
        <v>425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IF(OR(TH!L434=TH!$U$7,M434=TH!$U$7),"x","")</f>
        <v/>
      </c>
      <c r="V434" s="52" t="str">
        <f>IF(AND(B434&gt;='IN-NX'!$P$3,B434&lt;='IN-NX'!$Q$3,'IN-NX'!$D$7=D434,OR(LEFT(L434,2)="15",AND(LEFT(M434,2)&lt;&gt;"15",LEFT(M434,2)&lt;&gt;"33"))),"x","")</f>
        <v/>
      </c>
      <c r="W434" s="52" t="str">
        <f>IF(AND(OR(LEFT(TH!L434,2)="15",LEFT(TH!M434,2)="15"),'152-CT'!$J$8=TH!F434),"x","")</f>
        <v/>
      </c>
      <c r="X434" s="52" t="str">
        <f>IF(AND(OR(LEFT(TH!L434,2)="15",LEFT(TH!M434,2)="15"),TK!$E$7=TH!F434),"x","")</f>
        <v/>
      </c>
      <c r="Y434" s="52" t="str">
        <f>IF(AND(B434&lt;=NKC!$N$8,B434&gt;=NKC!$M$8),"x","")</f>
        <v/>
      </c>
      <c r="Z434" s="208"/>
      <c r="AA434" s="587" t="str">
        <f>IF(VLOOKUP(H434,DS_131,1,0)&lt;&gt;"","","x")</f>
        <v/>
      </c>
    </row>
    <row r="435" spans="1:28" s="587" customFormat="1" ht="15.75" customHeight="1">
      <c r="A435" s="201" t="str">
        <f>IF(B435&lt;&gt;"",IF(AND(B435&gt;=_TM1,B435&lt;=_TM2,OR(TH!L435="1111",TH!M435="1111")),TH!D435,""),"")</f>
        <v/>
      </c>
      <c r="B435" s="36">
        <f t="shared" si="18"/>
        <v>6</v>
      </c>
      <c r="C435" s="188">
        <f t="shared" si="19"/>
        <v>41444</v>
      </c>
      <c r="D435" s="181" t="s">
        <v>1049</v>
      </c>
      <c r="E435" s="188">
        <v>41444</v>
      </c>
      <c r="F435" s="189" t="s">
        <v>711</v>
      </c>
      <c r="G435" s="480" t="s">
        <v>822</v>
      </c>
      <c r="H435" s="190" t="s">
        <v>713</v>
      </c>
      <c r="I435" s="249">
        <v>402</v>
      </c>
      <c r="J435" s="249">
        <v>25000</v>
      </c>
      <c r="K435" s="38">
        <f>ROUND(I435*J435,0)</f>
        <v>10050000</v>
      </c>
      <c r="L435" s="191" t="s">
        <v>262</v>
      </c>
      <c r="M435" s="191" t="s">
        <v>172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IF(OR(TH!L435=TH!$U$7,M435=TH!$U$7),"x","")</f>
        <v/>
      </c>
      <c r="V435" s="52" t="str">
        <f>IF(AND(B435&gt;='IN-NX'!$P$3,B435&lt;='IN-NX'!$Q$3,'IN-NX'!$D$7=D435,OR(LEFT(L435,2)="15",AND(LEFT(M435,2)&lt;&gt;"15",LEFT(M435,2)&lt;&gt;"33"))),"x","")</f>
        <v/>
      </c>
      <c r="W435" s="52" t="str">
        <f>IF(AND(OR(LEFT(TH!L435,2)="15",LEFT(TH!M435,2)="15"),'152-CT'!$J$8=TH!F435),"x","")</f>
        <v/>
      </c>
      <c r="X435" s="52" t="str">
        <f>IF(AND(OR(LEFT(TH!L435,2)="15",LEFT(TH!M435,2)="15"),TK!$E$7=TH!F435),"x","")</f>
        <v/>
      </c>
      <c r="Y435" s="52" t="str">
        <f>IF(AND(B435&lt;=NKC!$N$8,B435&gt;=NKC!$M$8),"x","")</f>
        <v/>
      </c>
      <c r="Z435" s="208"/>
    </row>
    <row r="436" spans="1:28" s="587" customFormat="1" ht="15.75" customHeight="1">
      <c r="A436" s="201" t="str">
        <f>IF(B436&lt;&gt;"",IF(AND(B436&gt;=_TM1,B436&lt;=_TM2,OR(TH!L436="1111",TH!M436="1111")),TH!D436,""),"")</f>
        <v/>
      </c>
      <c r="B436" s="36">
        <f t="shared" si="18"/>
        <v>6</v>
      </c>
      <c r="C436" s="188">
        <f t="shared" si="19"/>
        <v>41444</v>
      </c>
      <c r="D436" s="181" t="s">
        <v>1049</v>
      </c>
      <c r="E436" s="188">
        <v>41444</v>
      </c>
      <c r="F436" s="189" t="s">
        <v>693</v>
      </c>
      <c r="G436" s="480" t="s">
        <v>822</v>
      </c>
      <c r="H436" s="190" t="s">
        <v>713</v>
      </c>
      <c r="I436" s="249"/>
      <c r="J436" s="249"/>
      <c r="K436" s="38">
        <v>1005000</v>
      </c>
      <c r="L436" s="191" t="s">
        <v>262</v>
      </c>
      <c r="M436" s="191" t="s">
        <v>425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IF(OR(TH!L436=TH!$U$7,M436=TH!$U$7),"x","")</f>
        <v/>
      </c>
      <c r="V436" s="52" t="str">
        <f>IF(AND(B436&gt;='IN-NX'!$P$3,B436&lt;='IN-NX'!$Q$3,'IN-NX'!$D$7=D436,OR(LEFT(L436,2)="15",AND(LEFT(M436,2)&lt;&gt;"15",LEFT(M436,2)&lt;&gt;"33"))),"x","")</f>
        <v/>
      </c>
      <c r="W436" s="52" t="str">
        <f>IF(AND(OR(LEFT(TH!L436,2)="15",LEFT(TH!M436,2)="15"),'152-CT'!$J$8=TH!F436),"x","")</f>
        <v/>
      </c>
      <c r="X436" s="52" t="str">
        <f>IF(AND(OR(LEFT(TH!L436,2)="15",LEFT(TH!M436,2)="15"),TK!$E$7=TH!F436),"x","")</f>
        <v/>
      </c>
      <c r="Y436" s="52" t="str">
        <f>IF(AND(B436&lt;=NKC!$N$8,B436&gt;=NKC!$M$8),"x","")</f>
        <v/>
      </c>
      <c r="Z436" s="208"/>
      <c r="AA436" s="587" t="str">
        <f>IF(VLOOKUP(H436,DS_131,1,0)&lt;&gt;"","","x")</f>
        <v/>
      </c>
    </row>
    <row r="437" spans="1:28" s="587" customFormat="1" ht="15.75" customHeight="1">
      <c r="A437" s="201" t="str">
        <f>IF(B437&lt;&gt;"",IF(AND(B437&gt;=_TM1,B437&lt;=_TM2,OR(TH!L437="1111",TH!M437="1111")),TH!D437,""),"")</f>
        <v/>
      </c>
      <c r="B437" s="36">
        <f t="shared" si="18"/>
        <v>6</v>
      </c>
      <c r="C437" s="188">
        <f t="shared" si="19"/>
        <v>41444</v>
      </c>
      <c r="D437" s="181" t="s">
        <v>1273</v>
      </c>
      <c r="E437" s="188">
        <v>41444</v>
      </c>
      <c r="F437" s="186" t="s">
        <v>337</v>
      </c>
      <c r="G437" s="480" t="s">
        <v>1312</v>
      </c>
      <c r="H437" s="190" t="s">
        <v>713</v>
      </c>
      <c r="I437" s="249"/>
      <c r="J437" s="249"/>
      <c r="K437" s="38">
        <v>18800980</v>
      </c>
      <c r="L437" s="191" t="s">
        <v>47</v>
      </c>
      <c r="M437" s="191" t="s">
        <v>262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IF(OR(TH!L437=TH!$U$7,M437=TH!$U$7),"x","")</f>
        <v/>
      </c>
      <c r="V437" s="52" t="str">
        <f>IF(AND(B437&gt;='IN-NX'!$P$3,B437&lt;='IN-NX'!$Q$3,'IN-NX'!$D$7=D437,OR(LEFT(L437,2)="15",AND(LEFT(M437,2)&lt;&gt;"15",LEFT(M437,2)&lt;&gt;"33"))),"x","")</f>
        <v/>
      </c>
      <c r="W437" s="52" t="str">
        <f>IF(AND(OR(LEFT(TH!L437,2)="15",LEFT(TH!M437,2)="15"),'152-CT'!$J$8=TH!F437),"x","")</f>
        <v/>
      </c>
      <c r="X437" s="52" t="str">
        <f>IF(AND(OR(LEFT(TH!L437,2)="15",LEFT(TH!M437,2)="15"),TK!$E$7=TH!F437),"x","")</f>
        <v/>
      </c>
      <c r="Y437" s="52" t="str">
        <f>IF(AND(B437&lt;=NKC!$N$8,B437&gt;=NKC!$M$8),"x","")</f>
        <v/>
      </c>
      <c r="Z437" s="208"/>
      <c r="AA437" s="587" t="str">
        <f>IF(VLOOKUP(H437,DS_131,1,0)&lt;&gt;"","","x")</f>
        <v/>
      </c>
    </row>
    <row r="438" spans="1:28" s="587" customFormat="1" ht="15.75" customHeight="1">
      <c r="A438" s="201" t="str">
        <f>IF(B438&lt;&gt;"",IF(AND(B438&gt;=_TM1,B438&lt;=_TM2,OR(TH!L438="1111",TH!M438="1111")),TH!D438,""),"")</f>
        <v/>
      </c>
      <c r="B438" s="36">
        <f t="shared" si="18"/>
        <v>6</v>
      </c>
      <c r="C438" s="181">
        <f t="shared" si="19"/>
        <v>41445</v>
      </c>
      <c r="D438" s="181" t="s">
        <v>398</v>
      </c>
      <c r="E438" s="188">
        <v>41445</v>
      </c>
      <c r="F438" s="186" t="s">
        <v>345</v>
      </c>
      <c r="G438" s="657" t="s">
        <v>488</v>
      </c>
      <c r="H438" s="7" t="s">
        <v>387</v>
      </c>
      <c r="I438" s="250"/>
      <c r="J438" s="251"/>
      <c r="K438" s="38">
        <v>400000</v>
      </c>
      <c r="L438" s="596" t="s">
        <v>83</v>
      </c>
      <c r="M438" s="596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IF(OR(TH!L438=TH!$U$7,M438=TH!$U$7),"x","")</f>
        <v>x</v>
      </c>
      <c r="V438" s="52" t="str">
        <f>IF(AND(B438&gt;='IN-NX'!$P$3,B438&lt;='IN-NX'!$Q$3,'IN-NX'!$D$7=D438,OR(LEFT(L438,2)="15",AND(LEFT(M438,2)&lt;&gt;"15",LEFT(M438,2)&lt;&gt;"33"))),"x","")</f>
        <v/>
      </c>
      <c r="W438" s="52" t="str">
        <f>IF(AND(OR(LEFT(TH!L438,2)="15",LEFT(TH!M438,2)="15"),'152-CT'!$J$8=TH!F438),"x","")</f>
        <v/>
      </c>
      <c r="X438" s="52" t="str">
        <f>IF(AND(OR(LEFT(TH!L438,2)="15",LEFT(TH!M438,2)="15"),TK!$E$7=TH!F438),"x","")</f>
        <v/>
      </c>
      <c r="Y438" s="52" t="str">
        <f>IF(AND(B438&lt;=NKC!$N$8,B438&gt;=NKC!$M$8),"x","")</f>
        <v/>
      </c>
      <c r="Z438" s="208"/>
      <c r="AA438" s="208"/>
      <c r="AB438" s="208"/>
    </row>
    <row r="439" spans="1:28" s="587" customFormat="1" ht="15.75" customHeight="1">
      <c r="A439" s="201" t="str">
        <f>IF(B439&lt;&gt;"",IF(AND(B439&gt;=_TM1,B439&lt;=_TM2,OR(TH!L439="1111",TH!M439="1111")),TH!D439,""),"")</f>
        <v/>
      </c>
      <c r="B439" s="36">
        <f t="shared" si="18"/>
        <v>6</v>
      </c>
      <c r="C439" s="188">
        <f t="shared" si="19"/>
        <v>41445</v>
      </c>
      <c r="D439" s="181" t="s">
        <v>1050</v>
      </c>
      <c r="E439" s="188">
        <v>41445</v>
      </c>
      <c r="F439" s="189" t="s">
        <v>784</v>
      </c>
      <c r="G439" s="189" t="s">
        <v>823</v>
      </c>
      <c r="H439" s="7" t="s">
        <v>1079</v>
      </c>
      <c r="I439" s="249">
        <v>495</v>
      </c>
      <c r="J439" s="249">
        <v>17300</v>
      </c>
      <c r="K439" s="38">
        <f>ROUND(I439*J439,0)</f>
        <v>8563500</v>
      </c>
      <c r="L439" s="191" t="s">
        <v>262</v>
      </c>
      <c r="M439" s="191" t="s">
        <v>172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IF(OR(TH!L439=TH!$U$7,M439=TH!$U$7),"x","")</f>
        <v/>
      </c>
      <c r="V439" s="52" t="str">
        <f>IF(AND(B439&gt;='IN-NX'!$P$3,B439&lt;='IN-NX'!$Q$3,'IN-NX'!$D$7=D439,OR(LEFT(L439,2)="15",AND(LEFT(M439,2)&lt;&gt;"15",LEFT(M439,2)&lt;&gt;"33"))),"x","")</f>
        <v/>
      </c>
      <c r="W439" s="52" t="str">
        <f>IF(AND(OR(LEFT(TH!L439,2)="15",LEFT(TH!M439,2)="15"),'152-CT'!$J$8=TH!F439),"x","")</f>
        <v/>
      </c>
      <c r="X439" s="52" t="str">
        <f>IF(AND(OR(LEFT(TH!L439,2)="15",LEFT(TH!M439,2)="15"),TK!$E$7=TH!F439),"x","")</f>
        <v/>
      </c>
      <c r="Y439" s="52" t="str">
        <f>IF(AND(B439&lt;=NKC!$N$8,B439&gt;=NKC!$M$8),"x","")</f>
        <v/>
      </c>
      <c r="Z439" s="208"/>
    </row>
    <row r="440" spans="1:28" s="587" customFormat="1" ht="15.75" customHeight="1">
      <c r="A440" s="201" t="str">
        <f>IF(B440&lt;&gt;"",IF(AND(B440&gt;=_TM1,B440&lt;=_TM2,OR(TH!L440="1111",TH!M440="1111")),TH!D440,""),"")</f>
        <v/>
      </c>
      <c r="B440" s="36">
        <f t="shared" si="18"/>
        <v>6</v>
      </c>
      <c r="C440" s="188">
        <f t="shared" si="19"/>
        <v>41445</v>
      </c>
      <c r="D440" s="181" t="s">
        <v>1050</v>
      </c>
      <c r="E440" s="188">
        <v>41445</v>
      </c>
      <c r="F440" s="189" t="s">
        <v>786</v>
      </c>
      <c r="G440" s="189" t="s">
        <v>823</v>
      </c>
      <c r="H440" s="7" t="s">
        <v>1079</v>
      </c>
      <c r="I440" s="249">
        <v>1500</v>
      </c>
      <c r="J440" s="249">
        <v>1500</v>
      </c>
      <c r="K440" s="38">
        <f>ROUND(I440*J440,0)</f>
        <v>2250000</v>
      </c>
      <c r="L440" s="191" t="s">
        <v>262</v>
      </c>
      <c r="M440" s="191" t="s">
        <v>172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IF(OR(TH!L440=TH!$U$7,M440=TH!$U$7),"x","")</f>
        <v/>
      </c>
      <c r="V440" s="52" t="str">
        <f>IF(AND(B440&gt;='IN-NX'!$P$3,B440&lt;='IN-NX'!$Q$3,'IN-NX'!$D$7=D440,OR(LEFT(L440,2)="15",AND(LEFT(M440,2)&lt;&gt;"15",LEFT(M440,2)&lt;&gt;"33"))),"x","")</f>
        <v/>
      </c>
      <c r="W440" s="52" t="str">
        <f>IF(AND(OR(LEFT(TH!L440,2)="15",LEFT(TH!M440,2)="15"),'152-CT'!$J$8=TH!F440),"x","")</f>
        <v/>
      </c>
      <c r="X440" s="52" t="str">
        <f>IF(AND(OR(LEFT(TH!L440,2)="15",LEFT(TH!M440,2)="15"),TK!$E$7=TH!F440),"x","")</f>
        <v/>
      </c>
      <c r="Y440" s="52" t="str">
        <f>IF(AND(B440&lt;=NKC!$N$8,B440&gt;=NKC!$M$8),"x","")</f>
        <v/>
      </c>
      <c r="Z440" s="208"/>
    </row>
    <row r="441" spans="1:28" s="587" customFormat="1" ht="15.75" customHeight="1">
      <c r="A441" s="201" t="str">
        <f>IF(B441&lt;&gt;"",IF(AND(B441&gt;=_TM1,B441&lt;=_TM2,OR(TH!L441="1111",TH!M441="1111")),TH!D441,""),"")</f>
        <v/>
      </c>
      <c r="B441" s="36">
        <f t="shared" si="18"/>
        <v>6</v>
      </c>
      <c r="C441" s="188">
        <f t="shared" si="19"/>
        <v>41445</v>
      </c>
      <c r="D441" s="181" t="s">
        <v>1050</v>
      </c>
      <c r="E441" s="188">
        <v>41445</v>
      </c>
      <c r="F441" s="189" t="s">
        <v>693</v>
      </c>
      <c r="G441" s="189" t="s">
        <v>823</v>
      </c>
      <c r="H441" s="7" t="s">
        <v>1079</v>
      </c>
      <c r="I441" s="249"/>
      <c r="J441" s="249"/>
      <c r="K441" s="38">
        <v>1081350</v>
      </c>
      <c r="L441" s="191" t="s">
        <v>262</v>
      </c>
      <c r="M441" s="191" t="s">
        <v>425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IF(OR(TH!L441=TH!$U$7,M441=TH!$U$7),"x","")</f>
        <v/>
      </c>
      <c r="V441" s="52" t="str">
        <f>IF(AND(B441&gt;='IN-NX'!$P$3,B441&lt;='IN-NX'!$Q$3,'IN-NX'!$D$7=D441,OR(LEFT(L441,2)="15",AND(LEFT(M441,2)&lt;&gt;"15",LEFT(M441,2)&lt;&gt;"33"))),"x","")</f>
        <v/>
      </c>
      <c r="W441" s="52" t="str">
        <f>IF(AND(OR(LEFT(TH!L441,2)="15",LEFT(TH!M441,2)="15"),'152-CT'!$J$8=TH!F441),"x","")</f>
        <v/>
      </c>
      <c r="X441" s="52" t="str">
        <f>IF(AND(OR(LEFT(TH!L441,2)="15",LEFT(TH!M441,2)="15"),TK!$E$7=TH!F441),"x","")</f>
        <v/>
      </c>
      <c r="Y441" s="52" t="str">
        <f>IF(AND(B441&lt;=NKC!$N$8,B441&gt;=NKC!$M$8),"x","")</f>
        <v/>
      </c>
      <c r="Z441" s="208"/>
      <c r="AA441" s="587" t="str">
        <f>IF(VLOOKUP(H441,DS_131,1,0)&lt;&gt;"","","x")</f>
        <v/>
      </c>
    </row>
    <row r="442" spans="1:28" s="587" customFormat="1" ht="15.75" customHeight="1">
      <c r="A442" s="201" t="str">
        <f>IF(B442&lt;&gt;"",IF(AND(B442&gt;=_TM1,B442&lt;=_TM2,OR(TH!L442="1111",TH!M442="1111")),TH!D442,""),"")</f>
        <v/>
      </c>
      <c r="B442" s="36">
        <f t="shared" si="18"/>
        <v>6</v>
      </c>
      <c r="C442" s="188">
        <f t="shared" si="19"/>
        <v>41445</v>
      </c>
      <c r="D442" s="181" t="s">
        <v>1274</v>
      </c>
      <c r="E442" s="188">
        <v>41445</v>
      </c>
      <c r="F442" s="186" t="s">
        <v>337</v>
      </c>
      <c r="G442" s="189" t="s">
        <v>823</v>
      </c>
      <c r="H442" s="7" t="s">
        <v>1079</v>
      </c>
      <c r="I442" s="249"/>
      <c r="J442" s="249"/>
      <c r="K442" s="38">
        <v>11894850</v>
      </c>
      <c r="L442" s="191" t="s">
        <v>47</v>
      </c>
      <c r="M442" s="191" t="s">
        <v>262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IF(OR(TH!L442=TH!$U$7,M442=TH!$U$7),"x","")</f>
        <v/>
      </c>
      <c r="V442" s="52" t="str">
        <f>IF(AND(B442&gt;='IN-NX'!$P$3,B442&lt;='IN-NX'!$Q$3,'IN-NX'!$D$7=D442,OR(LEFT(L442,2)="15",AND(LEFT(M442,2)&lt;&gt;"15",LEFT(M442,2)&lt;&gt;"33"))),"x","")</f>
        <v/>
      </c>
      <c r="W442" s="52" t="str">
        <f>IF(AND(OR(LEFT(TH!L442,2)="15",LEFT(TH!M442,2)="15"),'152-CT'!$J$8=TH!F442),"x","")</f>
        <v/>
      </c>
      <c r="X442" s="52" t="str">
        <f>IF(AND(OR(LEFT(TH!L442,2)="15",LEFT(TH!M442,2)="15"),TK!$E$7=TH!F442),"x","")</f>
        <v/>
      </c>
      <c r="Y442" s="52" t="str">
        <f>IF(AND(B442&lt;=NKC!$N$8,B442&gt;=NKC!$M$8),"x","")</f>
        <v/>
      </c>
      <c r="Z442" s="208"/>
      <c r="AA442" s="587" t="str">
        <f>IF(VLOOKUP(H442,DS_131,1,0)&lt;&gt;"","","x")</f>
        <v/>
      </c>
    </row>
    <row r="443" spans="1:28" s="587" customFormat="1" ht="15.75" customHeight="1">
      <c r="A443" s="201" t="str">
        <f>IF(B443&lt;&gt;"",IF(AND(B443&gt;=_TM1,B443&lt;=_TM2,OR(TH!L443="1111",TH!M443="1111")),TH!D443,""),"")</f>
        <v/>
      </c>
      <c r="B443" s="36">
        <f t="shared" si="18"/>
        <v>6</v>
      </c>
      <c r="C443" s="188">
        <f t="shared" si="19"/>
        <v>41445</v>
      </c>
      <c r="D443" s="181" t="s">
        <v>1051</v>
      </c>
      <c r="E443" s="188">
        <v>41445</v>
      </c>
      <c r="F443" s="189" t="s">
        <v>1097</v>
      </c>
      <c r="G443" s="189" t="s">
        <v>824</v>
      </c>
      <c r="H443" s="7" t="s">
        <v>510</v>
      </c>
      <c r="I443" s="249">
        <v>212</v>
      </c>
      <c r="J443" s="249">
        <v>6850</v>
      </c>
      <c r="K443" s="38">
        <f>ROUND(I443*J443,0)</f>
        <v>1452200</v>
      </c>
      <c r="L443" s="191" t="s">
        <v>262</v>
      </c>
      <c r="M443" s="191" t="s">
        <v>172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IF(OR(TH!L443=TH!$U$7,M443=TH!$U$7),"x","")</f>
        <v/>
      </c>
      <c r="V443" s="52" t="str">
        <f>IF(AND(B443&gt;='IN-NX'!$P$3,B443&lt;='IN-NX'!$Q$3,'IN-NX'!$D$7=D443,OR(LEFT(L443,2)="15",AND(LEFT(M443,2)&lt;&gt;"15",LEFT(M443,2)&lt;&gt;"33"))),"x","")</f>
        <v/>
      </c>
      <c r="W443" s="52" t="str">
        <f>IF(AND(OR(LEFT(TH!L443,2)="15",LEFT(TH!M443,2)="15"),'152-CT'!$J$8=TH!F443),"x","")</f>
        <v/>
      </c>
      <c r="X443" s="52" t="str">
        <f>IF(AND(OR(LEFT(TH!L443,2)="15",LEFT(TH!M443,2)="15"),TK!$E$7=TH!F443),"x","")</f>
        <v/>
      </c>
      <c r="Y443" s="52" t="str">
        <f>IF(AND(B443&lt;=NKC!$N$8,B443&gt;=NKC!$M$8),"x","")</f>
        <v/>
      </c>
      <c r="Z443" s="208"/>
    </row>
    <row r="444" spans="1:28" s="587" customFormat="1" ht="15.75" customHeight="1">
      <c r="A444" s="201" t="str">
        <f>IF(B444&lt;&gt;"",IF(AND(B444&gt;=_TM1,B444&lt;=_TM2,OR(TH!L444="1111",TH!M444="1111")),TH!D444,""),"")</f>
        <v/>
      </c>
      <c r="B444" s="36">
        <f t="shared" si="18"/>
        <v>6</v>
      </c>
      <c r="C444" s="188">
        <f t="shared" si="19"/>
        <v>41445</v>
      </c>
      <c r="D444" s="181" t="s">
        <v>1051</v>
      </c>
      <c r="E444" s="188">
        <v>41445</v>
      </c>
      <c r="F444" s="189" t="s">
        <v>1096</v>
      </c>
      <c r="G444" s="189" t="s">
        <v>824</v>
      </c>
      <c r="H444" s="7" t="s">
        <v>510</v>
      </c>
      <c r="I444" s="249">
        <v>195</v>
      </c>
      <c r="J444" s="249">
        <v>14100</v>
      </c>
      <c r="K444" s="38">
        <f>ROUND(I444*J444,0)</f>
        <v>2749500</v>
      </c>
      <c r="L444" s="191" t="s">
        <v>262</v>
      </c>
      <c r="M444" s="191" t="s">
        <v>172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IF(OR(TH!L444=TH!$U$7,M444=TH!$U$7),"x","")</f>
        <v/>
      </c>
      <c r="V444" s="52" t="str">
        <f>IF(AND(B444&gt;='IN-NX'!$P$3,B444&lt;='IN-NX'!$Q$3,'IN-NX'!$D$7=D444,OR(LEFT(L444,2)="15",AND(LEFT(M444,2)&lt;&gt;"15",LEFT(M444,2)&lt;&gt;"33"))),"x","")</f>
        <v/>
      </c>
      <c r="W444" s="52" t="str">
        <f>IF(AND(OR(LEFT(TH!L444,2)="15",LEFT(TH!M444,2)="15"),'152-CT'!$J$8=TH!F444),"x","")</f>
        <v/>
      </c>
      <c r="X444" s="52" t="str">
        <f>IF(AND(OR(LEFT(TH!L444,2)="15",LEFT(TH!M444,2)="15"),TK!$E$7=TH!F444),"x","")</f>
        <v/>
      </c>
      <c r="Y444" s="52" t="str">
        <f>IF(AND(B444&lt;=NKC!$N$8,B444&gt;=NKC!$M$8),"x","")</f>
        <v/>
      </c>
      <c r="Z444" s="208"/>
      <c r="AB444" s="208"/>
    </row>
    <row r="445" spans="1:28" s="587" customFormat="1" ht="15.75" customHeight="1">
      <c r="A445" s="201" t="str">
        <f>IF(B445&lt;&gt;"",IF(AND(B445&gt;=_TM1,B445&lt;=_TM2,OR(TH!L445="1111",TH!M445="1111")),TH!D445,""),"")</f>
        <v/>
      </c>
      <c r="B445" s="36">
        <f t="shared" si="18"/>
        <v>6</v>
      </c>
      <c r="C445" s="188">
        <f t="shared" si="19"/>
        <v>41445</v>
      </c>
      <c r="D445" s="181" t="s">
        <v>1051</v>
      </c>
      <c r="E445" s="188">
        <v>41445</v>
      </c>
      <c r="F445" s="189" t="s">
        <v>693</v>
      </c>
      <c r="G445" s="189" t="s">
        <v>824</v>
      </c>
      <c r="H445" s="7" t="s">
        <v>510</v>
      </c>
      <c r="I445" s="249"/>
      <c r="J445" s="249"/>
      <c r="K445" s="38">
        <v>420170</v>
      </c>
      <c r="L445" s="191" t="s">
        <v>262</v>
      </c>
      <c r="M445" s="191" t="s">
        <v>425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IF(OR(TH!L445=TH!$U$7,M445=TH!$U$7),"x","")</f>
        <v/>
      </c>
      <c r="V445" s="52" t="str">
        <f>IF(AND(B445&gt;='IN-NX'!$P$3,B445&lt;='IN-NX'!$Q$3,'IN-NX'!$D$7=D445,OR(LEFT(L445,2)="15",AND(LEFT(M445,2)&lt;&gt;"15",LEFT(M445,2)&lt;&gt;"33"))),"x","")</f>
        <v/>
      </c>
      <c r="W445" s="52" t="str">
        <f>IF(AND(OR(LEFT(TH!L445,2)="15",LEFT(TH!M445,2)="15"),'152-CT'!$J$8=TH!F445),"x","")</f>
        <v/>
      </c>
      <c r="X445" s="52" t="str">
        <f>IF(AND(OR(LEFT(TH!L445,2)="15",LEFT(TH!M445,2)="15"),TK!$E$7=TH!F445),"x","")</f>
        <v/>
      </c>
      <c r="Y445" s="52" t="str">
        <f>IF(AND(B445&lt;=NKC!$N$8,B445&gt;=NKC!$M$8),"x","")</f>
        <v/>
      </c>
      <c r="Z445" s="208"/>
      <c r="AA445" s="587" t="str">
        <f>IF(VLOOKUP(H445,DS_131,1,0)&lt;&gt;"","","x")</f>
        <v/>
      </c>
    </row>
    <row r="446" spans="1:28" s="587" customFormat="1" ht="15.75" customHeight="1">
      <c r="A446" s="201" t="str">
        <f>IF(B446&lt;&gt;"",IF(AND(B446&gt;=_TM1,B446&lt;=_TM2,OR(TH!L446="1111",TH!M446="1111")),TH!D446,""),"")</f>
        <v/>
      </c>
      <c r="B446" s="36">
        <f t="shared" si="18"/>
        <v>6</v>
      </c>
      <c r="C446" s="188">
        <f t="shared" si="19"/>
        <v>41445</v>
      </c>
      <c r="D446" s="181" t="s">
        <v>1052</v>
      </c>
      <c r="E446" s="188">
        <v>41445</v>
      </c>
      <c r="F446" s="189" t="s">
        <v>798</v>
      </c>
      <c r="G446" s="189" t="s">
        <v>825</v>
      </c>
      <c r="H446" s="7" t="s">
        <v>499</v>
      </c>
      <c r="I446" s="249">
        <v>508</v>
      </c>
      <c r="J446" s="249">
        <v>5210</v>
      </c>
      <c r="K446" s="38">
        <f>ROUND(I446*J446,0)</f>
        <v>2646680</v>
      </c>
      <c r="L446" s="191" t="s">
        <v>262</v>
      </c>
      <c r="M446" s="191" t="s">
        <v>172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IF(OR(TH!L446=TH!$U$7,M446=TH!$U$7),"x","")</f>
        <v/>
      </c>
      <c r="V446" s="52" t="str">
        <f>IF(AND(B446&gt;='IN-NX'!$P$3,B446&lt;='IN-NX'!$Q$3,'IN-NX'!$D$7=D446,OR(LEFT(L446,2)="15",AND(LEFT(M446,2)&lt;&gt;"15",LEFT(M446,2)&lt;&gt;"33"))),"x","")</f>
        <v/>
      </c>
      <c r="W446" s="52" t="str">
        <f>IF(AND(OR(LEFT(TH!L446,2)="15",LEFT(TH!M446,2)="15"),'152-CT'!$J$8=TH!F446),"x","")</f>
        <v/>
      </c>
      <c r="X446" s="52" t="str">
        <f>IF(AND(OR(LEFT(TH!L446,2)="15",LEFT(TH!M446,2)="15"),TK!$E$7=TH!F446),"x","")</f>
        <v/>
      </c>
      <c r="Y446" s="52" t="str">
        <f>IF(AND(B446&lt;=NKC!$N$8,B446&gt;=NKC!$M$8),"x","")</f>
        <v/>
      </c>
      <c r="Z446" s="208"/>
    </row>
    <row r="447" spans="1:28" s="587" customFormat="1" ht="15.75" customHeight="1">
      <c r="A447" s="201" t="str">
        <f>IF(B447&lt;&gt;"",IF(AND(B447&gt;=_TM1,B447&lt;=_TM2,OR(TH!L447="1111",TH!M447="1111")),TH!D447,""),"")</f>
        <v/>
      </c>
      <c r="B447" s="36">
        <f t="shared" si="18"/>
        <v>6</v>
      </c>
      <c r="C447" s="188">
        <f t="shared" si="19"/>
        <v>41445</v>
      </c>
      <c r="D447" s="181" t="s">
        <v>1052</v>
      </c>
      <c r="E447" s="188">
        <v>41445</v>
      </c>
      <c r="F447" s="189" t="s">
        <v>800</v>
      </c>
      <c r="G447" s="189" t="s">
        <v>825</v>
      </c>
      <c r="H447" s="7" t="s">
        <v>499</v>
      </c>
      <c r="I447" s="249">
        <v>305</v>
      </c>
      <c r="J447" s="249">
        <v>5117</v>
      </c>
      <c r="K447" s="38">
        <f>ROUND(I447*J447,0)</f>
        <v>1560685</v>
      </c>
      <c r="L447" s="191" t="s">
        <v>262</v>
      </c>
      <c r="M447" s="191" t="s">
        <v>172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IF(OR(TH!L447=TH!$U$7,M447=TH!$U$7),"x","")</f>
        <v/>
      </c>
      <c r="V447" s="52" t="str">
        <f>IF(AND(B447&gt;='IN-NX'!$P$3,B447&lt;='IN-NX'!$Q$3,'IN-NX'!$D$7=D447,OR(LEFT(L447,2)="15",AND(LEFT(M447,2)&lt;&gt;"15",LEFT(M447,2)&lt;&gt;"33"))),"x","")</f>
        <v/>
      </c>
      <c r="W447" s="52" t="str">
        <f>IF(AND(OR(LEFT(TH!L447,2)="15",LEFT(TH!M447,2)="15"),'152-CT'!$J$8=TH!F447),"x","")</f>
        <v/>
      </c>
      <c r="X447" s="52" t="str">
        <f>IF(AND(OR(LEFT(TH!L447,2)="15",LEFT(TH!M447,2)="15"),TK!$E$7=TH!F447),"x","")</f>
        <v/>
      </c>
      <c r="Y447" s="52" t="str">
        <f>IF(AND(B447&lt;=NKC!$N$8,B447&gt;=NKC!$M$8),"x","")</f>
        <v/>
      </c>
    </row>
    <row r="448" spans="1:28" s="587" customFormat="1" ht="15.75" customHeight="1">
      <c r="A448" s="201" t="str">
        <f>IF(B448&lt;&gt;"",IF(AND(B448&gt;=_TM1,B448&lt;=_TM2,OR(TH!L448="1111",TH!M448="1111")),TH!D448,""),"")</f>
        <v/>
      </c>
      <c r="B448" s="36">
        <f t="shared" si="18"/>
        <v>6</v>
      </c>
      <c r="C448" s="188">
        <f t="shared" si="19"/>
        <v>41445</v>
      </c>
      <c r="D448" s="181" t="s">
        <v>1052</v>
      </c>
      <c r="E448" s="188">
        <v>41445</v>
      </c>
      <c r="F448" s="189" t="s">
        <v>1106</v>
      </c>
      <c r="G448" s="189" t="s">
        <v>825</v>
      </c>
      <c r="H448" s="7" t="s">
        <v>499</v>
      </c>
      <c r="I448" s="249">
        <v>484</v>
      </c>
      <c r="J448" s="249">
        <v>5401</v>
      </c>
      <c r="K448" s="38">
        <f>ROUND(I448*J448,0)</f>
        <v>2614084</v>
      </c>
      <c r="L448" s="191" t="s">
        <v>262</v>
      </c>
      <c r="M448" s="191" t="s">
        <v>172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IF(OR(TH!L448=TH!$U$7,M448=TH!$U$7),"x","")</f>
        <v/>
      </c>
      <c r="V448" s="52" t="str">
        <f>IF(AND(B448&gt;='IN-NX'!$P$3,B448&lt;='IN-NX'!$Q$3,'IN-NX'!$D$7=D448,OR(LEFT(L448,2)="15",AND(LEFT(M448,2)&lt;&gt;"15",LEFT(M448,2)&lt;&gt;"33"))),"x","")</f>
        <v/>
      </c>
      <c r="W448" s="52" t="str">
        <f>IF(AND(OR(LEFT(TH!L448,2)="15",LEFT(TH!M448,2)="15"),'152-CT'!$J$8=TH!F448),"x","")</f>
        <v/>
      </c>
      <c r="X448" s="52" t="str">
        <f>IF(AND(OR(LEFT(TH!L448,2)="15",LEFT(TH!M448,2)="15"),TK!$E$7=TH!F448),"x","")</f>
        <v/>
      </c>
      <c r="Y448" s="52" t="str">
        <f>IF(AND(B448&lt;=NKC!$N$8,B448&gt;=NKC!$M$8),"x","")</f>
        <v/>
      </c>
      <c r="Z448" s="208"/>
    </row>
    <row r="449" spans="1:28" s="587" customFormat="1" ht="15.75" customHeight="1">
      <c r="A449" s="201" t="str">
        <f>IF(B449&lt;&gt;"",IF(AND(B449&gt;=_TM1,B449&lt;=_TM2,OR(TH!L449="1111",TH!M449="1111")),TH!D449,""),"")</f>
        <v/>
      </c>
      <c r="B449" s="36">
        <f t="shared" si="18"/>
        <v>6</v>
      </c>
      <c r="C449" s="188">
        <f t="shared" si="19"/>
        <v>41445</v>
      </c>
      <c r="D449" s="181" t="s">
        <v>1052</v>
      </c>
      <c r="E449" s="188">
        <v>41445</v>
      </c>
      <c r="F449" s="189" t="s">
        <v>693</v>
      </c>
      <c r="G449" s="189" t="s">
        <v>825</v>
      </c>
      <c r="H449" s="7" t="s">
        <v>499</v>
      </c>
      <c r="I449" s="249"/>
      <c r="J449" s="249"/>
      <c r="K449" s="38">
        <v>682145</v>
      </c>
      <c r="L449" s="191" t="s">
        <v>262</v>
      </c>
      <c r="M449" s="191" t="s">
        <v>425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IF(OR(TH!L449=TH!$U$7,M449=TH!$U$7),"x","")</f>
        <v/>
      </c>
      <c r="V449" s="52" t="str">
        <f>IF(AND(B449&gt;='IN-NX'!$P$3,B449&lt;='IN-NX'!$Q$3,'IN-NX'!$D$7=D449,OR(LEFT(L449,2)="15",AND(LEFT(M449,2)&lt;&gt;"15",LEFT(M449,2)&lt;&gt;"33"))),"x","")</f>
        <v/>
      </c>
      <c r="W449" s="52" t="str">
        <f>IF(AND(OR(LEFT(TH!L449,2)="15",LEFT(TH!M449,2)="15"),'152-CT'!$J$8=TH!F449),"x","")</f>
        <v/>
      </c>
      <c r="X449" s="52" t="str">
        <f>IF(AND(OR(LEFT(TH!L449,2)="15",LEFT(TH!M449,2)="15"),TK!$E$7=TH!F449),"x","")</f>
        <v/>
      </c>
      <c r="Y449" s="52" t="str">
        <f>IF(AND(B449&lt;=NKC!$N$8,B449&gt;=NKC!$M$8),"x","")</f>
        <v/>
      </c>
      <c r="AA449" s="587" t="str">
        <f>IF(VLOOKUP(H449,DS_131,1,0)&lt;&gt;"","","x")</f>
        <v/>
      </c>
      <c r="AB449" s="208"/>
    </row>
    <row r="450" spans="1:28" s="587" customFormat="1" ht="15.75" customHeight="1">
      <c r="A450" s="201" t="str">
        <f>IF(B450&lt;&gt;"",IF(AND(B450&gt;=_TM1,B450&lt;=_TM2,OR(TH!L450="1111",TH!M450="1111")),TH!D450,""),"")</f>
        <v/>
      </c>
      <c r="B450" s="36">
        <f t="shared" si="18"/>
        <v>6</v>
      </c>
      <c r="C450" s="181">
        <f t="shared" si="19"/>
        <v>41446</v>
      </c>
      <c r="D450" s="181" t="s">
        <v>335</v>
      </c>
      <c r="E450" s="188">
        <v>41446</v>
      </c>
      <c r="F450" s="186" t="s">
        <v>337</v>
      </c>
      <c r="G450" s="597" t="s">
        <v>332</v>
      </c>
      <c r="H450" s="7" t="s">
        <v>472</v>
      </c>
      <c r="I450" s="250"/>
      <c r="J450" s="251"/>
      <c r="K450" s="38">
        <v>23721250</v>
      </c>
      <c r="L450" s="596" t="s">
        <v>24</v>
      </c>
      <c r="M450" s="596" t="s">
        <v>262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52" t="str">
        <f>IF(OR(TH!L450=TH!$U$7,M450=TH!$U$7),"x","")</f>
        <v/>
      </c>
      <c r="V450" s="52" t="str">
        <f>IF(AND(B450&gt;='IN-NX'!$P$3,B450&lt;='IN-NX'!$Q$3,'IN-NX'!$D$7=D450,OR(LEFT(L450,2)="15",AND(LEFT(M450,2)&lt;&gt;"15",LEFT(M450,2)&lt;&gt;"33"))),"x","")</f>
        <v/>
      </c>
      <c r="W450" s="52" t="str">
        <f>IF(AND(OR(LEFT(TH!L450,2)="15",LEFT(TH!M450,2)="15"),'152-CT'!$J$8=TH!F450),"x","")</f>
        <v/>
      </c>
      <c r="X450" s="52" t="str">
        <f>IF(AND(OR(LEFT(TH!L450,2)="15",LEFT(TH!M450,2)="15"),TK!$E$7=TH!F450),"x","")</f>
        <v/>
      </c>
      <c r="Y450" s="52" t="str">
        <f>IF(AND(B450&lt;=NKC!$N$8,B450&gt;=NKC!$M$8),"x","")</f>
        <v/>
      </c>
      <c r="AA450" s="195"/>
      <c r="AB450" s="195"/>
    </row>
    <row r="451" spans="1:28" s="587" customFormat="1" ht="15.75" customHeight="1">
      <c r="A451" s="201" t="str">
        <f>IF(B451&lt;&gt;"",IF(AND(B451&gt;=_TM1,B451&lt;=_TM2,OR(TH!L451="1111",TH!M451="1111")),TH!D451,""),"")</f>
        <v/>
      </c>
      <c r="B451" s="36">
        <f t="shared" ref="B451:B511" si="20">IF(C451&lt;&gt;"",MONTH(C451),"")</f>
        <v>6</v>
      </c>
      <c r="C451" s="188">
        <f t="shared" si="19"/>
        <v>41446</v>
      </c>
      <c r="D451" s="181" t="s">
        <v>1053</v>
      </c>
      <c r="E451" s="188">
        <v>41446</v>
      </c>
      <c r="F451" s="186" t="s">
        <v>1108</v>
      </c>
      <c r="G451" s="189" t="s">
        <v>826</v>
      </c>
      <c r="H451" s="190" t="s">
        <v>757</v>
      </c>
      <c r="I451" s="249">
        <v>1030</v>
      </c>
      <c r="J451" s="249">
        <v>5460</v>
      </c>
      <c r="K451" s="38">
        <f>ROUND(I451*J451,0)</f>
        <v>5623800</v>
      </c>
      <c r="L451" s="191" t="s">
        <v>262</v>
      </c>
      <c r="M451" s="191" t="s">
        <v>172</v>
      </c>
      <c r="N451" s="52" t="str">
        <f>IF(AND('331-CT'!$E$7=TH!H451,OR(L451="331",M451="331")),"331",IF(AND(OR(L451="131",M451="131"),H451='131-CT'!$E$7),"131",""))</f>
        <v>131</v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IF(OR(TH!L451=TH!$U$7,M451=TH!$U$7),"x","")</f>
        <v/>
      </c>
      <c r="V451" s="52" t="str">
        <f>IF(AND(B451&gt;='IN-NX'!$P$3,B451&lt;='IN-NX'!$Q$3,'IN-NX'!$D$7=D451,OR(LEFT(L451,2)="15",AND(LEFT(M451,2)&lt;&gt;"15",LEFT(M451,2)&lt;&gt;"33"))),"x","")</f>
        <v/>
      </c>
      <c r="W451" s="52" t="str">
        <f>IF(AND(OR(LEFT(TH!L451,2)="15",LEFT(TH!M451,2)="15"),'152-CT'!$J$8=TH!F451),"x","")</f>
        <v/>
      </c>
      <c r="X451" s="52" t="str">
        <f>IF(AND(OR(LEFT(TH!L451,2)="15",LEFT(TH!M451,2)="15"),TK!$E$7=TH!F451),"x","")</f>
        <v/>
      </c>
      <c r="Y451" s="52" t="str">
        <f>IF(AND(B451&lt;=NKC!$N$8,B451&gt;=NKC!$M$8),"x","")</f>
        <v/>
      </c>
      <c r="AB451" s="208"/>
    </row>
    <row r="452" spans="1:28" s="587" customFormat="1" ht="15.75" customHeight="1">
      <c r="A452" s="201" t="str">
        <f>IF(B452&lt;&gt;"",IF(AND(B452&gt;=_TM1,B452&lt;=_TM2,OR(TH!L452="1111",TH!M452="1111")),TH!D452,""),"")</f>
        <v/>
      </c>
      <c r="B452" s="36">
        <f t="shared" si="20"/>
        <v>6</v>
      </c>
      <c r="C452" s="188">
        <f t="shared" si="19"/>
        <v>41446</v>
      </c>
      <c r="D452" s="181" t="s">
        <v>1053</v>
      </c>
      <c r="E452" s="188">
        <v>41446</v>
      </c>
      <c r="F452" s="189" t="s">
        <v>693</v>
      </c>
      <c r="G452" s="189" t="s">
        <v>826</v>
      </c>
      <c r="H452" s="190" t="s">
        <v>757</v>
      </c>
      <c r="I452" s="249"/>
      <c r="J452" s="249"/>
      <c r="K452" s="38">
        <v>562380</v>
      </c>
      <c r="L452" s="191" t="s">
        <v>262</v>
      </c>
      <c r="M452" s="191" t="s">
        <v>425</v>
      </c>
      <c r="N452" s="52" t="str">
        <f>IF(AND('331-CT'!$E$7=TH!H452,OR(L452="331",M452="331")),"331",IF(AND(OR(L452="131",M452="131"),H452='131-CT'!$E$7),"131",""))</f>
        <v>131</v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IF(OR(TH!L452=TH!$U$7,M452=TH!$U$7),"x","")</f>
        <v/>
      </c>
      <c r="V452" s="52" t="str">
        <f>IF(AND(B452&gt;='IN-NX'!$P$3,B452&lt;='IN-NX'!$Q$3,'IN-NX'!$D$7=D452,OR(LEFT(L452,2)="15",AND(LEFT(M452,2)&lt;&gt;"15",LEFT(M452,2)&lt;&gt;"33"))),"x","")</f>
        <v/>
      </c>
      <c r="W452" s="52" t="str">
        <f>IF(AND(OR(LEFT(TH!L452,2)="15",LEFT(TH!M452,2)="15"),'152-CT'!$J$8=TH!F452),"x","")</f>
        <v/>
      </c>
      <c r="X452" s="52" t="str">
        <f>IF(AND(OR(LEFT(TH!L452,2)="15",LEFT(TH!M452,2)="15"),TK!$E$7=TH!F452),"x","")</f>
        <v/>
      </c>
      <c r="Y452" s="52" t="str">
        <f>IF(AND(B452&lt;=NKC!$N$8,B452&gt;=NKC!$M$8),"x","")</f>
        <v/>
      </c>
      <c r="Z452" s="208"/>
      <c r="AA452" s="587" t="str">
        <f>IF(VLOOKUP(H452,DS_131,1,0)&lt;&gt;"","","x")</f>
        <v/>
      </c>
      <c r="AB452" s="208"/>
    </row>
    <row r="453" spans="1:28" s="587" customFormat="1" ht="15.75" customHeight="1">
      <c r="A453" s="201" t="str">
        <f>IF(B453&lt;&gt;"",IF(AND(B453&gt;=_TM1,B453&lt;=_TM2,OR(TH!L453="1111",TH!M453="1111")),TH!D453,""),"")</f>
        <v/>
      </c>
      <c r="B453" s="36">
        <f t="shared" si="20"/>
        <v>6</v>
      </c>
      <c r="C453" s="181">
        <f t="shared" si="19"/>
        <v>41447</v>
      </c>
      <c r="D453" s="181" t="s">
        <v>336</v>
      </c>
      <c r="E453" s="188">
        <v>41447</v>
      </c>
      <c r="F453" s="186" t="s">
        <v>367</v>
      </c>
      <c r="G453" s="597" t="s">
        <v>332</v>
      </c>
      <c r="H453" s="190" t="s">
        <v>554</v>
      </c>
      <c r="I453" s="249"/>
      <c r="J453" s="251"/>
      <c r="K453" s="595">
        <v>20000000</v>
      </c>
      <c r="L453" s="596" t="s">
        <v>8</v>
      </c>
      <c r="M453" s="596" t="s">
        <v>24</v>
      </c>
      <c r="N453" s="52" t="str">
        <f>IF(AND('331-CT'!$E$7=TH!H453,OR(L453="331",M453="331")),"331",IF(AND(OR(L453="131",M453="131"),H453='131-CT'!$E$7),"131",""))</f>
        <v>331</v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>x</v>
      </c>
      <c r="U453" s="52" t="str">
        <f>IF(OR(TH!L453=TH!$U$7,M453=TH!$U$7),"x","")</f>
        <v/>
      </c>
      <c r="V453" s="52" t="str">
        <f>IF(AND(B453&gt;='IN-NX'!$P$3,B453&lt;='IN-NX'!$Q$3,'IN-NX'!$D$7=D453,OR(LEFT(L453,2)="15",AND(LEFT(M453,2)&lt;&gt;"15",LEFT(M453,2)&lt;&gt;"33"))),"x","")</f>
        <v/>
      </c>
      <c r="W453" s="52" t="str">
        <f>IF(AND(OR(LEFT(TH!L453,2)="15",LEFT(TH!M453,2)="15"),'152-CT'!$J$8=TH!F453),"x","")</f>
        <v/>
      </c>
      <c r="X453" s="52" t="str">
        <f>IF(AND(OR(LEFT(TH!L453,2)="15",LEFT(TH!M453,2)="15"),TK!$E$7=TH!F453),"x","")</f>
        <v/>
      </c>
      <c r="Y453" s="52" t="str">
        <f>IF(AND(B453&lt;=NKC!$N$8,B453&gt;=NKC!$M$8),"x","")</f>
        <v/>
      </c>
      <c r="AA453" s="195"/>
      <c r="AB453" s="195"/>
    </row>
    <row r="454" spans="1:28" s="587" customFormat="1" ht="15.75" customHeight="1">
      <c r="A454" s="201" t="str">
        <f>IF(B454&lt;&gt;"",IF(AND(B454&gt;=_TM1,B454&lt;=_TM2,OR(TH!L454="1111",TH!M454="1111")),TH!D454,""),"")</f>
        <v/>
      </c>
      <c r="B454" s="36">
        <f t="shared" si="20"/>
        <v>6</v>
      </c>
      <c r="C454" s="181">
        <f t="shared" ref="C454:C515" si="21">E454</f>
        <v>41447</v>
      </c>
      <c r="D454" s="181" t="s">
        <v>336</v>
      </c>
      <c r="E454" s="188">
        <v>41447</v>
      </c>
      <c r="F454" s="186" t="s">
        <v>338</v>
      </c>
      <c r="G454" s="597" t="s">
        <v>332</v>
      </c>
      <c r="H454" s="7"/>
      <c r="I454" s="249"/>
      <c r="J454" s="251"/>
      <c r="K454" s="595">
        <v>20000</v>
      </c>
      <c r="L454" s="596" t="s">
        <v>83</v>
      </c>
      <c r="M454" s="596" t="s">
        <v>24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>x</v>
      </c>
      <c r="U454" s="52" t="str">
        <f>IF(OR(TH!L454=TH!$U$7,M454=TH!$U$7),"x","")</f>
        <v>x</v>
      </c>
      <c r="V454" s="52" t="str">
        <f>IF(AND(B454&gt;='IN-NX'!$P$3,B454&lt;='IN-NX'!$Q$3,'IN-NX'!$D$7=D454,OR(LEFT(L454,2)="15",AND(LEFT(M454,2)&lt;&gt;"15",LEFT(M454,2)&lt;&gt;"33"))),"x","")</f>
        <v/>
      </c>
      <c r="W454" s="52" t="str">
        <f>IF(AND(OR(LEFT(TH!L454,2)="15",LEFT(TH!M454,2)="15"),'152-CT'!$J$8=TH!F454),"x","")</f>
        <v/>
      </c>
      <c r="X454" s="52" t="str">
        <f>IF(AND(OR(LEFT(TH!L454,2)="15",LEFT(TH!M454,2)="15"),TK!$E$7=TH!F454),"x","")</f>
        <v/>
      </c>
      <c r="Y454" s="52" t="str">
        <f>IF(AND(B454&lt;=NKC!$N$8,B454&gt;=NKC!$M$8),"x","")</f>
        <v/>
      </c>
      <c r="AA454" s="195"/>
      <c r="AB454" s="195"/>
    </row>
    <row r="455" spans="1:28" s="587" customFormat="1" ht="15.75" customHeight="1">
      <c r="A455" s="201" t="str">
        <f>IF(B455&lt;&gt;"",IF(AND(B455&gt;=_TM1,B455&lt;=_TM2,OR(TH!L455="1111",TH!M455="1111")),TH!D455,""),"")</f>
        <v/>
      </c>
      <c r="B455" s="36">
        <f t="shared" si="20"/>
        <v>6</v>
      </c>
      <c r="C455" s="181">
        <f t="shared" si="21"/>
        <v>41450</v>
      </c>
      <c r="D455" s="181" t="s">
        <v>335</v>
      </c>
      <c r="E455" s="188">
        <v>41450</v>
      </c>
      <c r="F455" s="186" t="s">
        <v>337</v>
      </c>
      <c r="G455" s="597" t="s">
        <v>332</v>
      </c>
      <c r="H455" s="7" t="s">
        <v>489</v>
      </c>
      <c r="I455" s="250"/>
      <c r="J455" s="251"/>
      <c r="K455" s="38">
        <v>37813270</v>
      </c>
      <c r="L455" s="596" t="s">
        <v>24</v>
      </c>
      <c r="M455" s="596" t="s">
        <v>262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>x</v>
      </c>
      <c r="T455" s="52" t="str">
        <f>IF(ISERROR(FIND('112'!$M$9,G455,1)),"",IF((AND(RIGHT(G455,2)=RIGHT('112'!$M$9,2),B455&lt;'112'!$N$8,$M455='112'!$I$6)),"x",""))</f>
        <v/>
      </c>
      <c r="U455" s="52" t="str">
        <f>IF(OR(TH!L455=TH!$U$7,M455=TH!$U$7),"x","")</f>
        <v/>
      </c>
      <c r="V455" s="52" t="str">
        <f>IF(AND(B455&gt;='IN-NX'!$P$3,B455&lt;='IN-NX'!$Q$3,'IN-NX'!$D$7=D455,OR(LEFT(L455,2)="15",AND(LEFT(M455,2)&lt;&gt;"15",LEFT(M455,2)&lt;&gt;"33"))),"x","")</f>
        <v/>
      </c>
      <c r="W455" s="52" t="str">
        <f>IF(AND(OR(LEFT(TH!L455,2)="15",LEFT(TH!M455,2)="15"),'152-CT'!$J$8=TH!F455),"x","")</f>
        <v/>
      </c>
      <c r="X455" s="52" t="str">
        <f>IF(AND(OR(LEFT(TH!L455,2)="15",LEFT(TH!M455,2)="15"),TK!$E$7=TH!F455),"x","")</f>
        <v/>
      </c>
      <c r="Y455" s="52" t="str">
        <f>IF(AND(B455&lt;=NKC!$N$8,B455&gt;=NKC!$M$8),"x","")</f>
        <v/>
      </c>
      <c r="AA455" s="195"/>
      <c r="AB455" s="195"/>
    </row>
    <row r="456" spans="1:28" s="587" customFormat="1" ht="15.75" customHeight="1">
      <c r="A456" s="201" t="str">
        <f>IF(B456&lt;&gt;"",IF(AND(B456&gt;=_TM1,B456&lt;=_TM2,OR(TH!L456="1111",TH!M456="1111")),TH!D456,""),"")</f>
        <v/>
      </c>
      <c r="B456" s="36">
        <f t="shared" si="20"/>
        <v>6</v>
      </c>
      <c r="C456" s="181">
        <f t="shared" si="21"/>
        <v>41450</v>
      </c>
      <c r="D456" s="181" t="s">
        <v>335</v>
      </c>
      <c r="E456" s="188">
        <v>41450</v>
      </c>
      <c r="F456" s="186" t="s">
        <v>365</v>
      </c>
      <c r="G456" s="597" t="s">
        <v>332</v>
      </c>
      <c r="H456" s="7"/>
      <c r="I456" s="250"/>
      <c r="J456" s="251"/>
      <c r="K456" s="38">
        <v>17760</v>
      </c>
      <c r="L456" s="596" t="s">
        <v>24</v>
      </c>
      <c r="M456" s="596" t="s">
        <v>40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>x</v>
      </c>
      <c r="T456" s="52" t="str">
        <f>IF(ISERROR(FIND('112'!$M$9,G456,1)),"",IF((AND(RIGHT(G456,2)=RIGHT('112'!$M$9,2),B456&lt;'112'!$N$8,$M456='112'!$I$6)),"x",""))</f>
        <v/>
      </c>
      <c r="U456" s="52" t="str">
        <f>IF(OR(TH!L456=TH!$U$7,M456=TH!$U$7),"x","")</f>
        <v/>
      </c>
      <c r="V456" s="52" t="str">
        <f>IF(AND(B456&gt;='IN-NX'!$P$3,B456&lt;='IN-NX'!$Q$3,'IN-NX'!$D$7=D456,OR(LEFT(L456,2)="15",AND(LEFT(M456,2)&lt;&gt;"15",LEFT(M456,2)&lt;&gt;"33"))),"x","")</f>
        <v/>
      </c>
      <c r="W456" s="52" t="str">
        <f>IF(AND(OR(LEFT(TH!L456,2)="15",LEFT(TH!M456,2)="15"),'152-CT'!$J$8=TH!F456),"x","")</f>
        <v/>
      </c>
      <c r="X456" s="52" t="str">
        <f>IF(AND(OR(LEFT(TH!L456,2)="15",LEFT(TH!M456,2)="15"),TK!$E$7=TH!F456),"x","")</f>
        <v/>
      </c>
      <c r="Y456" s="52" t="str">
        <f>IF(AND(B456&lt;=NKC!$N$8,B456&gt;=NKC!$M$8),"x","")</f>
        <v/>
      </c>
      <c r="AA456" s="195"/>
      <c r="AB456" s="195"/>
    </row>
    <row r="457" spans="1:28" s="587" customFormat="1" ht="15.75" customHeight="1">
      <c r="A457" s="201" t="str">
        <f>IF(B457&lt;&gt;"",IF(AND(B457&gt;=_TM1,B457&lt;=_TM2,OR(TH!L457="1111",TH!M457="1111")),TH!D457,""),"")</f>
        <v/>
      </c>
      <c r="B457" s="36">
        <f t="shared" si="20"/>
        <v>6</v>
      </c>
      <c r="C457" s="181">
        <f t="shared" si="21"/>
        <v>41451</v>
      </c>
      <c r="D457" s="181" t="s">
        <v>1275</v>
      </c>
      <c r="E457" s="188">
        <v>41451</v>
      </c>
      <c r="F457" s="186" t="s">
        <v>469</v>
      </c>
      <c r="G457" s="597" t="s">
        <v>332</v>
      </c>
      <c r="H457" s="7" t="s">
        <v>364</v>
      </c>
      <c r="I457" s="250"/>
      <c r="J457" s="251"/>
      <c r="K457" s="38">
        <v>22000000</v>
      </c>
      <c r="L457" s="596" t="s">
        <v>47</v>
      </c>
      <c r="M457" s="596" t="s">
        <v>24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>x</v>
      </c>
      <c r="U457" s="52" t="str">
        <f>IF(OR(TH!L457=TH!$U$7,M457=TH!$U$7),"x","")</f>
        <v/>
      </c>
      <c r="V457" s="52" t="str">
        <f>IF(AND(B457&gt;='IN-NX'!$P$3,B457&lt;='IN-NX'!$Q$3,'IN-NX'!$D$7=D457,OR(LEFT(L457,2)="15",AND(LEFT(M457,2)&lt;&gt;"15",LEFT(M457,2)&lt;&gt;"33"))),"x","")</f>
        <v/>
      </c>
      <c r="W457" s="52" t="str">
        <f>IF(AND(OR(LEFT(TH!L457,2)="15",LEFT(TH!M457,2)="15"),'152-CT'!$J$8=TH!F457),"x","")</f>
        <v/>
      </c>
      <c r="X457" s="52" t="str">
        <f>IF(AND(OR(LEFT(TH!L457,2)="15",LEFT(TH!M457,2)="15"),TK!$E$7=TH!F457),"x","")</f>
        <v/>
      </c>
      <c r="Y457" s="52" t="str">
        <f>IF(AND(B457&lt;=NKC!$N$8,B457&gt;=NKC!$M$8),"x","")</f>
        <v/>
      </c>
      <c r="AA457" s="195"/>
      <c r="AB457" s="195"/>
    </row>
    <row r="458" spans="1:28" s="587" customFormat="1" ht="15.75" customHeight="1">
      <c r="A458" s="201" t="str">
        <f>IF(B458&lt;&gt;"",IF(AND(B458&gt;=_TM1,B458&lt;=_TM2,OR(TH!L458="1111",TH!M458="1111")),TH!D458,""),"")</f>
        <v/>
      </c>
      <c r="B458" s="36">
        <f t="shared" si="20"/>
        <v>6</v>
      </c>
      <c r="C458" s="181">
        <f t="shared" si="21"/>
        <v>41451</v>
      </c>
      <c r="D458" s="181" t="s">
        <v>336</v>
      </c>
      <c r="E458" s="188">
        <v>41451</v>
      </c>
      <c r="F458" s="186" t="s">
        <v>367</v>
      </c>
      <c r="G458" s="597" t="s">
        <v>332</v>
      </c>
      <c r="H458" s="190" t="s">
        <v>554</v>
      </c>
      <c r="I458" s="250"/>
      <c r="J458" s="251"/>
      <c r="K458" s="38">
        <v>20000000</v>
      </c>
      <c r="L458" s="596" t="s">
        <v>8</v>
      </c>
      <c r="M458" s="596" t="s">
        <v>24</v>
      </c>
      <c r="N458" s="52" t="str">
        <f>IF(AND('331-CT'!$E$7=TH!H458,OR(L458="331",M458="331")),"331",IF(AND(OR(L458="131",M458="131"),H458='131-CT'!$E$7),"131",""))</f>
        <v>331</v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>x</v>
      </c>
      <c r="U458" s="52" t="str">
        <f>IF(OR(TH!L458=TH!$U$7,M458=TH!$U$7),"x","")</f>
        <v/>
      </c>
      <c r="V458" s="52" t="str">
        <f>IF(AND(B458&gt;='IN-NX'!$P$3,B458&lt;='IN-NX'!$Q$3,'IN-NX'!$D$7=D458,OR(LEFT(L458,2)="15",AND(LEFT(M458,2)&lt;&gt;"15",LEFT(M458,2)&lt;&gt;"33"))),"x","")</f>
        <v/>
      </c>
      <c r="W458" s="52" t="str">
        <f>IF(AND(OR(LEFT(TH!L458,2)="15",LEFT(TH!M458,2)="15"),'152-CT'!$J$8=TH!F458),"x","")</f>
        <v/>
      </c>
      <c r="X458" s="52" t="str">
        <f>IF(AND(OR(LEFT(TH!L458,2)="15",LEFT(TH!M458,2)="15"),TK!$E$7=TH!F458),"x","")</f>
        <v/>
      </c>
      <c r="Y458" s="52" t="str">
        <f>IF(AND(B458&lt;=NKC!$N$8,B458&gt;=NKC!$M$8),"x","")</f>
        <v/>
      </c>
      <c r="AA458" s="195"/>
      <c r="AB458" s="195"/>
    </row>
    <row r="459" spans="1:28" s="587" customFormat="1" ht="15.75" customHeight="1">
      <c r="A459" s="201" t="str">
        <f>IF(B459&lt;&gt;"",IF(AND(B459&gt;=_TM1,B459&lt;=_TM2,OR(TH!L459="1111",TH!M459="1111")),TH!D459,""),"")</f>
        <v/>
      </c>
      <c r="B459" s="36">
        <f t="shared" si="20"/>
        <v>6</v>
      </c>
      <c r="C459" s="188">
        <f t="shared" si="21"/>
        <v>41451</v>
      </c>
      <c r="D459" s="181" t="s">
        <v>1054</v>
      </c>
      <c r="E459" s="188">
        <v>41451</v>
      </c>
      <c r="F459" s="189" t="s">
        <v>805</v>
      </c>
      <c r="G459" s="189" t="s">
        <v>827</v>
      </c>
      <c r="H459" s="207" t="s">
        <v>710</v>
      </c>
      <c r="I459" s="249">
        <v>500</v>
      </c>
      <c r="J459" s="249">
        <v>10500</v>
      </c>
      <c r="K459" s="38">
        <f>ROUND(I459*J459,0)</f>
        <v>5250000</v>
      </c>
      <c r="L459" s="191" t="s">
        <v>262</v>
      </c>
      <c r="M459" s="191" t="s">
        <v>172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IF(OR(TH!L459=TH!$U$7,M459=TH!$U$7),"x","")</f>
        <v/>
      </c>
      <c r="V459" s="52" t="str">
        <f>IF(AND(B459&gt;='IN-NX'!$P$3,B459&lt;='IN-NX'!$Q$3,'IN-NX'!$D$7=D459,OR(LEFT(L459,2)="15",AND(LEFT(M459,2)&lt;&gt;"15",LEFT(M459,2)&lt;&gt;"33"))),"x","")</f>
        <v/>
      </c>
      <c r="W459" s="52" t="str">
        <f>IF(AND(OR(LEFT(TH!L459,2)="15",LEFT(TH!M459,2)="15"),'152-CT'!$J$8=TH!F459),"x","")</f>
        <v/>
      </c>
      <c r="X459" s="52" t="str">
        <f>IF(AND(OR(LEFT(TH!L459,2)="15",LEFT(TH!M459,2)="15"),TK!$E$7=TH!F459),"x","")</f>
        <v/>
      </c>
      <c r="Y459" s="52" t="str">
        <f>IF(AND(B459&lt;=NKC!$N$8,B459&gt;=NKC!$M$8),"x","")</f>
        <v/>
      </c>
    </row>
    <row r="460" spans="1:28" s="587" customFormat="1" ht="15.75" customHeight="1">
      <c r="A460" s="201" t="str">
        <f>IF(B460&lt;&gt;"",IF(AND(B460&gt;=_TM1,B460&lt;=_TM2,OR(TH!L460="1111",TH!M460="1111")),TH!D460,""),"")</f>
        <v/>
      </c>
      <c r="B460" s="36">
        <f t="shared" si="20"/>
        <v>6</v>
      </c>
      <c r="C460" s="188">
        <f t="shared" si="21"/>
        <v>41451</v>
      </c>
      <c r="D460" s="181" t="s">
        <v>1054</v>
      </c>
      <c r="E460" s="188">
        <v>41451</v>
      </c>
      <c r="F460" s="189" t="s">
        <v>693</v>
      </c>
      <c r="G460" s="189" t="s">
        <v>827</v>
      </c>
      <c r="H460" s="207" t="s">
        <v>710</v>
      </c>
      <c r="I460" s="249"/>
      <c r="J460" s="249"/>
      <c r="K460" s="38">
        <v>525000</v>
      </c>
      <c r="L460" s="191" t="s">
        <v>262</v>
      </c>
      <c r="M460" s="191" t="s">
        <v>425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IF(OR(TH!L460=TH!$U$7,M460=TH!$U$7),"x","")</f>
        <v/>
      </c>
      <c r="V460" s="52" t="str">
        <f>IF(AND(B460&gt;='IN-NX'!$P$3,B460&lt;='IN-NX'!$Q$3,'IN-NX'!$D$7=D460,OR(LEFT(L460,2)="15",AND(LEFT(M460,2)&lt;&gt;"15",LEFT(M460,2)&lt;&gt;"33"))),"x","")</f>
        <v/>
      </c>
      <c r="W460" s="52" t="str">
        <f>IF(AND(OR(LEFT(TH!L460,2)="15",LEFT(TH!M460,2)="15"),'152-CT'!$J$8=TH!F460),"x","")</f>
        <v/>
      </c>
      <c r="X460" s="52" t="str">
        <f>IF(AND(OR(LEFT(TH!L460,2)="15",LEFT(TH!M460,2)="15"),TK!$E$7=TH!F460),"x","")</f>
        <v/>
      </c>
      <c r="Y460" s="52" t="str">
        <f>IF(AND(B460&lt;=NKC!$N$8,B460&gt;=NKC!$M$8),"x","")</f>
        <v/>
      </c>
      <c r="Z460" s="208"/>
      <c r="AA460" s="587" t="str">
        <f>IF(VLOOKUP(H460,DS_131,1,0)&lt;&gt;"","","x")</f>
        <v/>
      </c>
    </row>
    <row r="461" spans="1:28" s="587" customFormat="1" ht="15.75" customHeight="1">
      <c r="A461" s="201" t="str">
        <f>IF(B461&lt;&gt;"",IF(AND(B461&gt;=_TM1,B461&lt;=_TM2,OR(TH!L461="1111",TH!M461="1111")),TH!D461,""),"")</f>
        <v/>
      </c>
      <c r="B461" s="36">
        <f t="shared" si="20"/>
        <v>6</v>
      </c>
      <c r="C461" s="188">
        <f t="shared" si="21"/>
        <v>41451</v>
      </c>
      <c r="D461" s="181" t="s">
        <v>1277</v>
      </c>
      <c r="E461" s="188">
        <v>41451</v>
      </c>
      <c r="F461" s="186" t="s">
        <v>337</v>
      </c>
      <c r="G461" s="189" t="s">
        <v>1321</v>
      </c>
      <c r="H461" s="207" t="s">
        <v>710</v>
      </c>
      <c r="I461" s="249"/>
      <c r="J461" s="249"/>
      <c r="K461" s="38">
        <v>15557850</v>
      </c>
      <c r="L461" s="191" t="s">
        <v>47</v>
      </c>
      <c r="M461" s="191" t="s">
        <v>262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>x</v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IF(OR(TH!L461=TH!$U$7,M461=TH!$U$7),"x","")</f>
        <v/>
      </c>
      <c r="V461" s="52" t="str">
        <f>IF(AND(B461&gt;='IN-NX'!$P$3,B461&lt;='IN-NX'!$Q$3,'IN-NX'!$D$7=D461,OR(LEFT(L461,2)="15",AND(LEFT(M461,2)&lt;&gt;"15",LEFT(M461,2)&lt;&gt;"33"))),"x","")</f>
        <v/>
      </c>
      <c r="W461" s="52" t="str">
        <f>IF(AND(OR(LEFT(TH!L461,2)="15",LEFT(TH!M461,2)="15"),'152-CT'!$J$8=TH!F461),"x","")</f>
        <v/>
      </c>
      <c r="X461" s="52" t="str">
        <f>IF(AND(OR(LEFT(TH!L461,2)="15",LEFT(TH!M461,2)="15"),TK!$E$7=TH!F461),"x","")</f>
        <v/>
      </c>
      <c r="Y461" s="52" t="str">
        <f>IF(AND(B461&lt;=NKC!$N$8,B461&gt;=NKC!$M$8),"x","")</f>
        <v/>
      </c>
      <c r="Z461" s="208"/>
      <c r="AA461" s="587" t="str">
        <f>IF(VLOOKUP(H461,DS_131,1,0)&lt;&gt;"","","x")</f>
        <v/>
      </c>
    </row>
    <row r="462" spans="1:28" s="587" customFormat="1" ht="15.75" customHeight="1">
      <c r="A462" s="201" t="str">
        <f>IF(B462&lt;&gt;"",IF(AND(B462&gt;=_TM1,B462&lt;=_TM2,OR(TH!L462="1111",TH!M462="1111")),TH!D462,""),"")</f>
        <v/>
      </c>
      <c r="B462" s="36">
        <f t="shared" si="20"/>
        <v>6</v>
      </c>
      <c r="C462" s="188">
        <f t="shared" si="21"/>
        <v>41451</v>
      </c>
      <c r="D462" s="181" t="s">
        <v>1055</v>
      </c>
      <c r="E462" s="188">
        <v>41451</v>
      </c>
      <c r="F462" s="189" t="s">
        <v>828</v>
      </c>
      <c r="G462" s="189" t="s">
        <v>829</v>
      </c>
      <c r="H462" s="7" t="s">
        <v>427</v>
      </c>
      <c r="I462" s="249">
        <v>1480</v>
      </c>
      <c r="J462" s="249">
        <v>19200</v>
      </c>
      <c r="K462" s="38">
        <f>ROUND(I462*J462,0)</f>
        <v>28416000</v>
      </c>
      <c r="L462" s="191" t="s">
        <v>262</v>
      </c>
      <c r="M462" s="191" t="s">
        <v>172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IF(OR(TH!L462=TH!$U$7,M462=TH!$U$7),"x","")</f>
        <v/>
      </c>
      <c r="V462" s="52" t="str">
        <f>IF(AND(B462&gt;='IN-NX'!$P$3,B462&lt;='IN-NX'!$Q$3,'IN-NX'!$D$7=D462,OR(LEFT(L462,2)="15",AND(LEFT(M462,2)&lt;&gt;"15",LEFT(M462,2)&lt;&gt;"33"))),"x","")</f>
        <v/>
      </c>
      <c r="W462" s="52" t="str">
        <f>IF(AND(OR(LEFT(TH!L462,2)="15",LEFT(TH!M462,2)="15"),'152-CT'!$J$8=TH!F462),"x","")</f>
        <v/>
      </c>
      <c r="X462" s="52" t="str">
        <f>IF(AND(OR(LEFT(TH!L462,2)="15",LEFT(TH!M462,2)="15"),TK!$E$7=TH!F462),"x","")</f>
        <v/>
      </c>
      <c r="Y462" s="52" t="str">
        <f>IF(AND(B462&lt;=NKC!$N$8,B462&gt;=NKC!$M$8),"x","")</f>
        <v/>
      </c>
      <c r="Z462" s="208"/>
      <c r="AB462" s="208"/>
    </row>
    <row r="463" spans="1:28" s="587" customFormat="1" ht="15.75" customHeight="1">
      <c r="A463" s="201" t="str">
        <f>IF(B463&lt;&gt;"",IF(AND(B463&gt;=_TM1,B463&lt;=_TM2,OR(TH!L463="1111",TH!M463="1111")),TH!D463,""),"")</f>
        <v/>
      </c>
      <c r="B463" s="36">
        <f t="shared" si="20"/>
        <v>6</v>
      </c>
      <c r="C463" s="188">
        <f t="shared" si="21"/>
        <v>41451</v>
      </c>
      <c r="D463" s="181" t="s">
        <v>1055</v>
      </c>
      <c r="E463" s="188">
        <v>41451</v>
      </c>
      <c r="F463" s="189" t="s">
        <v>693</v>
      </c>
      <c r="G463" s="189" t="s">
        <v>829</v>
      </c>
      <c r="H463" s="7" t="s">
        <v>427</v>
      </c>
      <c r="I463" s="249"/>
      <c r="J463" s="249"/>
      <c r="K463" s="38">
        <v>2841600</v>
      </c>
      <c r="L463" s="191" t="s">
        <v>262</v>
      </c>
      <c r="M463" s="191" t="s">
        <v>425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IF(OR(TH!L463=TH!$U$7,M463=TH!$U$7),"x","")</f>
        <v/>
      </c>
      <c r="V463" s="52" t="str">
        <f>IF(AND(B463&gt;='IN-NX'!$P$3,B463&lt;='IN-NX'!$Q$3,'IN-NX'!$D$7=D463,OR(LEFT(L463,2)="15",AND(LEFT(M463,2)&lt;&gt;"15",LEFT(M463,2)&lt;&gt;"33"))),"x","")</f>
        <v/>
      </c>
      <c r="W463" s="52" t="str">
        <f>IF(AND(OR(LEFT(TH!L463,2)="15",LEFT(TH!M463,2)="15"),'152-CT'!$J$8=TH!F463),"x","")</f>
        <v/>
      </c>
      <c r="X463" s="52" t="str">
        <f>IF(AND(OR(LEFT(TH!L463,2)="15",LEFT(TH!M463,2)="15"),TK!$E$7=TH!F463),"x","")</f>
        <v/>
      </c>
      <c r="Y463" s="52" t="str">
        <f>IF(AND(B463&lt;=NKC!$N$8,B463&gt;=NKC!$M$8),"x","")</f>
        <v/>
      </c>
      <c r="AA463" s="587" t="str">
        <f>IF(VLOOKUP(H463,DS_131,1,0)&lt;&gt;"","","x")</f>
        <v/>
      </c>
      <c r="AB463" s="208"/>
    </row>
    <row r="464" spans="1:28" s="587" customFormat="1" ht="15.75" customHeight="1">
      <c r="A464" s="201" t="str">
        <f>IF(B464&lt;&gt;"",IF(AND(B464&gt;=_TM1,B464&lt;=_TM2,OR(TH!L464="1111",TH!M464="1111")),TH!D464,""),"")</f>
        <v/>
      </c>
      <c r="B464" s="36">
        <f t="shared" si="20"/>
        <v>6</v>
      </c>
      <c r="C464" s="188">
        <f t="shared" si="21"/>
        <v>41452</v>
      </c>
      <c r="D464" s="181" t="s">
        <v>1056</v>
      </c>
      <c r="E464" s="188">
        <v>41452</v>
      </c>
      <c r="F464" s="189" t="s">
        <v>1103</v>
      </c>
      <c r="G464" s="189" t="s">
        <v>830</v>
      </c>
      <c r="H464" s="7" t="s">
        <v>427</v>
      </c>
      <c r="I464" s="249">
        <v>3077</v>
      </c>
      <c r="J464" s="249">
        <v>6250</v>
      </c>
      <c r="K464" s="38">
        <f>ROUND(I464*J464,0)</f>
        <v>19231250</v>
      </c>
      <c r="L464" s="191" t="s">
        <v>262</v>
      </c>
      <c r="M464" s="191" t="s">
        <v>172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IF(OR(TH!L464=TH!$U$7,M464=TH!$U$7),"x","")</f>
        <v/>
      </c>
      <c r="V464" s="52" t="str">
        <f>IF(AND(B464&gt;='IN-NX'!$P$3,B464&lt;='IN-NX'!$Q$3,'IN-NX'!$D$7=D464,OR(LEFT(L464,2)="15",AND(LEFT(M464,2)&lt;&gt;"15",LEFT(M464,2)&lt;&gt;"33"))),"x","")</f>
        <v/>
      </c>
      <c r="W464" s="52" t="str">
        <f>IF(AND(OR(LEFT(TH!L464,2)="15",LEFT(TH!M464,2)="15"),'152-CT'!$J$8=TH!F464),"x","")</f>
        <v/>
      </c>
      <c r="X464" s="52" t="str">
        <f>IF(AND(OR(LEFT(TH!L464,2)="15",LEFT(TH!M464,2)="15"),TK!$E$7=TH!F464),"x","")</f>
        <v/>
      </c>
      <c r="Y464" s="52" t="str">
        <f>IF(AND(B464&lt;=NKC!$N$8,B464&gt;=NKC!$M$8),"x","")</f>
        <v/>
      </c>
      <c r="Z464" s="208"/>
      <c r="AB464" s="208"/>
    </row>
    <row r="465" spans="1:28" s="587" customFormat="1" ht="15.75" customHeight="1">
      <c r="A465" s="201" t="str">
        <f>IF(B465&lt;&gt;"",IF(AND(B465&gt;=_TM1,B465&lt;=_TM2,OR(TH!L465="1111",TH!M465="1111")),TH!D465,""),"")</f>
        <v/>
      </c>
      <c r="B465" s="36">
        <f t="shared" si="20"/>
        <v>6</v>
      </c>
      <c r="C465" s="188">
        <f t="shared" si="21"/>
        <v>41452</v>
      </c>
      <c r="D465" s="181" t="s">
        <v>1056</v>
      </c>
      <c r="E465" s="188">
        <v>41452</v>
      </c>
      <c r="F465" s="189" t="s">
        <v>693</v>
      </c>
      <c r="G465" s="189" t="s">
        <v>830</v>
      </c>
      <c r="H465" s="7" t="s">
        <v>427</v>
      </c>
      <c r="I465" s="249"/>
      <c r="J465" s="249"/>
      <c r="K465" s="38">
        <v>1923125</v>
      </c>
      <c r="L465" s="191" t="s">
        <v>262</v>
      </c>
      <c r="M465" s="191" t="s">
        <v>425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IF(OR(TH!L465=TH!$U$7,M465=TH!$U$7),"x","")</f>
        <v/>
      </c>
      <c r="V465" s="52" t="str">
        <f>IF(AND(B465&gt;='IN-NX'!$P$3,B465&lt;='IN-NX'!$Q$3,'IN-NX'!$D$7=D465,OR(LEFT(L465,2)="15",AND(LEFT(M465,2)&lt;&gt;"15",LEFT(M465,2)&lt;&gt;"33"))),"x","")</f>
        <v/>
      </c>
      <c r="W465" s="52" t="str">
        <f>IF(AND(OR(LEFT(TH!L465,2)="15",LEFT(TH!M465,2)="15"),'152-CT'!$J$8=TH!F465),"x","")</f>
        <v/>
      </c>
      <c r="X465" s="52" t="str">
        <f>IF(AND(OR(LEFT(TH!L465,2)="15",LEFT(TH!M465,2)="15"),TK!$E$7=TH!F465),"x","")</f>
        <v/>
      </c>
      <c r="Y465" s="52" t="str">
        <f>IF(AND(B465&lt;=NKC!$N$8,B465&gt;=NKC!$M$8),"x","")</f>
        <v/>
      </c>
      <c r="AA465" s="587" t="str">
        <f>IF(VLOOKUP(H465,DS_131,1,0)&lt;&gt;"","","x")</f>
        <v/>
      </c>
      <c r="AB465" s="208"/>
    </row>
    <row r="466" spans="1:28" s="587" customFormat="1" ht="15.75" customHeight="1">
      <c r="A466" s="201" t="str">
        <f>IF(B466&lt;&gt;"",IF(AND(B466&gt;=_TM1,B466&lt;=_TM2,OR(TH!L466="1111",TH!M466="1111")),TH!D466,""),"")</f>
        <v/>
      </c>
      <c r="B466" s="36">
        <f t="shared" si="20"/>
        <v>6</v>
      </c>
      <c r="C466" s="771">
        <f t="shared" si="21"/>
        <v>41455</v>
      </c>
      <c r="D466" s="771" t="s">
        <v>339</v>
      </c>
      <c r="E466" s="771">
        <v>41455</v>
      </c>
      <c r="F466" s="696" t="s">
        <v>1255</v>
      </c>
      <c r="G466" s="697"/>
      <c r="H466" s="609"/>
      <c r="I466" s="477"/>
      <c r="J466" s="477"/>
      <c r="K466" s="698">
        <v>5850000</v>
      </c>
      <c r="L466" s="699" t="s">
        <v>83</v>
      </c>
      <c r="M466" s="699" t="s">
        <v>265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IF(OR(TH!L466=TH!$U$7,M466=TH!$U$7),"x","")</f>
        <v>x</v>
      </c>
      <c r="V466" s="52" t="str">
        <f>IF(AND(B466&gt;='IN-NX'!$P$3,B466&lt;='IN-NX'!$Q$3,'IN-NX'!$D$7=D466,OR(LEFT(L466,2)="15",AND(LEFT(M466,2)&lt;&gt;"15",LEFT(M466,2)&lt;&gt;"33"))),"x","")</f>
        <v/>
      </c>
      <c r="W466" s="52" t="str">
        <f>IF(AND(OR(LEFT(TH!L466,2)="15",LEFT(TH!M466,2)="15"),'152-CT'!$J$8=TH!F466),"x","")</f>
        <v/>
      </c>
      <c r="X466" s="52" t="str">
        <f>IF(AND(OR(LEFT(TH!L466,2)="15",LEFT(TH!M466,2)="15"),TK!$E$7=TH!F466),"x","")</f>
        <v/>
      </c>
      <c r="Y466" s="52" t="str">
        <f>IF(AND(B466&lt;=NKC!$N$8,B466&gt;=NKC!$M$8),"x","")</f>
        <v/>
      </c>
      <c r="Z466" s="195"/>
      <c r="AA466" s="195"/>
      <c r="AB466" s="195"/>
    </row>
    <row r="467" spans="1:28" s="587" customFormat="1" ht="15.75" customHeight="1">
      <c r="A467" s="201" t="str">
        <f>IF(B467&lt;&gt;"",IF(AND(B467&gt;=_TM1,B467&lt;=_TM2,OR(TH!L467="1111",TH!M467="1111")),TH!D467,""),"")</f>
        <v/>
      </c>
      <c r="B467" s="36">
        <f t="shared" si="20"/>
        <v>6</v>
      </c>
      <c r="C467" s="771">
        <f t="shared" si="21"/>
        <v>41455</v>
      </c>
      <c r="D467" s="771" t="s">
        <v>339</v>
      </c>
      <c r="E467" s="771">
        <v>41455</v>
      </c>
      <c r="F467" s="696" t="s">
        <v>1256</v>
      </c>
      <c r="G467" s="697"/>
      <c r="H467" s="609"/>
      <c r="I467" s="477"/>
      <c r="J467" s="477"/>
      <c r="K467" s="698">
        <v>7525000</v>
      </c>
      <c r="L467" s="699" t="s">
        <v>162</v>
      </c>
      <c r="M467" s="699" t="s">
        <v>265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IF(OR(TH!L467=TH!$U$7,M467=TH!$U$7),"x","")</f>
        <v/>
      </c>
      <c r="V467" s="52" t="str">
        <f>IF(AND(B467&gt;='IN-NX'!$P$3,B467&lt;='IN-NX'!$Q$3,'IN-NX'!$D$7=D467,OR(LEFT(L467,2)="15",AND(LEFT(M467,2)&lt;&gt;"15",LEFT(M467,2)&lt;&gt;"33"))),"x","")</f>
        <v/>
      </c>
      <c r="W467" s="52" t="str">
        <f>IF(AND(OR(LEFT(TH!L467,2)="15",LEFT(TH!M467,2)="15"),'152-CT'!$J$8=TH!F467),"x","")</f>
        <v/>
      </c>
      <c r="X467" s="52" t="str">
        <f>IF(AND(OR(LEFT(TH!L467,2)="15",LEFT(TH!M467,2)="15"),TK!$E$7=TH!F467),"x","")</f>
        <v/>
      </c>
      <c r="Y467" s="52" t="str">
        <f>IF(AND(B467&lt;=NKC!$N$8,B467&gt;=NKC!$M$8),"x","")</f>
        <v/>
      </c>
      <c r="Z467" s="195"/>
      <c r="AA467" s="195"/>
      <c r="AB467" s="195"/>
    </row>
    <row r="468" spans="1:28" s="587" customFormat="1" ht="15.75" customHeight="1">
      <c r="A468" s="201" t="str">
        <f>IF(B468&lt;&gt;"",IF(AND(B468&gt;=_TM1,B468&lt;=_TM2,OR(TH!L468="1111",TH!M468="1111")),TH!D468,""),"")</f>
        <v/>
      </c>
      <c r="B468" s="36">
        <f t="shared" si="20"/>
        <v>6</v>
      </c>
      <c r="C468" s="771">
        <f t="shared" si="21"/>
        <v>41455</v>
      </c>
      <c r="D468" s="771" t="s">
        <v>1262</v>
      </c>
      <c r="E468" s="771">
        <v>41455</v>
      </c>
      <c r="F468" s="696" t="str">
        <f>"Thanh toán tiền lương tháng "&amp;MONTH(E468)&amp;"/"&amp;YEAR(E468)</f>
        <v>Thanh toán tiền lương tháng 6/2013</v>
      </c>
      <c r="G468" s="697"/>
      <c r="H468" s="609" t="s">
        <v>364</v>
      </c>
      <c r="I468" s="477"/>
      <c r="J468" s="477"/>
      <c r="K468" s="698">
        <f>K466+K467</f>
        <v>13375000</v>
      </c>
      <c r="L468" s="699" t="s">
        <v>265</v>
      </c>
      <c r="M468" s="69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>x</v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IF(OR(TH!L468=TH!$U$7,M468=TH!$U$7),"x","")</f>
        <v/>
      </c>
      <c r="V468" s="52" t="str">
        <f>IF(AND(B468&gt;='IN-NX'!$P$3,B468&lt;='IN-NX'!$Q$3,'IN-NX'!$D$7=D468,OR(LEFT(L468,2)="15",AND(LEFT(M468,2)&lt;&gt;"15",LEFT(M468,2)&lt;&gt;"33"))),"x","")</f>
        <v/>
      </c>
      <c r="W468" s="52" t="str">
        <f>IF(AND(OR(LEFT(TH!L468,2)="15",LEFT(TH!M468,2)="15"),'152-CT'!$J$8=TH!F468),"x","")</f>
        <v/>
      </c>
      <c r="X468" s="52" t="str">
        <f>IF(AND(OR(LEFT(TH!L468,2)="15",LEFT(TH!M468,2)="15"),TK!$E$7=TH!F468),"x","")</f>
        <v/>
      </c>
      <c r="Y468" s="52" t="str">
        <f>IF(AND(B468&lt;=NKC!$N$8,B468&gt;=NKC!$M$8),"x","")</f>
        <v/>
      </c>
      <c r="Z468" s="195"/>
      <c r="AA468" s="195"/>
      <c r="AB468" s="195"/>
    </row>
    <row r="469" spans="1:28" s="587" customFormat="1" ht="15.75" customHeight="1">
      <c r="A469" s="201" t="str">
        <f>IF(B469&lt;&gt;"",IF(AND(B469&gt;=_TM1,B469&lt;=_TM2,OR(TH!L469="1111",TH!M469="1111")),TH!D469,""),"")</f>
        <v/>
      </c>
      <c r="B469" s="36">
        <f t="shared" si="20"/>
        <v>7</v>
      </c>
      <c r="C469" s="188">
        <f t="shared" si="21"/>
        <v>41460</v>
      </c>
      <c r="D469" s="181" t="s">
        <v>1014</v>
      </c>
      <c r="E469" s="188">
        <v>41460</v>
      </c>
      <c r="F469" s="189" t="s">
        <v>1131</v>
      </c>
      <c r="G469" s="189" t="s">
        <v>831</v>
      </c>
      <c r="H469" s="7" t="s">
        <v>832</v>
      </c>
      <c r="I469" s="249">
        <v>527</v>
      </c>
      <c r="J469" s="249">
        <v>6700</v>
      </c>
      <c r="K469" s="38">
        <f>ROUND(I469*J469,0)</f>
        <v>3530900</v>
      </c>
      <c r="L469" s="191" t="s">
        <v>262</v>
      </c>
      <c r="M469" s="191" t="s">
        <v>172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IF(OR(TH!L469=TH!$U$7,M469=TH!$U$7),"x","")</f>
        <v/>
      </c>
      <c r="V469" s="52" t="str">
        <f>IF(AND(B469&gt;='IN-NX'!$P$3,B469&lt;='IN-NX'!$Q$3,'IN-NX'!$D$7=D469,OR(LEFT(L469,2)="15",AND(LEFT(M469,2)&lt;&gt;"15",LEFT(M469,2)&lt;&gt;"33"))),"x","")</f>
        <v/>
      </c>
      <c r="W469" s="52" t="str">
        <f>IF(AND(OR(LEFT(TH!L469,2)="15",LEFT(TH!M469,2)="15"),'152-CT'!$J$8=TH!F469),"x","")</f>
        <v/>
      </c>
      <c r="X469" s="52" t="str">
        <f>IF(AND(OR(LEFT(TH!L469,2)="15",LEFT(TH!M469,2)="15"),TK!$E$7=TH!F469),"x","")</f>
        <v/>
      </c>
      <c r="Y469" s="52" t="str">
        <f>IF(AND(B469&lt;=NKC!$N$8,B469&gt;=NKC!$M$8),"x","")</f>
        <v>x</v>
      </c>
      <c r="Z469" s="208"/>
      <c r="AB469" s="208"/>
    </row>
    <row r="470" spans="1:28" s="587" customFormat="1" ht="15.75" customHeight="1">
      <c r="A470" s="201" t="str">
        <f>IF(B470&lt;&gt;"",IF(AND(B470&gt;=_TM1,B470&lt;=_TM2,OR(TH!L470="1111",TH!M470="1111")),TH!D470,""),"")</f>
        <v/>
      </c>
      <c r="B470" s="36">
        <f t="shared" si="20"/>
        <v>7</v>
      </c>
      <c r="C470" s="188">
        <f t="shared" si="21"/>
        <v>41460</v>
      </c>
      <c r="D470" s="181" t="s">
        <v>1014</v>
      </c>
      <c r="E470" s="188">
        <v>41460</v>
      </c>
      <c r="F470" s="189" t="s">
        <v>833</v>
      </c>
      <c r="G470" s="189" t="s">
        <v>831</v>
      </c>
      <c r="H470" s="7" t="s">
        <v>832</v>
      </c>
      <c r="I470" s="249">
        <v>506</v>
      </c>
      <c r="J470" s="249">
        <v>6800</v>
      </c>
      <c r="K470" s="38">
        <f>ROUND(I470*J470,0)</f>
        <v>3440800</v>
      </c>
      <c r="L470" s="191" t="s">
        <v>262</v>
      </c>
      <c r="M470" s="191" t="s">
        <v>172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IF(OR(TH!L470=TH!$U$7,M470=TH!$U$7),"x","")</f>
        <v/>
      </c>
      <c r="V470" s="52" t="str">
        <f>IF(AND(B470&gt;='IN-NX'!$P$3,B470&lt;='IN-NX'!$Q$3,'IN-NX'!$D$7=D470,OR(LEFT(L470,2)="15",AND(LEFT(M470,2)&lt;&gt;"15",LEFT(M470,2)&lt;&gt;"33"))),"x","")</f>
        <v/>
      </c>
      <c r="W470" s="52" t="str">
        <f>IF(AND(OR(LEFT(TH!L470,2)="15",LEFT(TH!M470,2)="15"),'152-CT'!$J$8=TH!F470),"x","")</f>
        <v/>
      </c>
      <c r="X470" s="52" t="str">
        <f>IF(AND(OR(LEFT(TH!L470,2)="15",LEFT(TH!M470,2)="15"),TK!$E$7=TH!F470),"x","")</f>
        <v/>
      </c>
      <c r="Y470" s="52" t="str">
        <f>IF(AND(B470&lt;=NKC!$N$8,B470&gt;=NKC!$M$8),"x","")</f>
        <v>x</v>
      </c>
      <c r="Z470" s="195"/>
      <c r="AB470" s="195"/>
    </row>
    <row r="471" spans="1:28" s="587" customFormat="1" ht="15.75" customHeight="1">
      <c r="A471" s="201" t="str">
        <f>IF(B471&lt;&gt;"",IF(AND(B471&gt;=_TM1,B471&lt;=_TM2,OR(TH!L471="1111",TH!M471="1111")),TH!D471,""),"")</f>
        <v/>
      </c>
      <c r="B471" s="36">
        <f t="shared" si="20"/>
        <v>7</v>
      </c>
      <c r="C471" s="188">
        <f t="shared" si="21"/>
        <v>41460</v>
      </c>
      <c r="D471" s="181" t="s">
        <v>1014</v>
      </c>
      <c r="E471" s="188">
        <v>41460</v>
      </c>
      <c r="F471" s="189" t="s">
        <v>693</v>
      </c>
      <c r="G471" s="189" t="s">
        <v>831</v>
      </c>
      <c r="H471" s="7" t="s">
        <v>832</v>
      </c>
      <c r="I471" s="249"/>
      <c r="J471" s="249"/>
      <c r="K471" s="38">
        <v>697170</v>
      </c>
      <c r="L471" s="191" t="s">
        <v>262</v>
      </c>
      <c r="M471" s="191" t="s">
        <v>425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IF(OR(TH!L471=TH!$U$7,M471=TH!$U$7),"x","")</f>
        <v/>
      </c>
      <c r="V471" s="52" t="str">
        <f>IF(AND(B471&gt;='IN-NX'!$P$3,B471&lt;='IN-NX'!$Q$3,'IN-NX'!$D$7=D471,OR(LEFT(L471,2)="15",AND(LEFT(M471,2)&lt;&gt;"15",LEFT(M471,2)&lt;&gt;"33"))),"x","")</f>
        <v/>
      </c>
      <c r="W471" s="52" t="str">
        <f>IF(AND(OR(LEFT(TH!L471,2)="15",LEFT(TH!M471,2)="15"),'152-CT'!$J$8=TH!F471),"x","")</f>
        <v/>
      </c>
      <c r="X471" s="52" t="str">
        <f>IF(AND(OR(LEFT(TH!L471,2)="15",LEFT(TH!M471,2)="15"),TK!$E$7=TH!F471),"x","")</f>
        <v/>
      </c>
      <c r="Y471" s="52" t="str">
        <f>IF(AND(B471&lt;=NKC!$N$8,B471&gt;=NKC!$M$8),"x","")</f>
        <v>x</v>
      </c>
      <c r="Z471" s="195"/>
      <c r="AA471" s="587" t="str">
        <f>IF(VLOOKUP(H471,DS_131,1,0)&lt;&gt;"","","x")</f>
        <v/>
      </c>
      <c r="AB471" s="195"/>
    </row>
    <row r="472" spans="1:28" s="587" customFormat="1" ht="15.75" customHeight="1">
      <c r="A472" s="201" t="str">
        <f>IF(B472&lt;&gt;"",IF(AND(B472&gt;=_TM1,B472&lt;=_TM2,OR(TH!L472="1111",TH!M472="1111")),TH!D472,""),"")</f>
        <v/>
      </c>
      <c r="B472" s="36">
        <f t="shared" si="20"/>
        <v>7</v>
      </c>
      <c r="C472" s="188">
        <f t="shared" si="21"/>
        <v>41463</v>
      </c>
      <c r="D472" s="181" t="s">
        <v>1015</v>
      </c>
      <c r="E472" s="188">
        <v>41463</v>
      </c>
      <c r="F472" s="189" t="s">
        <v>834</v>
      </c>
      <c r="G472" s="189" t="s">
        <v>835</v>
      </c>
      <c r="H472" s="7" t="s">
        <v>549</v>
      </c>
      <c r="I472" s="249">
        <v>144</v>
      </c>
      <c r="J472" s="249">
        <v>20300</v>
      </c>
      <c r="K472" s="38">
        <f>ROUND(I472*J472,0)</f>
        <v>2923200</v>
      </c>
      <c r="L472" s="191" t="s">
        <v>262</v>
      </c>
      <c r="M472" s="191" t="s">
        <v>172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IF(OR(TH!L472=TH!$U$7,M472=TH!$U$7),"x","")</f>
        <v/>
      </c>
      <c r="V472" s="52" t="str">
        <f>IF(AND(B472&gt;='IN-NX'!$P$3,B472&lt;='IN-NX'!$Q$3,'IN-NX'!$D$7=D472,OR(LEFT(L472,2)="15",AND(LEFT(M472,2)&lt;&gt;"15",LEFT(M472,2)&lt;&gt;"33"))),"x","")</f>
        <v/>
      </c>
      <c r="W472" s="52" t="str">
        <f>IF(AND(OR(LEFT(TH!L472,2)="15",LEFT(TH!M472,2)="15"),'152-CT'!$J$8=TH!F472),"x","")</f>
        <v/>
      </c>
      <c r="X472" s="52" t="str">
        <f>IF(AND(OR(LEFT(TH!L472,2)="15",LEFT(TH!M472,2)="15"),TK!$E$7=TH!F472),"x","")</f>
        <v/>
      </c>
      <c r="Y472" s="52" t="str">
        <f>IF(AND(B472&lt;=NKC!$N$8,B472&gt;=NKC!$M$8),"x","")</f>
        <v>x</v>
      </c>
      <c r="Z472" s="195"/>
      <c r="AB472" s="195"/>
    </row>
    <row r="473" spans="1:28" s="587" customFormat="1" ht="15.75" customHeight="1">
      <c r="A473" s="201" t="str">
        <f>IF(B473&lt;&gt;"",IF(AND(B473&gt;=_TM1,B473&lt;=_TM2,OR(TH!L473="1111",TH!M473="1111")),TH!D473,""),"")</f>
        <v/>
      </c>
      <c r="B473" s="36">
        <f t="shared" si="20"/>
        <v>7</v>
      </c>
      <c r="C473" s="188">
        <f t="shared" si="21"/>
        <v>41463</v>
      </c>
      <c r="D473" s="181" t="s">
        <v>1015</v>
      </c>
      <c r="E473" s="188">
        <v>41463</v>
      </c>
      <c r="F473" s="189" t="s">
        <v>836</v>
      </c>
      <c r="G473" s="189" t="s">
        <v>835</v>
      </c>
      <c r="H473" s="7" t="s">
        <v>549</v>
      </c>
      <c r="I473" s="249">
        <v>115</v>
      </c>
      <c r="J473" s="249">
        <v>21300</v>
      </c>
      <c r="K473" s="38">
        <f>ROUND(I473*J473,0)</f>
        <v>2449500</v>
      </c>
      <c r="L473" s="191" t="s">
        <v>262</v>
      </c>
      <c r="M473" s="191" t="s">
        <v>172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IF(OR(TH!L473=TH!$U$7,M473=TH!$U$7),"x","")</f>
        <v/>
      </c>
      <c r="V473" s="52" t="str">
        <f>IF(AND(B473&gt;='IN-NX'!$P$3,B473&lt;='IN-NX'!$Q$3,'IN-NX'!$D$7=D473,OR(LEFT(L473,2)="15",AND(LEFT(M473,2)&lt;&gt;"15",LEFT(M473,2)&lt;&gt;"33"))),"x","")</f>
        <v/>
      </c>
      <c r="W473" s="52" t="str">
        <f>IF(AND(OR(LEFT(TH!L473,2)="15",LEFT(TH!M473,2)="15"),'152-CT'!$J$8=TH!F473),"x","")</f>
        <v/>
      </c>
      <c r="X473" s="52" t="str">
        <f>IF(AND(OR(LEFT(TH!L473,2)="15",LEFT(TH!M473,2)="15"),TK!$E$7=TH!F473),"x","")</f>
        <v/>
      </c>
      <c r="Y473" s="52" t="str">
        <f>IF(AND(B473&lt;=NKC!$N$8,B473&gt;=NKC!$M$8),"x","")</f>
        <v>x</v>
      </c>
      <c r="Z473" s="195"/>
      <c r="AB473" s="195"/>
    </row>
    <row r="474" spans="1:28" s="587" customFormat="1" ht="15.75" customHeight="1">
      <c r="A474" s="201" t="str">
        <f>IF(B474&lt;&gt;"",IF(AND(B474&gt;=_TM1,B474&lt;=_TM2,OR(TH!L474="1111",TH!M474="1111")),TH!D474,""),"")</f>
        <v/>
      </c>
      <c r="B474" s="36">
        <f t="shared" si="20"/>
        <v>7</v>
      </c>
      <c r="C474" s="188">
        <f t="shared" si="21"/>
        <v>41463</v>
      </c>
      <c r="D474" s="181" t="s">
        <v>1015</v>
      </c>
      <c r="E474" s="188">
        <v>41463</v>
      </c>
      <c r="F474" s="189" t="s">
        <v>693</v>
      </c>
      <c r="G474" s="189" t="s">
        <v>835</v>
      </c>
      <c r="H474" s="7" t="s">
        <v>549</v>
      </c>
      <c r="I474" s="249"/>
      <c r="J474" s="249"/>
      <c r="K474" s="38">
        <v>537270</v>
      </c>
      <c r="L474" s="191" t="s">
        <v>262</v>
      </c>
      <c r="M474" s="191" t="s">
        <v>425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IF(OR(TH!L474=TH!$U$7,M474=TH!$U$7),"x","")</f>
        <v/>
      </c>
      <c r="V474" s="52" t="str">
        <f>IF(AND(B474&gt;='IN-NX'!$P$3,B474&lt;='IN-NX'!$Q$3,'IN-NX'!$D$7=D474,OR(LEFT(L474,2)="15",AND(LEFT(M474,2)&lt;&gt;"15",LEFT(M474,2)&lt;&gt;"33"))),"x","")</f>
        <v/>
      </c>
      <c r="W474" s="52" t="str">
        <f>IF(AND(OR(LEFT(TH!L474,2)="15",LEFT(TH!M474,2)="15"),'152-CT'!$J$8=TH!F474),"x","")</f>
        <v/>
      </c>
      <c r="X474" s="52" t="str">
        <f>IF(AND(OR(LEFT(TH!L474,2)="15",LEFT(TH!M474,2)="15"),TK!$E$7=TH!F474),"x","")</f>
        <v/>
      </c>
      <c r="Y474" s="52" t="str">
        <f>IF(AND(B474&lt;=NKC!$N$8,B474&gt;=NKC!$M$8),"x","")</f>
        <v>x</v>
      </c>
      <c r="Z474" s="195"/>
      <c r="AA474" s="587" t="str">
        <f>IF(VLOOKUP(H474,DS_131,1,0)&lt;&gt;"","","x")</f>
        <v/>
      </c>
      <c r="AB474" s="195"/>
    </row>
    <row r="475" spans="1:28" s="208" customFormat="1" ht="15.75" customHeight="1">
      <c r="A475" s="201" t="str">
        <f>IF(B475&lt;&gt;"",IF(AND(B475&gt;=_TM1,B475&lt;=_TM2,OR(TH!L475="1111",TH!M475="1111")),TH!D475,""),"")</f>
        <v/>
      </c>
      <c r="B475" s="36">
        <f t="shared" si="20"/>
        <v>7</v>
      </c>
      <c r="C475" s="188">
        <f t="shared" si="21"/>
        <v>41463</v>
      </c>
      <c r="D475" s="181" t="s">
        <v>372</v>
      </c>
      <c r="E475" s="188">
        <v>41463</v>
      </c>
      <c r="F475" s="186" t="s">
        <v>337</v>
      </c>
      <c r="G475" s="189" t="s">
        <v>1333</v>
      </c>
      <c r="H475" s="7" t="s">
        <v>549</v>
      </c>
      <c r="I475" s="249"/>
      <c r="J475" s="249"/>
      <c r="K475" s="38">
        <v>15256450</v>
      </c>
      <c r="L475" s="191" t="s">
        <v>47</v>
      </c>
      <c r="M475" s="191" t="s">
        <v>262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IF(OR(TH!L475=TH!$U$7,M475=TH!$U$7),"x","")</f>
        <v/>
      </c>
      <c r="V475" s="52" t="str">
        <f>IF(AND(B475&gt;='IN-NX'!$P$3,B475&lt;='IN-NX'!$Q$3,'IN-NX'!$D$7=D475,OR(LEFT(L475,2)="15",AND(LEFT(M475,2)&lt;&gt;"15",LEFT(M475,2)&lt;&gt;"33"))),"x","")</f>
        <v/>
      </c>
      <c r="W475" s="52" t="str">
        <f>IF(AND(OR(LEFT(TH!L475,2)="15",LEFT(TH!M475,2)="15"),'152-CT'!$J$8=TH!F475),"x","")</f>
        <v/>
      </c>
      <c r="X475" s="52" t="str">
        <f>IF(AND(OR(LEFT(TH!L475,2)="15",LEFT(TH!M475,2)="15"),TK!$E$7=TH!F475),"x","")</f>
        <v/>
      </c>
      <c r="Y475" s="52" t="str">
        <f>IF(AND(B475&lt;=NKC!$N$8,B475&gt;=NKC!$M$8),"x","")</f>
        <v>x</v>
      </c>
      <c r="Z475" s="195"/>
      <c r="AA475" s="587" t="str">
        <f>IF(VLOOKUP(H475,DS_131,1,0)&lt;&gt;"","","x")</f>
        <v/>
      </c>
      <c r="AB475" s="195"/>
    </row>
    <row r="476" spans="1:28" s="208" customFormat="1" ht="15.75" customHeight="1">
      <c r="A476" s="201" t="str">
        <f>IF(B476&lt;&gt;"",IF(AND(B476&gt;=_TM1,B476&lt;=_TM2,OR(TH!L476="1111",TH!M476="1111")),TH!D476,""),"")</f>
        <v/>
      </c>
      <c r="B476" s="36">
        <f t="shared" si="20"/>
        <v>7</v>
      </c>
      <c r="C476" s="188">
        <f t="shared" si="21"/>
        <v>41463</v>
      </c>
      <c r="D476" s="181" t="s">
        <v>1016</v>
      </c>
      <c r="E476" s="188">
        <v>41463</v>
      </c>
      <c r="F476" s="189" t="s">
        <v>690</v>
      </c>
      <c r="G476" s="189" t="s">
        <v>837</v>
      </c>
      <c r="H476" s="7" t="s">
        <v>468</v>
      </c>
      <c r="I476" s="249">
        <v>592</v>
      </c>
      <c r="J476" s="249">
        <v>5700</v>
      </c>
      <c r="K476" s="38">
        <f>ROUND(I476*J476,0)</f>
        <v>3374400</v>
      </c>
      <c r="L476" s="191" t="s">
        <v>262</v>
      </c>
      <c r="M476" s="191" t="s">
        <v>172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IF(OR(TH!L476=TH!$U$7,M476=TH!$U$7),"x","")</f>
        <v/>
      </c>
      <c r="V476" s="52" t="str">
        <f>IF(AND(B476&gt;='IN-NX'!$P$3,B476&lt;='IN-NX'!$Q$3,'IN-NX'!$D$7=D476,OR(LEFT(L476,2)="15",AND(LEFT(M476,2)&lt;&gt;"15",LEFT(M476,2)&lt;&gt;"33"))),"x","")</f>
        <v/>
      </c>
      <c r="W476" s="52" t="str">
        <f>IF(AND(OR(LEFT(TH!L476,2)="15",LEFT(TH!M476,2)="15"),'152-CT'!$J$8=TH!F476),"x","")</f>
        <v/>
      </c>
      <c r="X476" s="52" t="str">
        <f>IF(AND(OR(LEFT(TH!L476,2)="15",LEFT(TH!M476,2)="15"),TK!$E$7=TH!F476),"x","")</f>
        <v/>
      </c>
      <c r="Y476" s="52" t="str">
        <f>IF(AND(B476&lt;=NKC!$N$8,B476&gt;=NKC!$M$8),"x","")</f>
        <v>x</v>
      </c>
      <c r="Z476" s="195"/>
      <c r="AA476" s="587"/>
      <c r="AB476" s="195"/>
    </row>
    <row r="477" spans="1:28" s="587" customFormat="1" ht="15.75" customHeight="1">
      <c r="A477" s="201" t="str">
        <f>IF(B477&lt;&gt;"",IF(AND(B477&gt;=_TM1,B477&lt;=_TM2,OR(TH!L477="1111",TH!M477="1111")),TH!D477,""),"")</f>
        <v/>
      </c>
      <c r="B477" s="36">
        <f t="shared" si="20"/>
        <v>7</v>
      </c>
      <c r="C477" s="188">
        <f t="shared" si="21"/>
        <v>41463</v>
      </c>
      <c r="D477" s="181" t="s">
        <v>1016</v>
      </c>
      <c r="E477" s="188">
        <v>41463</v>
      </c>
      <c r="F477" s="189" t="s">
        <v>692</v>
      </c>
      <c r="G477" s="189" t="s">
        <v>837</v>
      </c>
      <c r="H477" s="7" t="s">
        <v>468</v>
      </c>
      <c r="I477" s="249">
        <v>609</v>
      </c>
      <c r="J477" s="249">
        <v>4600</v>
      </c>
      <c r="K477" s="38">
        <f>ROUND(I477*J477,0)</f>
        <v>2801400</v>
      </c>
      <c r="L477" s="191" t="s">
        <v>262</v>
      </c>
      <c r="M477" s="191" t="s">
        <v>172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IF(OR(TH!L477=TH!$U$7,M477=TH!$U$7),"x","")</f>
        <v/>
      </c>
      <c r="V477" s="52" t="str">
        <f>IF(AND(B477&gt;='IN-NX'!$P$3,B477&lt;='IN-NX'!$Q$3,'IN-NX'!$D$7=D477,OR(LEFT(L477,2)="15",AND(LEFT(M477,2)&lt;&gt;"15",LEFT(M477,2)&lt;&gt;"33"))),"x","")</f>
        <v/>
      </c>
      <c r="W477" s="52" t="str">
        <f>IF(AND(OR(LEFT(TH!L477,2)="15",LEFT(TH!M477,2)="15"),'152-CT'!$J$8=TH!F477),"x","")</f>
        <v/>
      </c>
      <c r="X477" s="52" t="str">
        <f>IF(AND(OR(LEFT(TH!L477,2)="15",LEFT(TH!M477,2)="15"),TK!$E$7=TH!F477),"x","")</f>
        <v/>
      </c>
      <c r="Y477" s="52" t="str">
        <f>IF(AND(B477&lt;=NKC!$N$8,B477&gt;=NKC!$M$8),"x","")</f>
        <v>x</v>
      </c>
      <c r="Z477" s="195"/>
      <c r="AB477" s="195"/>
    </row>
    <row r="478" spans="1:28" s="587" customFormat="1" ht="15.75" customHeight="1">
      <c r="A478" s="201" t="str">
        <f>IF(B478&lt;&gt;"",IF(AND(B478&gt;=_TM1,B478&lt;=_TM2,OR(TH!L478="1111",TH!M478="1111")),TH!D478,""),"")</f>
        <v/>
      </c>
      <c r="B478" s="36">
        <f t="shared" si="20"/>
        <v>7</v>
      </c>
      <c r="C478" s="188">
        <f t="shared" si="21"/>
        <v>41463</v>
      </c>
      <c r="D478" s="181" t="s">
        <v>1016</v>
      </c>
      <c r="E478" s="188">
        <v>41463</v>
      </c>
      <c r="F478" s="189" t="s">
        <v>838</v>
      </c>
      <c r="G478" s="480" t="s">
        <v>837</v>
      </c>
      <c r="H478" s="7" t="s">
        <v>468</v>
      </c>
      <c r="I478" s="249">
        <v>813</v>
      </c>
      <c r="J478" s="249">
        <v>8900</v>
      </c>
      <c r="K478" s="38">
        <f>ROUND(I478*J478,0)</f>
        <v>7235700</v>
      </c>
      <c r="L478" s="191" t="s">
        <v>262</v>
      </c>
      <c r="M478" s="191" t="s">
        <v>172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IF(OR(TH!L478=TH!$U$7,M478=TH!$U$7),"x","")</f>
        <v/>
      </c>
      <c r="V478" s="52" t="str">
        <f>IF(AND(B478&gt;='IN-NX'!$P$3,B478&lt;='IN-NX'!$Q$3,'IN-NX'!$D$7=D478,OR(LEFT(L478,2)="15",AND(LEFT(M478,2)&lt;&gt;"15",LEFT(M478,2)&lt;&gt;"33"))),"x","")</f>
        <v/>
      </c>
      <c r="W478" s="52" t="str">
        <f>IF(AND(OR(LEFT(TH!L478,2)="15",LEFT(TH!M478,2)="15"),'152-CT'!$J$8=TH!F478),"x","")</f>
        <v/>
      </c>
      <c r="X478" s="52" t="str">
        <f>IF(AND(OR(LEFT(TH!L478,2)="15",LEFT(TH!M478,2)="15"),TK!$E$7=TH!F478),"x","")</f>
        <v/>
      </c>
      <c r="Y478" s="52" t="str">
        <f>IF(AND(B478&lt;=NKC!$N$8,B478&gt;=NKC!$M$8),"x","")</f>
        <v>x</v>
      </c>
      <c r="Z478" s="195"/>
      <c r="AB478" s="195"/>
    </row>
    <row r="479" spans="1:28" s="587" customFormat="1" ht="15.75" customHeight="1">
      <c r="A479" s="201" t="str">
        <f>IF(B479&lt;&gt;"",IF(AND(B479&gt;=_TM1,B479&lt;=_TM2,OR(TH!L479="1111",TH!M479="1111")),TH!D479,""),"")</f>
        <v/>
      </c>
      <c r="B479" s="36">
        <f t="shared" si="20"/>
        <v>7</v>
      </c>
      <c r="C479" s="188">
        <f t="shared" si="21"/>
        <v>41463</v>
      </c>
      <c r="D479" s="181" t="s">
        <v>1016</v>
      </c>
      <c r="E479" s="188">
        <v>41463</v>
      </c>
      <c r="F479" s="189" t="s">
        <v>839</v>
      </c>
      <c r="G479" s="480" t="s">
        <v>837</v>
      </c>
      <c r="H479" s="207" t="s">
        <v>468</v>
      </c>
      <c r="I479" s="249">
        <v>656</v>
      </c>
      <c r="J479" s="249">
        <v>7200</v>
      </c>
      <c r="K479" s="38">
        <f>ROUND(I479*J479,0)</f>
        <v>4723200</v>
      </c>
      <c r="L479" s="191" t="s">
        <v>262</v>
      </c>
      <c r="M479" s="191" t="s">
        <v>172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IF(OR(TH!L479=TH!$U$7,M479=TH!$U$7),"x","")</f>
        <v/>
      </c>
      <c r="V479" s="52" t="str">
        <f>IF(AND(B479&gt;='IN-NX'!$P$3,B479&lt;='IN-NX'!$Q$3,'IN-NX'!$D$7=D479,OR(LEFT(L479,2)="15",AND(LEFT(M479,2)&lt;&gt;"15",LEFT(M479,2)&lt;&gt;"33"))),"x","")</f>
        <v/>
      </c>
      <c r="W479" s="52" t="str">
        <f>IF(AND(OR(LEFT(TH!L479,2)="15",LEFT(TH!M479,2)="15"),'152-CT'!$J$8=TH!F479),"x","")</f>
        <v/>
      </c>
      <c r="X479" s="52" t="str">
        <f>IF(AND(OR(LEFT(TH!L479,2)="15",LEFT(TH!M479,2)="15"),TK!$E$7=TH!F479),"x","")</f>
        <v/>
      </c>
      <c r="Y479" s="52" t="str">
        <f>IF(AND(B479&lt;=NKC!$N$8,B479&gt;=NKC!$M$8),"x","")</f>
        <v>x</v>
      </c>
      <c r="Z479" s="195"/>
      <c r="AB479" s="195"/>
    </row>
    <row r="480" spans="1:28" s="587" customFormat="1" ht="15.75" customHeight="1">
      <c r="A480" s="201" t="str">
        <f>IF(B480&lt;&gt;"",IF(AND(B480&gt;=_TM1,B480&lt;=_TM2,OR(TH!L480="1111",TH!M480="1111")),TH!D480,""),"")</f>
        <v/>
      </c>
      <c r="B480" s="36">
        <f t="shared" si="20"/>
        <v>7</v>
      </c>
      <c r="C480" s="188">
        <f t="shared" si="21"/>
        <v>41463</v>
      </c>
      <c r="D480" s="181" t="s">
        <v>1016</v>
      </c>
      <c r="E480" s="188">
        <v>41463</v>
      </c>
      <c r="F480" s="189" t="s">
        <v>693</v>
      </c>
      <c r="G480" s="480" t="s">
        <v>837</v>
      </c>
      <c r="H480" s="190" t="s">
        <v>468</v>
      </c>
      <c r="I480" s="249"/>
      <c r="J480" s="249"/>
      <c r="K480" s="38">
        <v>1813470</v>
      </c>
      <c r="L480" s="191" t="s">
        <v>262</v>
      </c>
      <c r="M480" s="191" t="s">
        <v>425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IF(OR(TH!L480=TH!$U$7,M480=TH!$U$7),"x","")</f>
        <v/>
      </c>
      <c r="V480" s="52" t="str">
        <f>IF(AND(B480&gt;='IN-NX'!$P$3,B480&lt;='IN-NX'!$Q$3,'IN-NX'!$D$7=D480,OR(LEFT(L480,2)="15",AND(LEFT(M480,2)&lt;&gt;"15",LEFT(M480,2)&lt;&gt;"33"))),"x","")</f>
        <v/>
      </c>
      <c r="W480" s="52" t="str">
        <f>IF(AND(OR(LEFT(TH!L480,2)="15",LEFT(TH!M480,2)="15"),'152-CT'!$J$8=TH!F480),"x","")</f>
        <v/>
      </c>
      <c r="X480" s="52" t="str">
        <f>IF(AND(OR(LEFT(TH!L480,2)="15",LEFT(TH!M480,2)="15"),TK!$E$7=TH!F480),"x","")</f>
        <v/>
      </c>
      <c r="Y480" s="52" t="str">
        <f>IF(AND(B480&lt;=NKC!$N$8,B480&gt;=NKC!$M$8),"x","")</f>
        <v>x</v>
      </c>
      <c r="AA480" s="587" t="str">
        <f>IF(VLOOKUP(H480,DS_131,1,0)&lt;&gt;"","","x")</f>
        <v/>
      </c>
    </row>
    <row r="481" spans="1:28" s="587" customFormat="1" ht="15.75" customHeight="1">
      <c r="A481" s="201" t="str">
        <f>IF(B481&lt;&gt;"",IF(AND(B481&gt;=_TM1,B481&lt;=_TM2,OR(TH!L481="1111",TH!M481="1111")),TH!D481,""),"")</f>
        <v/>
      </c>
      <c r="B481" s="36">
        <f t="shared" si="20"/>
        <v>7</v>
      </c>
      <c r="C481" s="181">
        <f t="shared" si="21"/>
        <v>41465</v>
      </c>
      <c r="D481" s="181" t="s">
        <v>374</v>
      </c>
      <c r="E481" s="188">
        <v>41465</v>
      </c>
      <c r="F481" s="186" t="s">
        <v>490</v>
      </c>
      <c r="G481" s="657" t="s">
        <v>491</v>
      </c>
      <c r="H481" s="7" t="s">
        <v>492</v>
      </c>
      <c r="I481" s="249"/>
      <c r="J481" s="251"/>
      <c r="K481" s="595">
        <f>471793+454546</f>
        <v>926339</v>
      </c>
      <c r="L481" s="596" t="s">
        <v>83</v>
      </c>
      <c r="M481" s="596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>x</v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IF(OR(TH!L481=TH!$U$7,M481=TH!$U$7),"x","")</f>
        <v>x</v>
      </c>
      <c r="V481" s="52" t="str">
        <f>IF(AND(B481&gt;='IN-NX'!$P$3,B481&lt;='IN-NX'!$Q$3,'IN-NX'!$D$7=D481,OR(LEFT(L481,2)="15",AND(LEFT(M481,2)&lt;&gt;"15",LEFT(M481,2)&lt;&gt;"33"))),"x","")</f>
        <v/>
      </c>
      <c r="W481" s="52" t="str">
        <f>IF(AND(OR(LEFT(TH!L481,2)="15",LEFT(TH!M481,2)="15"),'152-CT'!$J$8=TH!F481),"x","")</f>
        <v/>
      </c>
      <c r="X481" s="52" t="str">
        <f>IF(AND(OR(LEFT(TH!L481,2)="15",LEFT(TH!M481,2)="15"),TK!$E$7=TH!F481),"x","")</f>
        <v/>
      </c>
      <c r="Y481" s="52" t="str">
        <f>IF(AND(B481&lt;=NKC!$N$8,B481&gt;=NKC!$M$8),"x","")</f>
        <v>x</v>
      </c>
      <c r="Z481" s="587" t="s">
        <v>1301</v>
      </c>
      <c r="AA481" s="195"/>
      <c r="AB481" s="195"/>
    </row>
    <row r="482" spans="1:28" s="208" customFormat="1" ht="15.75" customHeight="1">
      <c r="A482" s="201" t="str">
        <f>IF(B482&lt;&gt;"",IF(AND(B482&gt;=_TM1,B482&lt;=_TM2,OR(TH!L482="1111",TH!M482="1111")),TH!D482,""),"")</f>
        <v/>
      </c>
      <c r="B482" s="36">
        <f t="shared" si="20"/>
        <v>7</v>
      </c>
      <c r="C482" s="181">
        <f t="shared" si="21"/>
        <v>41465</v>
      </c>
      <c r="D482" s="181" t="s">
        <v>374</v>
      </c>
      <c r="E482" s="188">
        <v>41465</v>
      </c>
      <c r="F482" s="186" t="s">
        <v>493</v>
      </c>
      <c r="G482" s="657" t="s">
        <v>491</v>
      </c>
      <c r="H482" s="7" t="s">
        <v>492</v>
      </c>
      <c r="I482" s="250"/>
      <c r="J482" s="251"/>
      <c r="K482" s="38">
        <f>47179+45454</f>
        <v>92633</v>
      </c>
      <c r="L482" s="596" t="s">
        <v>9</v>
      </c>
      <c r="M482" s="596" t="s">
        <v>47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>x</v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IF(OR(TH!L482=TH!$U$7,M482=TH!$U$7),"x","")</f>
        <v/>
      </c>
      <c r="V482" s="52" t="str">
        <f>IF(AND(B482&gt;='IN-NX'!$P$3,B482&lt;='IN-NX'!$Q$3,'IN-NX'!$D$7=D482,OR(LEFT(L482,2)="15",AND(LEFT(M482,2)&lt;&gt;"15",LEFT(M482,2)&lt;&gt;"33"))),"x","")</f>
        <v/>
      </c>
      <c r="W482" s="52" t="str">
        <f>IF(AND(OR(LEFT(TH!L482,2)="15",LEFT(TH!M482,2)="15"),'152-CT'!$J$8=TH!F482),"x","")</f>
        <v/>
      </c>
      <c r="X482" s="52" t="str">
        <f>IF(AND(OR(LEFT(TH!L482,2)="15",LEFT(TH!M482,2)="15"),TK!$E$7=TH!F482),"x","")</f>
        <v/>
      </c>
      <c r="Y482" s="52" t="str">
        <f>IF(AND(B482&lt;=NKC!$N$8,B482&gt;=NKC!$M$8),"x","")</f>
        <v>x</v>
      </c>
      <c r="Z482" s="587" t="s">
        <v>1301</v>
      </c>
      <c r="AA482" s="195"/>
      <c r="AB482" s="195"/>
    </row>
    <row r="483" spans="1:28" s="208" customFormat="1" ht="15.75" customHeight="1">
      <c r="A483" s="201" t="str">
        <f>IF(B483&lt;&gt;"",IF(AND(B483&gt;=_TM1,B483&lt;=_TM2,OR(TH!L483="1111",TH!M483="1111")),TH!D483,""),"")</f>
        <v/>
      </c>
      <c r="B483" s="36">
        <f t="shared" si="20"/>
        <v>7</v>
      </c>
      <c r="C483" s="181">
        <f t="shared" si="21"/>
        <v>41471</v>
      </c>
      <c r="D483" s="181" t="s">
        <v>375</v>
      </c>
      <c r="E483" s="188">
        <v>41471</v>
      </c>
      <c r="F483" s="186" t="s">
        <v>494</v>
      </c>
      <c r="G483" s="657" t="s">
        <v>495</v>
      </c>
      <c r="H483" s="7" t="s">
        <v>496</v>
      </c>
      <c r="I483" s="250"/>
      <c r="J483" s="251"/>
      <c r="K483" s="38">
        <v>850000</v>
      </c>
      <c r="L483" s="596" t="s">
        <v>83</v>
      </c>
      <c r="M483" s="596" t="s">
        <v>47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>x</v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IF(OR(TH!L483=TH!$U$7,M483=TH!$U$7),"x","")</f>
        <v>x</v>
      </c>
      <c r="V483" s="52" t="str">
        <f>IF(AND(B483&gt;='IN-NX'!$P$3,B483&lt;='IN-NX'!$Q$3,'IN-NX'!$D$7=D483,OR(LEFT(L483,2)="15",AND(LEFT(M483,2)&lt;&gt;"15",LEFT(M483,2)&lt;&gt;"33"))),"x","")</f>
        <v/>
      </c>
      <c r="W483" s="52" t="str">
        <f>IF(AND(OR(LEFT(TH!L483,2)="15",LEFT(TH!M483,2)="15"),'152-CT'!$J$8=TH!F483),"x","")</f>
        <v/>
      </c>
      <c r="X483" s="52" t="str">
        <f>IF(AND(OR(LEFT(TH!L483,2)="15",LEFT(TH!M483,2)="15"),TK!$E$7=TH!F483),"x","")</f>
        <v/>
      </c>
      <c r="Y483" s="52" t="str">
        <f>IF(AND(B483&lt;=NKC!$N$8,B483&gt;=NKC!$M$8),"x","")</f>
        <v>x</v>
      </c>
      <c r="Z483" s="587" t="s">
        <v>1301</v>
      </c>
      <c r="AA483" s="694"/>
      <c r="AB483" s="694"/>
    </row>
    <row r="484" spans="1:28" s="208" customFormat="1" ht="15.75" customHeight="1">
      <c r="A484" s="201" t="str">
        <f>IF(B484&lt;&gt;"",IF(AND(B484&gt;=_TM1,B484&lt;=_TM2,OR(TH!L484="1111",TH!M484="1111")),TH!D484,""),"")</f>
        <v/>
      </c>
      <c r="B484" s="36">
        <f t="shared" si="20"/>
        <v>7</v>
      </c>
      <c r="C484" s="181">
        <f t="shared" si="21"/>
        <v>41471</v>
      </c>
      <c r="D484" s="181" t="s">
        <v>375</v>
      </c>
      <c r="E484" s="188">
        <v>41471</v>
      </c>
      <c r="F484" s="186" t="s">
        <v>497</v>
      </c>
      <c r="G484" s="657" t="s">
        <v>495</v>
      </c>
      <c r="H484" s="7" t="s">
        <v>496</v>
      </c>
      <c r="I484" s="249"/>
      <c r="J484" s="251"/>
      <c r="K484" s="595">
        <v>85000</v>
      </c>
      <c r="L484" s="596" t="s">
        <v>9</v>
      </c>
      <c r="M484" s="596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>x</v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IF(OR(TH!L484=TH!$U$7,M484=TH!$U$7),"x","")</f>
        <v/>
      </c>
      <c r="V484" s="52" t="str">
        <f>IF(AND(B484&gt;='IN-NX'!$P$3,B484&lt;='IN-NX'!$Q$3,'IN-NX'!$D$7=D484,OR(LEFT(L484,2)="15",AND(LEFT(M484,2)&lt;&gt;"15",LEFT(M484,2)&lt;&gt;"33"))),"x","")</f>
        <v/>
      </c>
      <c r="W484" s="52" t="str">
        <f>IF(AND(OR(LEFT(TH!L484,2)="15",LEFT(TH!M484,2)="15"),'152-CT'!$J$8=TH!F484),"x","")</f>
        <v/>
      </c>
      <c r="X484" s="52" t="str">
        <f>IF(AND(OR(LEFT(TH!L484,2)="15",LEFT(TH!M484,2)="15"),TK!$E$7=TH!F484),"x","")</f>
        <v/>
      </c>
      <c r="Y484" s="52" t="str">
        <f>IF(AND(B484&lt;=NKC!$N$8,B484&gt;=NKC!$M$8),"x","")</f>
        <v>x</v>
      </c>
      <c r="Z484" s="587" t="s">
        <v>1301</v>
      </c>
      <c r="AA484" s="587"/>
      <c r="AB484" s="587"/>
    </row>
    <row r="485" spans="1:28" s="208" customFormat="1" ht="15.75" customHeight="1">
      <c r="A485" s="201" t="str">
        <f>IF(B485&lt;&gt;"",IF(AND(B485&gt;=_TM1,B485&lt;=_TM2,OR(TH!L485="1111",TH!M485="1111")),TH!D485,""),"")</f>
        <v/>
      </c>
      <c r="B485" s="36">
        <f t="shared" si="20"/>
        <v>7</v>
      </c>
      <c r="C485" s="188">
        <f t="shared" si="21"/>
        <v>41475</v>
      </c>
      <c r="D485" s="181" t="s">
        <v>1017</v>
      </c>
      <c r="E485" s="188">
        <v>41475</v>
      </c>
      <c r="F485" s="189" t="s">
        <v>698</v>
      </c>
      <c r="G485" s="480" t="s">
        <v>840</v>
      </c>
      <c r="H485" s="190" t="s">
        <v>470</v>
      </c>
      <c r="I485" s="249">
        <v>1027</v>
      </c>
      <c r="J485" s="249">
        <v>8740</v>
      </c>
      <c r="K485" s="38">
        <f>ROUND(I485*J485,0)</f>
        <v>8975980</v>
      </c>
      <c r="L485" s="191" t="s">
        <v>262</v>
      </c>
      <c r="M485" s="191" t="s">
        <v>172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IF(OR(TH!L485=TH!$U$7,M485=TH!$U$7),"x","")</f>
        <v/>
      </c>
      <c r="V485" s="52" t="str">
        <f>IF(AND(B485&gt;='IN-NX'!$P$3,B485&lt;='IN-NX'!$Q$3,'IN-NX'!$D$7=D485,OR(LEFT(L485,2)="15",AND(LEFT(M485,2)&lt;&gt;"15",LEFT(M485,2)&lt;&gt;"33"))),"x","")</f>
        <v/>
      </c>
      <c r="W485" s="52" t="str">
        <f>IF(AND(OR(LEFT(TH!L485,2)="15",LEFT(TH!M485,2)="15"),'152-CT'!$J$8=TH!F485),"x","")</f>
        <v/>
      </c>
      <c r="X485" s="52" t="str">
        <f>IF(AND(OR(LEFT(TH!L485,2)="15",LEFT(TH!M485,2)="15"),TK!$E$7=TH!F485),"x","")</f>
        <v/>
      </c>
      <c r="Y485" s="52" t="str">
        <f>IF(AND(B485&lt;=NKC!$N$8,B485&gt;=NKC!$M$8),"x","")</f>
        <v>x</v>
      </c>
      <c r="Z485" s="587"/>
      <c r="AA485" s="587"/>
      <c r="AB485" s="587"/>
    </row>
    <row r="486" spans="1:28" s="208" customFormat="1" ht="15.75" customHeight="1">
      <c r="A486" s="201" t="str">
        <f>IF(B486&lt;&gt;"",IF(AND(B486&gt;=_TM1,B486&lt;=_TM2,OR(TH!L486="1111",TH!M486="1111")),TH!D486,""),"")</f>
        <v/>
      </c>
      <c r="B486" s="36">
        <f t="shared" si="20"/>
        <v>7</v>
      </c>
      <c r="C486" s="188">
        <f t="shared" si="21"/>
        <v>41475</v>
      </c>
      <c r="D486" s="181" t="s">
        <v>1017</v>
      </c>
      <c r="E486" s="188">
        <v>41475</v>
      </c>
      <c r="F486" s="189" t="s">
        <v>693</v>
      </c>
      <c r="G486" s="480" t="s">
        <v>840</v>
      </c>
      <c r="H486" s="207" t="s">
        <v>470</v>
      </c>
      <c r="I486" s="249"/>
      <c r="J486" s="249"/>
      <c r="K486" s="38">
        <v>897598</v>
      </c>
      <c r="L486" s="191" t="s">
        <v>262</v>
      </c>
      <c r="M486" s="191" t="s">
        <v>425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IF(OR(TH!L486=TH!$U$7,M486=TH!$U$7),"x","")</f>
        <v/>
      </c>
      <c r="V486" s="52" t="str">
        <f>IF(AND(B486&gt;='IN-NX'!$P$3,B486&lt;='IN-NX'!$Q$3,'IN-NX'!$D$7=D486,OR(LEFT(L486,2)="15",AND(LEFT(M486,2)&lt;&gt;"15",LEFT(M486,2)&lt;&gt;"33"))),"x","")</f>
        <v/>
      </c>
      <c r="W486" s="52" t="str">
        <f>IF(AND(OR(LEFT(TH!L486,2)="15",LEFT(TH!M486,2)="15"),'152-CT'!$J$8=TH!F486),"x","")</f>
        <v/>
      </c>
      <c r="X486" s="52" t="str">
        <f>IF(AND(OR(LEFT(TH!L486,2)="15",LEFT(TH!M486,2)="15"),TK!$E$7=TH!F486),"x","")</f>
        <v/>
      </c>
      <c r="Y486" s="52" t="str">
        <f>IF(AND(B486&lt;=NKC!$N$8,B486&gt;=NKC!$M$8),"x","")</f>
        <v>x</v>
      </c>
      <c r="Z486" s="587"/>
      <c r="AA486" s="587" t="str">
        <f>IF(VLOOKUP(H486,DS_131,1,0)&lt;&gt;"","","x")</f>
        <v/>
      </c>
      <c r="AB486" s="587"/>
    </row>
    <row r="487" spans="1:28" s="208" customFormat="1" ht="15.75" customHeight="1">
      <c r="A487" s="201" t="str">
        <f>IF(B487&lt;&gt;"",IF(AND(B487&gt;=_TM1,B487&lt;=_TM2,OR(TH!L487="1111",TH!M487="1111")),TH!D487,""),"")</f>
        <v/>
      </c>
      <c r="B487" s="36">
        <f t="shared" si="20"/>
        <v>7</v>
      </c>
      <c r="C487" s="188">
        <f t="shared" si="21"/>
        <v>41475</v>
      </c>
      <c r="D487" s="181" t="s">
        <v>1018</v>
      </c>
      <c r="E487" s="188">
        <v>41475</v>
      </c>
      <c r="F487" s="189" t="s">
        <v>805</v>
      </c>
      <c r="G487" s="480" t="s">
        <v>841</v>
      </c>
      <c r="H487" s="190" t="s">
        <v>710</v>
      </c>
      <c r="I487" s="249">
        <v>749</v>
      </c>
      <c r="J487" s="249">
        <v>10500</v>
      </c>
      <c r="K487" s="38">
        <f>ROUND(I487*J487,0)</f>
        <v>7864500</v>
      </c>
      <c r="L487" s="191" t="s">
        <v>262</v>
      </c>
      <c r="M487" s="191" t="s">
        <v>172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IF(OR(TH!L487=TH!$U$7,M487=TH!$U$7),"x","")</f>
        <v/>
      </c>
      <c r="V487" s="52" t="str">
        <f>IF(AND(B487&gt;='IN-NX'!$P$3,B487&lt;='IN-NX'!$Q$3,'IN-NX'!$D$7=D487,OR(LEFT(L487,2)="15",AND(LEFT(M487,2)&lt;&gt;"15",LEFT(M487,2)&lt;&gt;"33"))),"x","")</f>
        <v/>
      </c>
      <c r="W487" s="52" t="str">
        <f>IF(AND(OR(LEFT(TH!L487,2)="15",LEFT(TH!M487,2)="15"),'152-CT'!$J$8=TH!F487),"x","")</f>
        <v/>
      </c>
      <c r="X487" s="52" t="str">
        <f>IF(AND(OR(LEFT(TH!L487,2)="15",LEFT(TH!M487,2)="15"),TK!$E$7=TH!F487),"x","")</f>
        <v/>
      </c>
      <c r="Y487" s="52" t="str">
        <f>IF(AND(B487&lt;=NKC!$N$8,B487&gt;=NKC!$M$8),"x","")</f>
        <v>x</v>
      </c>
      <c r="Z487" s="587"/>
      <c r="AA487" s="587"/>
      <c r="AB487" s="587"/>
    </row>
    <row r="488" spans="1:28" s="587" customFormat="1" ht="15.75" customHeight="1">
      <c r="A488" s="201" t="str">
        <f>IF(B488&lt;&gt;"",IF(AND(B488&gt;=_TM1,B488&lt;=_TM2,OR(TH!L488="1111",TH!M488="1111")),TH!D488,""),"")</f>
        <v/>
      </c>
      <c r="B488" s="36">
        <f t="shared" si="20"/>
        <v>7</v>
      </c>
      <c r="C488" s="188">
        <f t="shared" si="21"/>
        <v>41475</v>
      </c>
      <c r="D488" s="181" t="s">
        <v>1018</v>
      </c>
      <c r="E488" s="188">
        <v>41475</v>
      </c>
      <c r="F488" s="189" t="s">
        <v>693</v>
      </c>
      <c r="G488" s="480" t="s">
        <v>841</v>
      </c>
      <c r="H488" s="190" t="s">
        <v>710</v>
      </c>
      <c r="I488" s="249"/>
      <c r="J488" s="249"/>
      <c r="K488" s="38">
        <v>786450</v>
      </c>
      <c r="L488" s="191" t="s">
        <v>262</v>
      </c>
      <c r="M488" s="191" t="s">
        <v>425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IF(OR(TH!L488=TH!$U$7,M488=TH!$U$7),"x","")</f>
        <v/>
      </c>
      <c r="V488" s="52" t="str">
        <f>IF(AND(B488&gt;='IN-NX'!$P$3,B488&lt;='IN-NX'!$Q$3,'IN-NX'!$D$7=D488,OR(LEFT(L488,2)="15",AND(LEFT(M488,2)&lt;&gt;"15",LEFT(M488,2)&lt;&gt;"33"))),"x","")</f>
        <v/>
      </c>
      <c r="W488" s="52" t="str">
        <f>IF(AND(OR(LEFT(TH!L488,2)="15",LEFT(TH!M488,2)="15"),'152-CT'!$J$8=TH!F488),"x","")</f>
        <v/>
      </c>
      <c r="X488" s="52" t="str">
        <f>IF(AND(OR(LEFT(TH!L488,2)="15",LEFT(TH!M488,2)="15"),TK!$E$7=TH!F488),"x","")</f>
        <v/>
      </c>
      <c r="Y488" s="52" t="str">
        <f>IF(AND(B488&lt;=NKC!$N$8,B488&gt;=NKC!$M$8),"x","")</f>
        <v>x</v>
      </c>
      <c r="AA488" s="587" t="str">
        <f>IF(VLOOKUP(H488,DS_131,1,0)&lt;&gt;"","","x")</f>
        <v/>
      </c>
    </row>
    <row r="489" spans="1:28" s="587" customFormat="1" ht="15.75" customHeight="1">
      <c r="A489" s="201" t="str">
        <f>IF(B489&lt;&gt;"",IF(AND(B489&gt;=_TM1,B489&lt;=_TM2,OR(TH!L489="1111",TH!M489="1111")),TH!D489,""),"")</f>
        <v/>
      </c>
      <c r="B489" s="36">
        <f t="shared" si="20"/>
        <v>7</v>
      </c>
      <c r="C489" s="188">
        <f t="shared" si="21"/>
        <v>41477</v>
      </c>
      <c r="D489" s="181" t="s">
        <v>1019</v>
      </c>
      <c r="E489" s="188">
        <v>41477</v>
      </c>
      <c r="F489" s="189" t="s">
        <v>1122</v>
      </c>
      <c r="G489" s="480" t="s">
        <v>842</v>
      </c>
      <c r="H489" s="7" t="s">
        <v>507</v>
      </c>
      <c r="I489" s="249">
        <v>1527</v>
      </c>
      <c r="J489" s="249">
        <v>4540</v>
      </c>
      <c r="K489" s="38">
        <f>ROUND(I489*J489,0)</f>
        <v>6932580</v>
      </c>
      <c r="L489" s="191" t="s">
        <v>262</v>
      </c>
      <c r="M489" s="191" t="s">
        <v>172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IF(OR(TH!L489=TH!$U$7,M489=TH!$U$7),"x","")</f>
        <v/>
      </c>
      <c r="V489" s="52" t="str">
        <f>IF(AND(B489&gt;='IN-NX'!$P$3,B489&lt;='IN-NX'!$Q$3,'IN-NX'!$D$7=D489,OR(LEFT(L489,2)="15",AND(LEFT(M489,2)&lt;&gt;"15",LEFT(M489,2)&lt;&gt;"33"))),"x","")</f>
        <v/>
      </c>
      <c r="W489" s="52" t="str">
        <f>IF(AND(OR(LEFT(TH!L489,2)="15",LEFT(TH!M489,2)="15"),'152-CT'!$J$8=TH!F489),"x","")</f>
        <v/>
      </c>
      <c r="X489" s="52" t="str">
        <f>IF(AND(OR(LEFT(TH!L489,2)="15",LEFT(TH!M489,2)="15"),TK!$E$7=TH!F489),"x","")</f>
        <v/>
      </c>
      <c r="Y489" s="52" t="str">
        <f>IF(AND(B489&lt;=NKC!$N$8,B489&gt;=NKC!$M$8),"x","")</f>
        <v>x</v>
      </c>
    </row>
    <row r="490" spans="1:28" s="587" customFormat="1" ht="15.75" customHeight="1">
      <c r="A490" s="201" t="str">
        <f>IF(B490&lt;&gt;"",IF(AND(B490&gt;=_TM1,B490&lt;=_TM2,OR(TH!L490="1111",TH!M490="1111")),TH!D490,""),"")</f>
        <v/>
      </c>
      <c r="B490" s="36">
        <f t="shared" si="20"/>
        <v>7</v>
      </c>
      <c r="C490" s="188">
        <f t="shared" si="21"/>
        <v>41477</v>
      </c>
      <c r="D490" s="181" t="s">
        <v>1019</v>
      </c>
      <c r="E490" s="188">
        <v>41477</v>
      </c>
      <c r="F490" s="189" t="s">
        <v>843</v>
      </c>
      <c r="G490" s="480" t="s">
        <v>842</v>
      </c>
      <c r="H490" s="7" t="s">
        <v>507</v>
      </c>
      <c r="I490" s="249">
        <v>996</v>
      </c>
      <c r="J490" s="249">
        <v>11300</v>
      </c>
      <c r="K490" s="38">
        <f>ROUND(I490*J490,0)</f>
        <v>11254800</v>
      </c>
      <c r="L490" s="191" t="s">
        <v>262</v>
      </c>
      <c r="M490" s="191" t="s">
        <v>172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IF(OR(TH!L490=TH!$U$7,M490=TH!$U$7),"x","")</f>
        <v/>
      </c>
      <c r="V490" s="52" t="str">
        <f>IF(AND(B490&gt;='IN-NX'!$P$3,B490&lt;='IN-NX'!$Q$3,'IN-NX'!$D$7=D490,OR(LEFT(L490,2)="15",AND(LEFT(M490,2)&lt;&gt;"15",LEFT(M490,2)&lt;&gt;"33"))),"x","")</f>
        <v/>
      </c>
      <c r="W490" s="52" t="str">
        <f>IF(AND(OR(LEFT(TH!L490,2)="15",LEFT(TH!M490,2)="15"),'152-CT'!$J$8=TH!F490),"x","")</f>
        <v/>
      </c>
      <c r="X490" s="52" t="str">
        <f>IF(AND(OR(LEFT(TH!L490,2)="15",LEFT(TH!M490,2)="15"),TK!$E$7=TH!F490),"x","")</f>
        <v/>
      </c>
      <c r="Y490" s="52" t="str">
        <f>IF(AND(B490&lt;=NKC!$N$8,B490&gt;=NKC!$M$8),"x","")</f>
        <v>x</v>
      </c>
      <c r="AB490" s="208"/>
    </row>
    <row r="491" spans="1:28" s="587" customFormat="1" ht="15.75" customHeight="1">
      <c r="A491" s="201" t="str">
        <f>IF(B491&lt;&gt;"",IF(AND(B491&gt;=_TM1,B491&lt;=_TM2,OR(TH!L491="1111",TH!M491="1111")),TH!D491,""),"")</f>
        <v/>
      </c>
      <c r="B491" s="36">
        <f t="shared" si="20"/>
        <v>7</v>
      </c>
      <c r="C491" s="188">
        <f t="shared" si="21"/>
        <v>41477</v>
      </c>
      <c r="D491" s="181" t="s">
        <v>1019</v>
      </c>
      <c r="E491" s="188">
        <v>41477</v>
      </c>
      <c r="F491" s="189" t="s">
        <v>693</v>
      </c>
      <c r="G491" s="480" t="s">
        <v>842</v>
      </c>
      <c r="H491" s="7" t="s">
        <v>507</v>
      </c>
      <c r="I491" s="249"/>
      <c r="J491" s="249"/>
      <c r="K491" s="38">
        <v>1818738</v>
      </c>
      <c r="L491" s="191" t="s">
        <v>262</v>
      </c>
      <c r="M491" s="191" t="s">
        <v>425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IF(OR(TH!L491=TH!$U$7,M491=TH!$U$7),"x","")</f>
        <v/>
      </c>
      <c r="V491" s="52" t="str">
        <f>IF(AND(B491&gt;='IN-NX'!$P$3,B491&lt;='IN-NX'!$Q$3,'IN-NX'!$D$7=D491,OR(LEFT(L491,2)="15",AND(LEFT(M491,2)&lt;&gt;"15",LEFT(M491,2)&lt;&gt;"33"))),"x","")</f>
        <v/>
      </c>
      <c r="W491" s="52" t="str">
        <f>IF(AND(OR(LEFT(TH!L491,2)="15",LEFT(TH!M491,2)="15"),'152-CT'!$J$8=TH!F491),"x","")</f>
        <v/>
      </c>
      <c r="X491" s="52" t="str">
        <f>IF(AND(OR(LEFT(TH!L491,2)="15",LEFT(TH!M491,2)="15"),TK!$E$7=TH!F491),"x","")</f>
        <v/>
      </c>
      <c r="Y491" s="52" t="str">
        <f>IF(AND(B491&lt;=NKC!$N$8,B491&gt;=NKC!$M$8),"x","")</f>
        <v>x</v>
      </c>
      <c r="Z491" s="208"/>
      <c r="AA491" s="587" t="str">
        <f>IF(VLOOKUP(H491,DS_131,1,0)&lt;&gt;"","","x")</f>
        <v/>
      </c>
      <c r="AB491" s="208"/>
    </row>
    <row r="492" spans="1:28" s="587" customFormat="1" ht="15.75" customHeight="1">
      <c r="A492" s="201" t="str">
        <f>IF(B492&lt;&gt;"",IF(AND(B492&gt;=_TM1,B492&lt;=_TM2,OR(TH!L492="1111",TH!M492="1111")),TH!D492,""),"")</f>
        <v/>
      </c>
      <c r="B492" s="36">
        <f t="shared" si="20"/>
        <v>7</v>
      </c>
      <c r="C492" s="188">
        <f t="shared" si="21"/>
        <v>41477</v>
      </c>
      <c r="D492" s="181" t="s">
        <v>1020</v>
      </c>
      <c r="E492" s="188">
        <v>41477</v>
      </c>
      <c r="F492" s="189" t="s">
        <v>844</v>
      </c>
      <c r="G492" s="480" t="s">
        <v>845</v>
      </c>
      <c r="H492" s="7" t="s">
        <v>846</v>
      </c>
      <c r="I492" s="249">
        <v>50</v>
      </c>
      <c r="J492" s="249">
        <v>38800</v>
      </c>
      <c r="K492" s="38">
        <f t="shared" ref="K492:K497" si="22">ROUND(I492*J492,0)</f>
        <v>1940000</v>
      </c>
      <c r="L492" s="191" t="s">
        <v>262</v>
      </c>
      <c r="M492" s="191" t="s">
        <v>172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IF(OR(TH!L492=TH!$U$7,M492=TH!$U$7),"x","")</f>
        <v/>
      </c>
      <c r="V492" s="52" t="str">
        <f>IF(AND(B492&gt;='IN-NX'!$P$3,B492&lt;='IN-NX'!$Q$3,'IN-NX'!$D$7=D492,OR(LEFT(L492,2)="15",AND(LEFT(M492,2)&lt;&gt;"15",LEFT(M492,2)&lt;&gt;"33"))),"x","")</f>
        <v/>
      </c>
      <c r="W492" s="52" t="str">
        <f>IF(AND(OR(LEFT(TH!L492,2)="15",LEFT(TH!M492,2)="15"),'152-CT'!$J$8=TH!F492),"x","")</f>
        <v/>
      </c>
      <c r="X492" s="52" t="str">
        <f>IF(AND(OR(LEFT(TH!L492,2)="15",LEFT(TH!M492,2)="15"),TK!$E$7=TH!F492),"x","")</f>
        <v/>
      </c>
      <c r="Y492" s="52" t="str">
        <f>IF(AND(B492&lt;=NKC!$N$8,B492&gt;=NKC!$M$8),"x","")</f>
        <v>x</v>
      </c>
      <c r="AB492" s="208"/>
    </row>
    <row r="493" spans="1:28" s="587" customFormat="1" ht="15.75" customHeight="1">
      <c r="A493" s="201" t="str">
        <f>IF(B493&lt;&gt;"",IF(AND(B493&gt;=_TM1,B493&lt;=_TM2,OR(TH!L493="1111",TH!M493="1111")),TH!D493,""),"")</f>
        <v/>
      </c>
      <c r="B493" s="36">
        <f t="shared" si="20"/>
        <v>7</v>
      </c>
      <c r="C493" s="188">
        <f t="shared" si="21"/>
        <v>41477</v>
      </c>
      <c r="D493" s="181" t="s">
        <v>1020</v>
      </c>
      <c r="E493" s="188">
        <v>41477</v>
      </c>
      <c r="F493" s="189" t="s">
        <v>847</v>
      </c>
      <c r="G493" s="480" t="s">
        <v>845</v>
      </c>
      <c r="H493" s="7" t="s">
        <v>846</v>
      </c>
      <c r="I493" s="249">
        <v>50</v>
      </c>
      <c r="J493" s="249">
        <v>45000</v>
      </c>
      <c r="K493" s="38">
        <f t="shared" si="22"/>
        <v>2250000</v>
      </c>
      <c r="L493" s="191" t="s">
        <v>262</v>
      </c>
      <c r="M493" s="191" t="s">
        <v>172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IF(OR(TH!L493=TH!$U$7,M493=TH!$U$7),"x","")</f>
        <v/>
      </c>
      <c r="V493" s="52" t="str">
        <f>IF(AND(B493&gt;='IN-NX'!$P$3,B493&lt;='IN-NX'!$Q$3,'IN-NX'!$D$7=D493,OR(LEFT(L493,2)="15",AND(LEFT(M493,2)&lt;&gt;"15",LEFT(M493,2)&lt;&gt;"33"))),"x","")</f>
        <v/>
      </c>
      <c r="W493" s="52" t="str">
        <f>IF(AND(OR(LEFT(TH!L493,2)="15",LEFT(TH!M493,2)="15"),'152-CT'!$J$8=TH!F493),"x","")</f>
        <v/>
      </c>
      <c r="X493" s="52" t="str">
        <f>IF(AND(OR(LEFT(TH!L493,2)="15",LEFT(TH!M493,2)="15"),TK!$E$7=TH!F493),"x","")</f>
        <v/>
      </c>
      <c r="Y493" s="52" t="str">
        <f>IF(AND(B493&lt;=NKC!$N$8,B493&gt;=NKC!$M$8),"x","")</f>
        <v>x</v>
      </c>
      <c r="Z493" s="208"/>
      <c r="AB493" s="208"/>
    </row>
    <row r="494" spans="1:28" s="587" customFormat="1" ht="15.75" customHeight="1">
      <c r="A494" s="201" t="str">
        <f>IF(B494&lt;&gt;"",IF(AND(B494&gt;=_TM1,B494&lt;=_TM2,OR(TH!L494="1111",TH!M494="1111")),TH!D494,""),"")</f>
        <v/>
      </c>
      <c r="B494" s="36">
        <f t="shared" si="20"/>
        <v>7</v>
      </c>
      <c r="C494" s="188">
        <f t="shared" si="21"/>
        <v>41477</v>
      </c>
      <c r="D494" s="181" t="s">
        <v>1020</v>
      </c>
      <c r="E494" s="188">
        <v>41477</v>
      </c>
      <c r="F494" s="189" t="s">
        <v>848</v>
      </c>
      <c r="G494" s="189" t="s">
        <v>845</v>
      </c>
      <c r="H494" s="7" t="s">
        <v>846</v>
      </c>
      <c r="I494" s="249">
        <v>20</v>
      </c>
      <c r="J494" s="249">
        <v>50400</v>
      </c>
      <c r="K494" s="38">
        <f t="shared" si="22"/>
        <v>1008000</v>
      </c>
      <c r="L494" s="191" t="s">
        <v>262</v>
      </c>
      <c r="M494" s="191" t="s">
        <v>172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IF(OR(TH!L494=TH!$U$7,M494=TH!$U$7),"x","")</f>
        <v/>
      </c>
      <c r="V494" s="52" t="str">
        <f>IF(AND(B494&gt;='IN-NX'!$P$3,B494&lt;='IN-NX'!$Q$3,'IN-NX'!$D$7=D494,OR(LEFT(L494,2)="15",AND(LEFT(M494,2)&lt;&gt;"15",LEFT(M494,2)&lt;&gt;"33"))),"x","")</f>
        <v/>
      </c>
      <c r="W494" s="52" t="str">
        <f>IF(AND(OR(LEFT(TH!L494,2)="15",LEFT(TH!M494,2)="15"),'152-CT'!$J$8=TH!F494),"x","")</f>
        <v/>
      </c>
      <c r="X494" s="52" t="str">
        <f>IF(AND(OR(LEFT(TH!L494,2)="15",LEFT(TH!M494,2)="15"),TK!$E$7=TH!F494),"x","")</f>
        <v/>
      </c>
      <c r="Y494" s="52" t="str">
        <f>IF(AND(B494&lt;=NKC!$N$8,B494&gt;=NKC!$M$8),"x","")</f>
        <v>x</v>
      </c>
    </row>
    <row r="495" spans="1:28" s="587" customFormat="1" ht="15.75" customHeight="1">
      <c r="A495" s="201" t="str">
        <f>IF(B495&lt;&gt;"",IF(AND(B495&gt;=_TM1,B495&lt;=_TM2,OR(TH!L495="1111",TH!M495="1111")),TH!D495,""),"")</f>
        <v/>
      </c>
      <c r="B495" s="36">
        <f t="shared" si="20"/>
        <v>7</v>
      </c>
      <c r="C495" s="188">
        <f t="shared" si="21"/>
        <v>41477</v>
      </c>
      <c r="D495" s="181" t="s">
        <v>1020</v>
      </c>
      <c r="E495" s="188">
        <v>41477</v>
      </c>
      <c r="F495" s="189" t="s">
        <v>849</v>
      </c>
      <c r="G495" s="189" t="s">
        <v>845</v>
      </c>
      <c r="H495" s="7" t="s">
        <v>846</v>
      </c>
      <c r="I495" s="249">
        <v>20</v>
      </c>
      <c r="J495" s="249">
        <v>53500</v>
      </c>
      <c r="K495" s="38">
        <f t="shared" si="22"/>
        <v>1070000</v>
      </c>
      <c r="L495" s="191" t="s">
        <v>262</v>
      </c>
      <c r="M495" s="191" t="s">
        <v>172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IF(OR(TH!L495=TH!$U$7,M495=TH!$U$7),"x","")</f>
        <v/>
      </c>
      <c r="V495" s="52" t="str">
        <f>IF(AND(B495&gt;='IN-NX'!$P$3,B495&lt;='IN-NX'!$Q$3,'IN-NX'!$D$7=D495,OR(LEFT(L495,2)="15",AND(LEFT(M495,2)&lt;&gt;"15",LEFT(M495,2)&lt;&gt;"33"))),"x","")</f>
        <v/>
      </c>
      <c r="W495" s="52" t="str">
        <f>IF(AND(OR(LEFT(TH!L495,2)="15",LEFT(TH!M495,2)="15"),'152-CT'!$J$8=TH!F495),"x","")</f>
        <v/>
      </c>
      <c r="X495" s="52" t="str">
        <f>IF(AND(OR(LEFT(TH!L495,2)="15",LEFT(TH!M495,2)="15"),TK!$E$7=TH!F495),"x","")</f>
        <v/>
      </c>
      <c r="Y495" s="52" t="str">
        <f>IF(AND(B495&lt;=NKC!$N$8,B495&gt;=NKC!$M$8),"x","")</f>
        <v>x</v>
      </c>
      <c r="Z495" s="208"/>
    </row>
    <row r="496" spans="1:28" s="587" customFormat="1" ht="15.75" customHeight="1">
      <c r="A496" s="201" t="str">
        <f>IF(B496&lt;&gt;"",IF(AND(B496&gt;=_TM1,B496&lt;=_TM2,OR(TH!L496="1111",TH!M496="1111")),TH!D496,""),"")</f>
        <v/>
      </c>
      <c r="B496" s="36">
        <f t="shared" si="20"/>
        <v>7</v>
      </c>
      <c r="C496" s="188">
        <f t="shared" si="21"/>
        <v>41477</v>
      </c>
      <c r="D496" s="181" t="s">
        <v>1020</v>
      </c>
      <c r="E496" s="188">
        <v>41477</v>
      </c>
      <c r="F496" s="189" t="s">
        <v>850</v>
      </c>
      <c r="G496" s="189" t="s">
        <v>845</v>
      </c>
      <c r="H496" s="7" t="s">
        <v>846</v>
      </c>
      <c r="I496" s="249">
        <v>20</v>
      </c>
      <c r="J496" s="249">
        <v>57000</v>
      </c>
      <c r="K496" s="38">
        <f t="shared" si="22"/>
        <v>1140000</v>
      </c>
      <c r="L496" s="191" t="s">
        <v>262</v>
      </c>
      <c r="M496" s="191" t="s">
        <v>172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IF(OR(TH!L496=TH!$U$7,M496=TH!$U$7),"x","")</f>
        <v/>
      </c>
      <c r="V496" s="52" t="str">
        <f>IF(AND(B496&gt;='IN-NX'!$P$3,B496&lt;='IN-NX'!$Q$3,'IN-NX'!$D$7=D496,OR(LEFT(L496,2)="15",AND(LEFT(M496,2)&lt;&gt;"15",LEFT(M496,2)&lt;&gt;"33"))),"x","")</f>
        <v/>
      </c>
      <c r="W496" s="52" t="str">
        <f>IF(AND(OR(LEFT(TH!L496,2)="15",LEFT(TH!M496,2)="15"),'152-CT'!$J$8=TH!F496),"x","")</f>
        <v/>
      </c>
      <c r="X496" s="52" t="str">
        <f>IF(AND(OR(LEFT(TH!L496,2)="15",LEFT(TH!M496,2)="15"),TK!$E$7=TH!F496),"x","")</f>
        <v/>
      </c>
      <c r="Y496" s="52" t="str">
        <f>IF(AND(B496&lt;=NKC!$N$8,B496&gt;=NKC!$M$8),"x","")</f>
        <v>x</v>
      </c>
    </row>
    <row r="497" spans="1:28" s="587" customFormat="1" ht="15.75" customHeight="1">
      <c r="A497" s="201" t="str">
        <f>IF(B497&lt;&gt;"",IF(AND(B497&gt;=_TM1,B497&lt;=_TM2,OR(TH!L497="1111",TH!M497="1111")),TH!D497,""),"")</f>
        <v/>
      </c>
      <c r="B497" s="36">
        <f t="shared" si="20"/>
        <v>7</v>
      </c>
      <c r="C497" s="188">
        <f t="shared" si="21"/>
        <v>41477</v>
      </c>
      <c r="D497" s="181" t="s">
        <v>1020</v>
      </c>
      <c r="E497" s="188">
        <v>41477</v>
      </c>
      <c r="F497" s="189" t="s">
        <v>851</v>
      </c>
      <c r="G497" s="189" t="s">
        <v>845</v>
      </c>
      <c r="H497" s="7" t="s">
        <v>846</v>
      </c>
      <c r="I497" s="249">
        <v>20</v>
      </c>
      <c r="J497" s="249">
        <v>69400</v>
      </c>
      <c r="K497" s="38">
        <f t="shared" si="22"/>
        <v>1388000</v>
      </c>
      <c r="L497" s="191" t="s">
        <v>262</v>
      </c>
      <c r="M497" s="191" t="s">
        <v>172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IF(OR(TH!L497=TH!$U$7,M497=TH!$U$7),"x","")</f>
        <v/>
      </c>
      <c r="V497" s="52" t="str">
        <f>IF(AND(B497&gt;='IN-NX'!$P$3,B497&lt;='IN-NX'!$Q$3,'IN-NX'!$D$7=D497,OR(LEFT(L497,2)="15",AND(LEFT(M497,2)&lt;&gt;"15",LEFT(M497,2)&lt;&gt;"33"))),"x","")</f>
        <v/>
      </c>
      <c r="W497" s="52" t="str">
        <f>IF(AND(OR(LEFT(TH!L497,2)="15",LEFT(TH!M497,2)="15"),'152-CT'!$J$8=TH!F497),"x","")</f>
        <v/>
      </c>
      <c r="X497" s="52" t="str">
        <f>IF(AND(OR(LEFT(TH!L497,2)="15",LEFT(TH!M497,2)="15"),TK!$E$7=TH!F497),"x","")</f>
        <v/>
      </c>
      <c r="Y497" s="52" t="str">
        <f>IF(AND(B497&lt;=NKC!$N$8,B497&gt;=NKC!$M$8),"x","")</f>
        <v>x</v>
      </c>
      <c r="Z497" s="208"/>
    </row>
    <row r="498" spans="1:28" s="587" customFormat="1" ht="15.75" customHeight="1">
      <c r="A498" s="201" t="str">
        <f>IF(B498&lt;&gt;"",IF(AND(B498&gt;=_TM1,B498&lt;=_TM2,OR(TH!L498="1111",TH!M498="1111")),TH!D498,""),"")</f>
        <v/>
      </c>
      <c r="B498" s="36">
        <f t="shared" si="20"/>
        <v>7</v>
      </c>
      <c r="C498" s="188">
        <f t="shared" si="21"/>
        <v>41477</v>
      </c>
      <c r="D498" s="181" t="s">
        <v>1020</v>
      </c>
      <c r="E498" s="188">
        <v>41477</v>
      </c>
      <c r="F498" s="189" t="s">
        <v>693</v>
      </c>
      <c r="G498" s="189" t="s">
        <v>845</v>
      </c>
      <c r="H498" s="7" t="s">
        <v>846</v>
      </c>
      <c r="I498" s="249"/>
      <c r="J498" s="249"/>
      <c r="K498" s="38">
        <v>879600</v>
      </c>
      <c r="L498" s="191" t="s">
        <v>262</v>
      </c>
      <c r="M498" s="191" t="s">
        <v>425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IF(OR(TH!L498=TH!$U$7,M498=TH!$U$7),"x","")</f>
        <v/>
      </c>
      <c r="V498" s="52" t="str">
        <f>IF(AND(B498&gt;='IN-NX'!$P$3,B498&lt;='IN-NX'!$Q$3,'IN-NX'!$D$7=D498,OR(LEFT(L498,2)="15",AND(LEFT(M498,2)&lt;&gt;"15",LEFT(M498,2)&lt;&gt;"33"))),"x","")</f>
        <v/>
      </c>
      <c r="W498" s="52" t="str">
        <f>IF(AND(OR(LEFT(TH!L498,2)="15",LEFT(TH!M498,2)="15"),'152-CT'!$J$8=TH!F498),"x","")</f>
        <v/>
      </c>
      <c r="X498" s="52" t="str">
        <f>IF(AND(OR(LEFT(TH!L498,2)="15",LEFT(TH!M498,2)="15"),TK!$E$7=TH!F498),"x","")</f>
        <v/>
      </c>
      <c r="Y498" s="52" t="str">
        <f>IF(AND(B498&lt;=NKC!$N$8,B498&gt;=NKC!$M$8),"x","")</f>
        <v>x</v>
      </c>
      <c r="Z498" s="208"/>
      <c r="AA498" s="587" t="str">
        <f>IF(VLOOKUP(H498,DS_131,1,0)&lt;&gt;"","","x")</f>
        <v/>
      </c>
    </row>
    <row r="499" spans="1:28" s="587" customFormat="1" ht="15.75" customHeight="1">
      <c r="A499" s="201" t="str">
        <f>IF(B499&lt;&gt;"",IF(AND(B499&gt;=_TM1,B499&lt;=_TM2,OR(TH!L499="1111",TH!M499="1111")),TH!D499,""),"")</f>
        <v/>
      </c>
      <c r="B499" s="36">
        <f t="shared" si="20"/>
        <v>7</v>
      </c>
      <c r="C499" s="181">
        <f t="shared" si="21"/>
        <v>41478</v>
      </c>
      <c r="D499" s="181" t="s">
        <v>335</v>
      </c>
      <c r="E499" s="188">
        <v>41478</v>
      </c>
      <c r="F499" s="186" t="s">
        <v>337</v>
      </c>
      <c r="G499" s="597" t="s">
        <v>332</v>
      </c>
      <c r="H499" s="7" t="s">
        <v>470</v>
      </c>
      <c r="I499" s="250"/>
      <c r="J499" s="251"/>
      <c r="K499" s="38">
        <v>9873578</v>
      </c>
      <c r="L499" s="596" t="s">
        <v>24</v>
      </c>
      <c r="M499" s="596" t="s">
        <v>262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>x</v>
      </c>
      <c r="T499" s="52" t="str">
        <f>IF(ISERROR(FIND('112'!$M$9,G499,1)),"",IF((AND(RIGHT(G499,2)=RIGHT('112'!$M$9,2),B499&lt;'112'!$N$8,$M499='112'!$I$6)),"x",""))</f>
        <v/>
      </c>
      <c r="U499" s="52" t="str">
        <f>IF(OR(TH!L499=TH!$U$7,M499=TH!$U$7),"x","")</f>
        <v/>
      </c>
      <c r="V499" s="52" t="str">
        <f>IF(AND(B499&gt;='IN-NX'!$P$3,B499&lt;='IN-NX'!$Q$3,'IN-NX'!$D$7=D499,OR(LEFT(L499,2)="15",AND(LEFT(M499,2)&lt;&gt;"15",LEFT(M499,2)&lt;&gt;"33"))),"x","")</f>
        <v/>
      </c>
      <c r="W499" s="52" t="str">
        <f>IF(AND(OR(LEFT(TH!L499,2)="15",LEFT(TH!M499,2)="15"),'152-CT'!$J$8=TH!F499),"x","")</f>
        <v/>
      </c>
      <c r="X499" s="52" t="str">
        <f>IF(AND(OR(LEFT(TH!L499,2)="15",LEFT(TH!M499,2)="15"),TK!$E$7=TH!F499),"x","")</f>
        <v/>
      </c>
      <c r="Y499" s="52" t="str">
        <f>IF(AND(B499&lt;=NKC!$N$8,B499&gt;=NKC!$M$8),"x","")</f>
        <v>x</v>
      </c>
      <c r="AA499" s="195"/>
      <c r="AB499" s="195"/>
    </row>
    <row r="500" spans="1:28" s="587" customFormat="1" ht="15.75" customHeight="1">
      <c r="A500" s="201" t="str">
        <f>IF(B500&lt;&gt;"",IF(AND(B500&gt;=_TM1,B500&lt;=_TM2,OR(TH!L500="1111",TH!M500="1111")),TH!D500,""),"")</f>
        <v/>
      </c>
      <c r="B500" s="36">
        <f t="shared" si="20"/>
        <v>7</v>
      </c>
      <c r="C500" s="188">
        <f t="shared" si="21"/>
        <v>41479</v>
      </c>
      <c r="D500" s="181" t="s">
        <v>376</v>
      </c>
      <c r="E500" s="188">
        <v>41479</v>
      </c>
      <c r="F500" s="186" t="s">
        <v>431</v>
      </c>
      <c r="G500" s="480" t="s">
        <v>498</v>
      </c>
      <c r="H500" s="7" t="s">
        <v>368</v>
      </c>
      <c r="I500" s="249"/>
      <c r="J500" s="249"/>
      <c r="K500" s="595">
        <v>2800000</v>
      </c>
      <c r="L500" s="596" t="s">
        <v>162</v>
      </c>
      <c r="M500" s="596" t="s">
        <v>47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IF(OR(TH!L500=TH!$U$7,M500=TH!$U$7),"x","")</f>
        <v/>
      </c>
      <c r="V500" s="52" t="str">
        <f>IF(AND(B500&gt;='IN-NX'!$P$3,B500&lt;='IN-NX'!$Q$3,'IN-NX'!$D$7=D500,OR(LEFT(L500,2)="15",AND(LEFT(M500,2)&lt;&gt;"15",LEFT(M500,2)&lt;&gt;"33"))),"x","")</f>
        <v/>
      </c>
      <c r="W500" s="52" t="str">
        <f>IF(AND(OR(LEFT(TH!L500,2)="15",LEFT(TH!M500,2)="15"),'152-CT'!$J$8=TH!F500),"x","")</f>
        <v/>
      </c>
      <c r="X500" s="52" t="str">
        <f>IF(AND(OR(LEFT(TH!L500,2)="15",LEFT(TH!M500,2)="15"),TK!$E$7=TH!F500),"x","")</f>
        <v/>
      </c>
      <c r="Y500" s="52" t="str">
        <f>IF(AND(B500&lt;=NKC!$N$8,B500&gt;=NKC!$M$8),"x","")</f>
        <v>x</v>
      </c>
      <c r="Z500" s="587" t="s">
        <v>1301</v>
      </c>
      <c r="AA500" s="195"/>
      <c r="AB500" s="195"/>
    </row>
    <row r="501" spans="1:28" s="587" customFormat="1" ht="15.75" customHeight="1">
      <c r="A501" s="201" t="str">
        <f>IF(B501&lt;&gt;"",IF(AND(B501&gt;=_TM1,B501&lt;=_TM2,OR(TH!L501="1111",TH!M501="1111")),TH!D501,""),"")</f>
        <v/>
      </c>
      <c r="B501" s="36">
        <f t="shared" si="20"/>
        <v>7</v>
      </c>
      <c r="C501" s="188">
        <f t="shared" si="21"/>
        <v>41479</v>
      </c>
      <c r="D501" s="181" t="s">
        <v>376</v>
      </c>
      <c r="E501" s="188">
        <v>41479</v>
      </c>
      <c r="F501" s="186" t="s">
        <v>344</v>
      </c>
      <c r="G501" s="480" t="s">
        <v>498</v>
      </c>
      <c r="H501" s="7" t="s">
        <v>368</v>
      </c>
      <c r="I501" s="250"/>
      <c r="J501" s="250"/>
      <c r="K501" s="595">
        <v>280000</v>
      </c>
      <c r="L501" s="596" t="s">
        <v>9</v>
      </c>
      <c r="M501" s="596" t="s">
        <v>47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IF(OR(TH!L501=TH!$U$7,M501=TH!$U$7),"x","")</f>
        <v/>
      </c>
      <c r="V501" s="52" t="str">
        <f>IF(AND(B501&gt;='IN-NX'!$P$3,B501&lt;='IN-NX'!$Q$3,'IN-NX'!$D$7=D501,OR(LEFT(L501,2)="15",AND(LEFT(M501,2)&lt;&gt;"15",LEFT(M501,2)&lt;&gt;"33"))),"x","")</f>
        <v/>
      </c>
      <c r="W501" s="52" t="str">
        <f>IF(AND(OR(LEFT(TH!L501,2)="15",LEFT(TH!M501,2)="15"),'152-CT'!$J$8=TH!F501),"x","")</f>
        <v/>
      </c>
      <c r="X501" s="52" t="str">
        <f>IF(AND(OR(LEFT(TH!L501,2)="15",LEFT(TH!M501,2)="15"),TK!$E$7=TH!F501),"x","")</f>
        <v/>
      </c>
      <c r="Y501" s="52" t="str">
        <f>IF(AND(B501&lt;=NKC!$N$8,B501&gt;=NKC!$M$8),"x","")</f>
        <v>x</v>
      </c>
      <c r="Z501" s="587" t="s">
        <v>1301</v>
      </c>
      <c r="AA501" s="195"/>
      <c r="AB501" s="195"/>
    </row>
    <row r="502" spans="1:28" s="587" customFormat="1" ht="15.75" customHeight="1">
      <c r="A502" s="201" t="str">
        <f>IF(B502&lt;&gt;"",IF(AND(B502&gt;=_TM1,B502&lt;=_TM2,OR(TH!L502="1111",TH!M502="1111")),TH!D502,""),"")</f>
        <v/>
      </c>
      <c r="B502" s="36">
        <f t="shared" si="20"/>
        <v>7</v>
      </c>
      <c r="C502" s="188">
        <f t="shared" si="21"/>
        <v>41479</v>
      </c>
      <c r="D502" s="181" t="s">
        <v>1021</v>
      </c>
      <c r="E502" s="188">
        <v>41479</v>
      </c>
      <c r="F502" s="189" t="s">
        <v>852</v>
      </c>
      <c r="G502" s="189" t="s">
        <v>853</v>
      </c>
      <c r="H502" s="7" t="s">
        <v>510</v>
      </c>
      <c r="I502" s="249">
        <v>259</v>
      </c>
      <c r="J502" s="249">
        <v>8570</v>
      </c>
      <c r="K502" s="38">
        <f>ROUND(I502*J502,0)</f>
        <v>2219630</v>
      </c>
      <c r="L502" s="191" t="s">
        <v>262</v>
      </c>
      <c r="M502" s="191" t="s">
        <v>172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IF(OR(TH!L502=TH!$U$7,M502=TH!$U$7),"x","")</f>
        <v/>
      </c>
      <c r="V502" s="52" t="str">
        <f>IF(AND(B502&gt;='IN-NX'!$P$3,B502&lt;='IN-NX'!$Q$3,'IN-NX'!$D$7=D502,OR(LEFT(L502,2)="15",AND(LEFT(M502,2)&lt;&gt;"15",LEFT(M502,2)&lt;&gt;"33"))),"x","")</f>
        <v/>
      </c>
      <c r="W502" s="52" t="str">
        <f>IF(AND(OR(LEFT(TH!L502,2)="15",LEFT(TH!M502,2)="15"),'152-CT'!$J$8=TH!F502),"x","")</f>
        <v/>
      </c>
      <c r="X502" s="52" t="str">
        <f>IF(AND(OR(LEFT(TH!L502,2)="15",LEFT(TH!M502,2)="15"),TK!$E$7=TH!F502),"x","")</f>
        <v/>
      </c>
      <c r="Y502" s="52" t="str">
        <f>IF(AND(B502&lt;=NKC!$N$8,B502&gt;=NKC!$M$8),"x","")</f>
        <v>x</v>
      </c>
    </row>
    <row r="503" spans="1:28" s="587" customFormat="1" ht="15.75" customHeight="1">
      <c r="A503" s="201" t="str">
        <f>IF(B503&lt;&gt;"",IF(AND(B503&gt;=_TM1,B503&lt;=_TM2,OR(TH!L503="1111",TH!M503="1111")),TH!D503,""),"")</f>
        <v/>
      </c>
      <c r="B503" s="36">
        <f t="shared" si="20"/>
        <v>7</v>
      </c>
      <c r="C503" s="188">
        <f t="shared" si="21"/>
        <v>41479</v>
      </c>
      <c r="D503" s="181" t="s">
        <v>1021</v>
      </c>
      <c r="E503" s="188">
        <v>41479</v>
      </c>
      <c r="F503" s="189" t="s">
        <v>810</v>
      </c>
      <c r="G503" s="189" t="s">
        <v>853</v>
      </c>
      <c r="H503" s="7" t="s">
        <v>510</v>
      </c>
      <c r="I503" s="249">
        <v>101</v>
      </c>
      <c r="J503" s="249">
        <v>11000</v>
      </c>
      <c r="K503" s="38">
        <f>ROUND(I503*J503,0)</f>
        <v>1111000</v>
      </c>
      <c r="L503" s="191" t="s">
        <v>262</v>
      </c>
      <c r="M503" s="191" t="s">
        <v>172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IF(OR(TH!L503=TH!$U$7,M503=TH!$U$7),"x","")</f>
        <v/>
      </c>
      <c r="V503" s="52" t="str">
        <f>IF(AND(B503&gt;='IN-NX'!$P$3,B503&lt;='IN-NX'!$Q$3,'IN-NX'!$D$7=D503,OR(LEFT(L503,2)="15",AND(LEFT(M503,2)&lt;&gt;"15",LEFT(M503,2)&lt;&gt;"33"))),"x","")</f>
        <v/>
      </c>
      <c r="W503" s="52" t="str">
        <f>IF(AND(OR(LEFT(TH!L503,2)="15",LEFT(TH!M503,2)="15"),'152-CT'!$J$8=TH!F503),"x","")</f>
        <v/>
      </c>
      <c r="X503" s="52" t="str">
        <f>IF(AND(OR(LEFT(TH!L503,2)="15",LEFT(TH!M503,2)="15"),TK!$E$7=TH!F503),"x","")</f>
        <v/>
      </c>
      <c r="Y503" s="52" t="str">
        <f>IF(AND(B503&lt;=NKC!$N$8,B503&gt;=NKC!$M$8),"x","")</f>
        <v>x</v>
      </c>
      <c r="Z503" s="208"/>
    </row>
    <row r="504" spans="1:28" s="587" customFormat="1" ht="15.75" customHeight="1">
      <c r="A504" s="201" t="str">
        <f>IF(B504&lt;&gt;"",IF(AND(B504&gt;=_TM1,B504&lt;=_TM2,OR(TH!L504="1111",TH!M504="1111")),TH!D504,""),"")</f>
        <v/>
      </c>
      <c r="B504" s="36">
        <f t="shared" si="20"/>
        <v>7</v>
      </c>
      <c r="C504" s="188">
        <f t="shared" si="21"/>
        <v>41479</v>
      </c>
      <c r="D504" s="181" t="s">
        <v>1021</v>
      </c>
      <c r="E504" s="188">
        <v>41479</v>
      </c>
      <c r="F504" s="189" t="s">
        <v>811</v>
      </c>
      <c r="G504" s="189" t="s">
        <v>853</v>
      </c>
      <c r="H504" s="7" t="s">
        <v>510</v>
      </c>
      <c r="I504" s="249">
        <v>98</v>
      </c>
      <c r="J504" s="249">
        <v>10500</v>
      </c>
      <c r="K504" s="38">
        <f>ROUND(I504*J504,0)</f>
        <v>1029000</v>
      </c>
      <c r="L504" s="191" t="s">
        <v>262</v>
      </c>
      <c r="M504" s="191" t="s">
        <v>172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IF(OR(TH!L504=TH!$U$7,M504=TH!$U$7),"x","")</f>
        <v/>
      </c>
      <c r="V504" s="52" t="str">
        <f>IF(AND(B504&gt;='IN-NX'!$P$3,B504&lt;='IN-NX'!$Q$3,'IN-NX'!$D$7=D504,OR(LEFT(L504,2)="15",AND(LEFT(M504,2)&lt;&gt;"15",LEFT(M504,2)&lt;&gt;"33"))),"x","")</f>
        <v/>
      </c>
      <c r="W504" s="52" t="str">
        <f>IF(AND(OR(LEFT(TH!L504,2)="15",LEFT(TH!M504,2)="15"),'152-CT'!$J$8=TH!F504),"x","")</f>
        <v/>
      </c>
      <c r="X504" s="52" t="str">
        <f>IF(AND(OR(LEFT(TH!L504,2)="15",LEFT(TH!M504,2)="15"),TK!$E$7=TH!F504),"x","")</f>
        <v/>
      </c>
      <c r="Y504" s="52" t="str">
        <f>IF(AND(B504&lt;=NKC!$N$8,B504&gt;=NKC!$M$8),"x","")</f>
        <v>x</v>
      </c>
      <c r="Z504" s="195"/>
      <c r="AB504" s="195"/>
    </row>
    <row r="505" spans="1:28" s="587" customFormat="1" ht="15.75" customHeight="1">
      <c r="A505" s="201" t="str">
        <f>IF(B505&lt;&gt;"",IF(AND(B505&gt;=_TM1,B505&lt;=_TM2,OR(TH!L505="1111",TH!M505="1111")),TH!D505,""),"")</f>
        <v/>
      </c>
      <c r="B505" s="36">
        <f t="shared" si="20"/>
        <v>7</v>
      </c>
      <c r="C505" s="188">
        <f t="shared" si="21"/>
        <v>41479</v>
      </c>
      <c r="D505" s="181" t="s">
        <v>1021</v>
      </c>
      <c r="E505" s="188">
        <v>41479</v>
      </c>
      <c r="F505" s="189" t="s">
        <v>693</v>
      </c>
      <c r="G505" s="189" t="s">
        <v>853</v>
      </c>
      <c r="H505" s="7" t="s">
        <v>510</v>
      </c>
      <c r="I505" s="249"/>
      <c r="J505" s="249"/>
      <c r="K505" s="38">
        <v>435963</v>
      </c>
      <c r="L505" s="191" t="s">
        <v>262</v>
      </c>
      <c r="M505" s="191" t="s">
        <v>425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IF(OR(TH!L505=TH!$U$7,M505=TH!$U$7),"x","")</f>
        <v/>
      </c>
      <c r="V505" s="52" t="str">
        <f>IF(AND(B505&gt;='IN-NX'!$P$3,B505&lt;='IN-NX'!$Q$3,'IN-NX'!$D$7=D505,OR(LEFT(L505,2)="15",AND(LEFT(M505,2)&lt;&gt;"15",LEFT(M505,2)&lt;&gt;"33"))),"x","")</f>
        <v/>
      </c>
      <c r="W505" s="52" t="str">
        <f>IF(AND(OR(LEFT(TH!L505,2)="15",LEFT(TH!M505,2)="15"),'152-CT'!$J$8=TH!F505),"x","")</f>
        <v/>
      </c>
      <c r="X505" s="52" t="str">
        <f>IF(AND(OR(LEFT(TH!L505,2)="15",LEFT(TH!M505,2)="15"),TK!$E$7=TH!F505),"x","")</f>
        <v/>
      </c>
      <c r="Y505" s="52" t="str">
        <f>IF(AND(B505&lt;=NKC!$N$8,B505&gt;=NKC!$M$8),"x","")</f>
        <v>x</v>
      </c>
      <c r="Z505" s="195"/>
      <c r="AA505" s="587" t="str">
        <f>IF(VLOOKUP(H505,DS_131,1,0)&lt;&gt;"","","x")</f>
        <v/>
      </c>
      <c r="AB505" s="195"/>
    </row>
    <row r="506" spans="1:28" s="587" customFormat="1" ht="15.75" customHeight="1">
      <c r="A506" s="201" t="str">
        <f>IF(B506&lt;&gt;"",IF(AND(B506&gt;=_TM1,B506&lt;=_TM2,OR(TH!L506="1111",TH!M506="1111")),TH!D506,""),"")</f>
        <v/>
      </c>
      <c r="B506" s="36">
        <f t="shared" si="20"/>
        <v>7</v>
      </c>
      <c r="C506" s="181">
        <f t="shared" si="21"/>
        <v>41480</v>
      </c>
      <c r="D506" s="181" t="s">
        <v>335</v>
      </c>
      <c r="E506" s="181">
        <v>41480</v>
      </c>
      <c r="F506" s="186" t="s">
        <v>337</v>
      </c>
      <c r="G506" s="597" t="s">
        <v>332</v>
      </c>
      <c r="H506" s="7" t="s">
        <v>499</v>
      </c>
      <c r="I506" s="249"/>
      <c r="J506" s="249"/>
      <c r="K506" s="595">
        <v>20754363</v>
      </c>
      <c r="L506" s="596" t="s">
        <v>24</v>
      </c>
      <c r="M506" s="596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>x</v>
      </c>
      <c r="T506" s="52" t="str">
        <f>IF(ISERROR(FIND('112'!$M$9,G506,1)),"",IF((AND(RIGHT(G506,2)=RIGHT('112'!$M$9,2),B506&lt;'112'!$N$8,$M506='112'!$I$6)),"x",""))</f>
        <v/>
      </c>
      <c r="U506" s="52" t="str">
        <f>IF(OR(TH!L506=TH!$U$7,M506=TH!$U$7),"x","")</f>
        <v/>
      </c>
      <c r="V506" s="52" t="str">
        <f>IF(AND(B506&gt;='IN-NX'!$P$3,B506&lt;='IN-NX'!$Q$3,'IN-NX'!$D$7=D506,OR(LEFT(L506,2)="15",AND(LEFT(M506,2)&lt;&gt;"15",LEFT(M506,2)&lt;&gt;"33"))),"x","")</f>
        <v/>
      </c>
      <c r="W506" s="52" t="str">
        <f>IF(AND(OR(LEFT(TH!L506,2)="15",LEFT(TH!M506,2)="15"),'152-CT'!$J$8=TH!F506),"x","")</f>
        <v/>
      </c>
      <c r="X506" s="52" t="str">
        <f>IF(AND(OR(LEFT(TH!L506,2)="15",LEFT(TH!M506,2)="15"),TK!$E$7=TH!F506),"x","")</f>
        <v/>
      </c>
      <c r="Y506" s="52" t="str">
        <f>IF(AND(B506&lt;=NKC!$N$8,B506&gt;=NKC!$M$8),"x","")</f>
        <v>x</v>
      </c>
      <c r="AA506" s="195"/>
      <c r="AB506" s="195"/>
    </row>
    <row r="507" spans="1:28" s="587" customFormat="1" ht="15.75" customHeight="1">
      <c r="A507" s="201" t="str">
        <f>IF(B507&lt;&gt;"",IF(AND(B507&gt;=_TM1,B507&lt;=_TM2,OR(TH!L507="1111",TH!M507="1111")),TH!D507,""),"")</f>
        <v/>
      </c>
      <c r="B507" s="36">
        <f t="shared" si="20"/>
        <v>7</v>
      </c>
      <c r="C507" s="181">
        <f t="shared" si="21"/>
        <v>41480</v>
      </c>
      <c r="D507" s="181" t="s">
        <v>335</v>
      </c>
      <c r="E507" s="181">
        <v>41480</v>
      </c>
      <c r="F507" s="186" t="s">
        <v>365</v>
      </c>
      <c r="G507" s="597" t="s">
        <v>332</v>
      </c>
      <c r="H507" s="7"/>
      <c r="I507" s="249"/>
      <c r="J507" s="249"/>
      <c r="K507" s="595">
        <v>1736</v>
      </c>
      <c r="L507" s="596" t="s">
        <v>24</v>
      </c>
      <c r="M507" s="596" t="s">
        <v>40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>x</v>
      </c>
      <c r="T507" s="52" t="str">
        <f>IF(ISERROR(FIND('112'!$M$9,G507,1)),"",IF((AND(RIGHT(G507,2)=RIGHT('112'!$M$9,2),B507&lt;'112'!$N$8,$M507='112'!$I$6)),"x",""))</f>
        <v/>
      </c>
      <c r="U507" s="52" t="str">
        <f>IF(OR(TH!L507=TH!$U$7,M507=TH!$U$7),"x","")</f>
        <v/>
      </c>
      <c r="V507" s="52" t="str">
        <f>IF(AND(B507&gt;='IN-NX'!$P$3,B507&lt;='IN-NX'!$Q$3,'IN-NX'!$D$7=D507,OR(LEFT(L507,2)="15",AND(LEFT(M507,2)&lt;&gt;"15",LEFT(M507,2)&lt;&gt;"33"))),"x","")</f>
        <v/>
      </c>
      <c r="W507" s="52" t="str">
        <f>IF(AND(OR(LEFT(TH!L507,2)="15",LEFT(TH!M507,2)="15"),'152-CT'!$J$8=TH!F507),"x","")</f>
        <v/>
      </c>
      <c r="X507" s="52" t="str">
        <f>IF(AND(OR(LEFT(TH!L507,2)="15",LEFT(TH!M507,2)="15"),TK!$E$7=TH!F507),"x","")</f>
        <v/>
      </c>
      <c r="Y507" s="52" t="str">
        <f>IF(AND(B507&lt;=NKC!$N$8,B507&gt;=NKC!$M$8),"x","")</f>
        <v>x</v>
      </c>
      <c r="Z507" s="208"/>
      <c r="AA507" s="195"/>
      <c r="AB507" s="195"/>
    </row>
    <row r="508" spans="1:28" s="587" customFormat="1" ht="15.75" customHeight="1">
      <c r="A508" s="201" t="str">
        <f>IF(B508&lt;&gt;"",IF(AND(B508&gt;=_TM1,B508&lt;=_TM2,OR(TH!L508="1111",TH!M508="1111")),TH!D508,""),"")</f>
        <v/>
      </c>
      <c r="B508" s="36">
        <f t="shared" si="20"/>
        <v>7</v>
      </c>
      <c r="C508" s="188">
        <f t="shared" si="21"/>
        <v>41480</v>
      </c>
      <c r="D508" s="181" t="s">
        <v>377</v>
      </c>
      <c r="E508" s="188">
        <v>41480</v>
      </c>
      <c r="F508" s="186" t="s">
        <v>431</v>
      </c>
      <c r="G508" s="480" t="s">
        <v>500</v>
      </c>
      <c r="H508" s="7" t="s">
        <v>368</v>
      </c>
      <c r="I508" s="249"/>
      <c r="J508" s="249"/>
      <c r="K508" s="595">
        <v>660000</v>
      </c>
      <c r="L508" s="596" t="s">
        <v>162</v>
      </c>
      <c r="M508" s="596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IF(OR(TH!L508=TH!$U$7,M508=TH!$U$7),"x","")</f>
        <v/>
      </c>
      <c r="V508" s="52" t="str">
        <f>IF(AND(B508&gt;='IN-NX'!$P$3,B508&lt;='IN-NX'!$Q$3,'IN-NX'!$D$7=D508,OR(LEFT(L508,2)="15",AND(LEFT(M508,2)&lt;&gt;"15",LEFT(M508,2)&lt;&gt;"33"))),"x","")</f>
        <v/>
      </c>
      <c r="W508" s="52" t="str">
        <f>IF(AND(OR(LEFT(TH!L508,2)="15",LEFT(TH!M508,2)="15"),'152-CT'!$J$8=TH!F508),"x","")</f>
        <v/>
      </c>
      <c r="X508" s="52" t="str">
        <f>IF(AND(OR(LEFT(TH!L508,2)="15",LEFT(TH!M508,2)="15"),TK!$E$7=TH!F508),"x","")</f>
        <v/>
      </c>
      <c r="Y508" s="52" t="str">
        <f>IF(AND(B508&lt;=NKC!$N$8,B508&gt;=NKC!$M$8),"x","")</f>
        <v>x</v>
      </c>
      <c r="Z508" s="587" t="s">
        <v>1301</v>
      </c>
      <c r="AA508" s="195"/>
      <c r="AB508" s="195"/>
    </row>
    <row r="509" spans="1:28" s="587" customFormat="1" ht="15.75" customHeight="1">
      <c r="A509" s="201" t="str">
        <f>IF(B509&lt;&gt;"",IF(AND(B509&gt;=_TM1,B509&lt;=_TM2,OR(TH!L509="1111",TH!M509="1111")),TH!D509,""),"")</f>
        <v/>
      </c>
      <c r="B509" s="36">
        <f t="shared" si="20"/>
        <v>7</v>
      </c>
      <c r="C509" s="188">
        <f t="shared" si="21"/>
        <v>41480</v>
      </c>
      <c r="D509" s="181" t="s">
        <v>377</v>
      </c>
      <c r="E509" s="188">
        <v>41480</v>
      </c>
      <c r="F509" s="186" t="s">
        <v>344</v>
      </c>
      <c r="G509" s="480" t="s">
        <v>500</v>
      </c>
      <c r="H509" s="7" t="s">
        <v>368</v>
      </c>
      <c r="I509" s="250"/>
      <c r="J509" s="250"/>
      <c r="K509" s="595">
        <v>66000</v>
      </c>
      <c r="L509" s="596" t="s">
        <v>9</v>
      </c>
      <c r="M509" s="596" t="s">
        <v>47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>x</v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IF(OR(TH!L509=TH!$U$7,M509=TH!$U$7),"x","")</f>
        <v/>
      </c>
      <c r="V509" s="52" t="str">
        <f>IF(AND(B509&gt;='IN-NX'!$P$3,B509&lt;='IN-NX'!$Q$3,'IN-NX'!$D$7=D509,OR(LEFT(L509,2)="15",AND(LEFT(M509,2)&lt;&gt;"15",LEFT(M509,2)&lt;&gt;"33"))),"x","")</f>
        <v/>
      </c>
      <c r="W509" s="52" t="str">
        <f>IF(AND(OR(LEFT(TH!L509,2)="15",LEFT(TH!M509,2)="15"),'152-CT'!$J$8=TH!F509),"x","")</f>
        <v/>
      </c>
      <c r="X509" s="52" t="str">
        <f>IF(AND(OR(LEFT(TH!L509,2)="15",LEFT(TH!M509,2)="15"),TK!$E$7=TH!F509),"x","")</f>
        <v/>
      </c>
      <c r="Y509" s="52" t="str">
        <f>IF(AND(B509&lt;=NKC!$N$8,B509&gt;=NKC!$M$8),"x","")</f>
        <v>x</v>
      </c>
      <c r="Z509" s="587" t="s">
        <v>1301</v>
      </c>
      <c r="AA509" s="195"/>
      <c r="AB509" s="195"/>
    </row>
    <row r="510" spans="1:28" s="587" customFormat="1" ht="15.75" customHeight="1">
      <c r="A510" s="201" t="str">
        <f>IF(B510&lt;&gt;"",IF(AND(B510&gt;=_TM1,B510&lt;=_TM2,OR(TH!L510="1111",TH!M510="1111")),TH!D510,""),"")</f>
        <v/>
      </c>
      <c r="B510" s="36">
        <f t="shared" si="20"/>
        <v>7</v>
      </c>
      <c r="C510" s="188">
        <f t="shared" si="21"/>
        <v>41480</v>
      </c>
      <c r="D510" s="181" t="s">
        <v>1022</v>
      </c>
      <c r="E510" s="188">
        <v>41480</v>
      </c>
      <c r="F510" s="189" t="s">
        <v>854</v>
      </c>
      <c r="G510" s="480" t="s">
        <v>855</v>
      </c>
      <c r="H510" s="7" t="s">
        <v>832</v>
      </c>
      <c r="I510" s="249">
        <v>200</v>
      </c>
      <c r="J510" s="249">
        <v>8200</v>
      </c>
      <c r="K510" s="38">
        <f>ROUND(I510*J510,0)</f>
        <v>1640000</v>
      </c>
      <c r="L510" s="191" t="s">
        <v>262</v>
      </c>
      <c r="M510" s="191" t="s">
        <v>172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IF(OR(TH!L510=TH!$U$7,M510=TH!$U$7),"x","")</f>
        <v/>
      </c>
      <c r="V510" s="52" t="str">
        <f>IF(AND(B510&gt;='IN-NX'!$P$3,B510&lt;='IN-NX'!$Q$3,'IN-NX'!$D$7=D510,OR(LEFT(L510,2)="15",AND(LEFT(M510,2)&lt;&gt;"15",LEFT(M510,2)&lt;&gt;"33"))),"x","")</f>
        <v/>
      </c>
      <c r="W510" s="52" t="str">
        <f>IF(AND(OR(LEFT(TH!L510,2)="15",LEFT(TH!M510,2)="15"),'152-CT'!$J$8=TH!F510),"x","")</f>
        <v/>
      </c>
      <c r="X510" s="52" t="str">
        <f>IF(AND(OR(LEFT(TH!L510,2)="15",LEFT(TH!M510,2)="15"),TK!$E$7=TH!F510),"x","")</f>
        <v/>
      </c>
      <c r="Y510" s="52" t="str">
        <f>IF(AND(B510&lt;=NKC!$N$8,B510&gt;=NKC!$M$8),"x","")</f>
        <v>x</v>
      </c>
      <c r="Z510" s="195"/>
      <c r="AB510" s="195"/>
    </row>
    <row r="511" spans="1:28" s="587" customFormat="1" ht="15.75" customHeight="1">
      <c r="A511" s="201" t="str">
        <f>IF(B511&lt;&gt;"",IF(AND(B511&gt;=_TM1,B511&lt;=_TM2,OR(TH!L511="1111",TH!M511="1111")),TH!D511,""),"")</f>
        <v/>
      </c>
      <c r="B511" s="36">
        <f t="shared" si="20"/>
        <v>7</v>
      </c>
      <c r="C511" s="188">
        <f t="shared" si="21"/>
        <v>41480</v>
      </c>
      <c r="D511" s="181" t="s">
        <v>1022</v>
      </c>
      <c r="E511" s="188">
        <v>41480</v>
      </c>
      <c r="F511" s="189" t="s">
        <v>1087</v>
      </c>
      <c r="G511" s="480" t="s">
        <v>855</v>
      </c>
      <c r="H511" s="7" t="s">
        <v>832</v>
      </c>
      <c r="I511" s="249">
        <v>496</v>
      </c>
      <c r="J511" s="249">
        <v>7500</v>
      </c>
      <c r="K511" s="38">
        <f>ROUND(I511*J511,0)</f>
        <v>3720000</v>
      </c>
      <c r="L511" s="191" t="s">
        <v>262</v>
      </c>
      <c r="M511" s="191" t="s">
        <v>172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IF(OR(TH!L511=TH!$U$7,M511=TH!$U$7),"x","")</f>
        <v/>
      </c>
      <c r="V511" s="52" t="str">
        <f>IF(AND(B511&gt;='IN-NX'!$P$3,B511&lt;='IN-NX'!$Q$3,'IN-NX'!$D$7=D511,OR(LEFT(L511,2)="15",AND(LEFT(M511,2)&lt;&gt;"15",LEFT(M511,2)&lt;&gt;"33"))),"x","")</f>
        <v/>
      </c>
      <c r="W511" s="52" t="str">
        <f>IF(AND(OR(LEFT(TH!L511,2)="15",LEFT(TH!M511,2)="15"),'152-CT'!$J$8=TH!F511),"x","")</f>
        <v/>
      </c>
      <c r="X511" s="52" t="str">
        <f>IF(AND(OR(LEFT(TH!L511,2)="15",LEFT(TH!M511,2)="15"),TK!$E$7=TH!F511),"x","")</f>
        <v/>
      </c>
      <c r="Y511" s="52" t="str">
        <f>IF(AND(B511&lt;=NKC!$N$8,B511&gt;=NKC!$M$8),"x","")</f>
        <v>x</v>
      </c>
      <c r="Z511" s="195"/>
      <c r="AB511" s="195"/>
    </row>
    <row r="512" spans="1:28" s="587" customFormat="1" ht="15.75" customHeight="1">
      <c r="A512" s="201" t="str">
        <f>IF(B512&lt;&gt;"",IF(AND(B512&gt;=_TM1,B512&lt;=_TM2,OR(TH!L512="1111",TH!M512="1111")),TH!D512,""),"")</f>
        <v/>
      </c>
      <c r="B512" s="36">
        <f t="shared" ref="B512:B572" si="23">IF(C512&lt;&gt;"",MONTH(C512),"")</f>
        <v>7</v>
      </c>
      <c r="C512" s="188">
        <f t="shared" si="21"/>
        <v>41480</v>
      </c>
      <c r="D512" s="181" t="s">
        <v>1022</v>
      </c>
      <c r="E512" s="188">
        <v>41480</v>
      </c>
      <c r="F512" s="189" t="s">
        <v>1131</v>
      </c>
      <c r="G512" s="189" t="s">
        <v>855</v>
      </c>
      <c r="H512" s="7" t="s">
        <v>832</v>
      </c>
      <c r="I512" s="249">
        <v>505</v>
      </c>
      <c r="J512" s="249">
        <v>6700</v>
      </c>
      <c r="K512" s="38">
        <f>ROUND(I512*J512,0)</f>
        <v>3383500</v>
      </c>
      <c r="L512" s="191" t="s">
        <v>262</v>
      </c>
      <c r="M512" s="191" t="s">
        <v>172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IF(OR(TH!L512=TH!$U$7,M512=TH!$U$7),"x","")</f>
        <v/>
      </c>
      <c r="V512" s="52" t="str">
        <f>IF(AND(B512&gt;='IN-NX'!$P$3,B512&lt;='IN-NX'!$Q$3,'IN-NX'!$D$7=D512,OR(LEFT(L512,2)="15",AND(LEFT(M512,2)&lt;&gt;"15",LEFT(M512,2)&lt;&gt;"33"))),"x","")</f>
        <v/>
      </c>
      <c r="W512" s="52" t="str">
        <f>IF(AND(OR(LEFT(TH!L512,2)="15",LEFT(TH!M512,2)="15"),'152-CT'!$J$8=TH!F512),"x","")</f>
        <v/>
      </c>
      <c r="X512" s="52" t="str">
        <f>IF(AND(OR(LEFT(TH!L512,2)="15",LEFT(TH!M512,2)="15"),TK!$E$7=TH!F512),"x","")</f>
        <v/>
      </c>
      <c r="Y512" s="52" t="str">
        <f>IF(AND(B512&lt;=NKC!$N$8,B512&gt;=NKC!$M$8),"x","")</f>
        <v>x</v>
      </c>
      <c r="Z512" s="195"/>
      <c r="AB512" s="195"/>
    </row>
    <row r="513" spans="1:28" s="587" customFormat="1" ht="15.75" customHeight="1">
      <c r="A513" s="201" t="str">
        <f>IF(B513&lt;&gt;"",IF(AND(B513&gt;=_TM1,B513&lt;=_TM2,OR(TH!L513="1111",TH!M513="1111")),TH!D513,""),"")</f>
        <v/>
      </c>
      <c r="B513" s="36">
        <f t="shared" si="23"/>
        <v>7</v>
      </c>
      <c r="C513" s="188">
        <f t="shared" si="21"/>
        <v>41480</v>
      </c>
      <c r="D513" s="181" t="s">
        <v>1022</v>
      </c>
      <c r="E513" s="188">
        <v>41480</v>
      </c>
      <c r="F513" s="189" t="s">
        <v>856</v>
      </c>
      <c r="G513" s="189" t="s">
        <v>855</v>
      </c>
      <c r="H513" s="7" t="s">
        <v>832</v>
      </c>
      <c r="I513" s="249">
        <v>1000</v>
      </c>
      <c r="J513" s="249">
        <v>6300</v>
      </c>
      <c r="K513" s="38">
        <f>ROUND(I513*J513,0)</f>
        <v>6300000</v>
      </c>
      <c r="L513" s="191" t="s">
        <v>262</v>
      </c>
      <c r="M513" s="191" t="s">
        <v>172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IF(OR(TH!L513=TH!$U$7,M513=TH!$U$7),"x","")</f>
        <v/>
      </c>
      <c r="V513" s="52" t="str">
        <f>IF(AND(B513&gt;='IN-NX'!$P$3,B513&lt;='IN-NX'!$Q$3,'IN-NX'!$D$7=D513,OR(LEFT(L513,2)="15",AND(LEFT(M513,2)&lt;&gt;"15",LEFT(M513,2)&lt;&gt;"33"))),"x","")</f>
        <v/>
      </c>
      <c r="W513" s="52" t="str">
        <f>IF(AND(OR(LEFT(TH!L513,2)="15",LEFT(TH!M513,2)="15"),'152-CT'!$J$8=TH!F513),"x","")</f>
        <v/>
      </c>
      <c r="X513" s="52" t="str">
        <f>IF(AND(OR(LEFT(TH!L513,2)="15",LEFT(TH!M513,2)="15"),TK!$E$7=TH!F513),"x","")</f>
        <v/>
      </c>
      <c r="Y513" s="52" t="str">
        <f>IF(AND(B513&lt;=NKC!$N$8,B513&gt;=NKC!$M$8),"x","")</f>
        <v>x</v>
      </c>
      <c r="Z513" s="195"/>
      <c r="AB513" s="195"/>
    </row>
    <row r="514" spans="1:28" s="587" customFormat="1" ht="15.75" customHeight="1">
      <c r="A514" s="201" t="str">
        <f>IF(B514&lt;&gt;"",IF(AND(B514&gt;=_TM1,B514&lt;=_TM2,OR(TH!L514="1111",TH!M514="1111")),TH!D514,""),"")</f>
        <v/>
      </c>
      <c r="B514" s="36">
        <f t="shared" si="23"/>
        <v>7</v>
      </c>
      <c r="C514" s="188">
        <f t="shared" si="21"/>
        <v>41480</v>
      </c>
      <c r="D514" s="181" t="s">
        <v>1022</v>
      </c>
      <c r="E514" s="188">
        <v>41480</v>
      </c>
      <c r="F514" s="189" t="s">
        <v>693</v>
      </c>
      <c r="G514" s="189" t="s">
        <v>855</v>
      </c>
      <c r="H514" s="7" t="s">
        <v>832</v>
      </c>
      <c r="I514" s="249"/>
      <c r="J514" s="249"/>
      <c r="K514" s="38">
        <v>1504350</v>
      </c>
      <c r="L514" s="191" t="s">
        <v>262</v>
      </c>
      <c r="M514" s="191" t="s">
        <v>425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IF(OR(TH!L514=TH!$U$7,M514=TH!$U$7),"x","")</f>
        <v/>
      </c>
      <c r="V514" s="52" t="str">
        <f>IF(AND(B514&gt;='IN-NX'!$P$3,B514&lt;='IN-NX'!$Q$3,'IN-NX'!$D$7=D514,OR(LEFT(L514,2)="15",AND(LEFT(M514,2)&lt;&gt;"15",LEFT(M514,2)&lt;&gt;"33"))),"x","")</f>
        <v/>
      </c>
      <c r="W514" s="52" t="str">
        <f>IF(AND(OR(LEFT(TH!L514,2)="15",LEFT(TH!M514,2)="15"),'152-CT'!$J$8=TH!F514),"x","")</f>
        <v/>
      </c>
      <c r="X514" s="52" t="str">
        <f>IF(AND(OR(LEFT(TH!L514,2)="15",LEFT(TH!M514,2)="15"),TK!$E$7=TH!F514),"x","")</f>
        <v/>
      </c>
      <c r="Y514" s="52" t="str">
        <f>IF(AND(B514&lt;=NKC!$N$8,B514&gt;=NKC!$M$8),"x","")</f>
        <v>x</v>
      </c>
      <c r="Z514" s="195"/>
      <c r="AA514" s="587" t="str">
        <f>IF(VLOOKUP(H514,DS_131,1,0)&lt;&gt;"","","x")</f>
        <v/>
      </c>
      <c r="AB514" s="195"/>
    </row>
    <row r="515" spans="1:28" s="587" customFormat="1" ht="15.75" customHeight="1">
      <c r="A515" s="201" t="str">
        <f>IF(B515&lt;&gt;"",IF(AND(B515&gt;=_TM1,B515&lt;=_TM2,OR(TH!L515="1111",TH!M515="1111")),TH!D515,""),"")</f>
        <v/>
      </c>
      <c r="B515" s="36">
        <f t="shared" si="23"/>
        <v>7</v>
      </c>
      <c r="C515" s="181">
        <f t="shared" si="21"/>
        <v>41481</v>
      </c>
      <c r="D515" s="181" t="s">
        <v>335</v>
      </c>
      <c r="E515" s="188">
        <v>41481</v>
      </c>
      <c r="F515" s="186" t="s">
        <v>337</v>
      </c>
      <c r="G515" s="597" t="s">
        <v>332</v>
      </c>
      <c r="H515" s="7" t="s">
        <v>468</v>
      </c>
      <c r="I515" s="250"/>
      <c r="J515" s="251"/>
      <c r="K515" s="38">
        <v>19948170</v>
      </c>
      <c r="L515" s="596" t="s">
        <v>24</v>
      </c>
      <c r="M515" s="596" t="s">
        <v>262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>x</v>
      </c>
      <c r="T515" s="52" t="str">
        <f>IF(ISERROR(FIND('112'!$M$9,G515,1)),"",IF((AND(RIGHT(G515,2)=RIGHT('112'!$M$9,2),B515&lt;'112'!$N$8,$M515='112'!$I$6)),"x",""))</f>
        <v/>
      </c>
      <c r="U515" s="52" t="str">
        <f>IF(OR(TH!L515=TH!$U$7,M515=TH!$U$7),"x","")</f>
        <v/>
      </c>
      <c r="V515" s="52" t="str">
        <f>IF(AND(B515&gt;='IN-NX'!$P$3,B515&lt;='IN-NX'!$Q$3,'IN-NX'!$D$7=D515,OR(LEFT(L515,2)="15",AND(LEFT(M515,2)&lt;&gt;"15",LEFT(M515,2)&lt;&gt;"33"))),"x","")</f>
        <v/>
      </c>
      <c r="W515" s="52" t="str">
        <f>IF(AND(OR(LEFT(TH!L515,2)="15",LEFT(TH!M515,2)="15"),'152-CT'!$J$8=TH!F515),"x","")</f>
        <v/>
      </c>
      <c r="X515" s="52" t="str">
        <f>IF(AND(OR(LEFT(TH!L515,2)="15",LEFT(TH!M515,2)="15"),TK!$E$7=TH!F515),"x","")</f>
        <v/>
      </c>
      <c r="Y515" s="52" t="str">
        <f>IF(AND(B515&lt;=NKC!$N$8,B515&gt;=NKC!$M$8),"x","")</f>
        <v>x</v>
      </c>
      <c r="Z515" s="208"/>
      <c r="AA515" s="195"/>
      <c r="AB515" s="195"/>
    </row>
    <row r="516" spans="1:28" s="587" customFormat="1" ht="15.75" customHeight="1">
      <c r="A516" s="201" t="str">
        <f>IF(B516&lt;&gt;"",IF(AND(B516&gt;=_TM1,B516&lt;=_TM2,OR(TH!L516="1111",TH!M516="1111")),TH!D516,""),"")</f>
        <v/>
      </c>
      <c r="B516" s="36">
        <f t="shared" si="23"/>
        <v>7</v>
      </c>
      <c r="C516" s="181">
        <f t="shared" ref="C516:C576" si="24">E516</f>
        <v>41481</v>
      </c>
      <c r="D516" s="181" t="s">
        <v>373</v>
      </c>
      <c r="E516" s="188">
        <v>41481</v>
      </c>
      <c r="F516" s="186" t="s">
        <v>469</v>
      </c>
      <c r="G516" s="597" t="s">
        <v>332</v>
      </c>
      <c r="H516" s="7" t="s">
        <v>364</v>
      </c>
      <c r="I516" s="250"/>
      <c r="J516" s="251"/>
      <c r="K516" s="38">
        <v>31000000</v>
      </c>
      <c r="L516" s="596" t="s">
        <v>47</v>
      </c>
      <c r="M516" s="5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52" t="str">
        <f>IF(OR(TH!L516=TH!$U$7,M516=TH!$U$7),"x","")</f>
        <v/>
      </c>
      <c r="V516" s="52" t="str">
        <f>IF(AND(B516&gt;='IN-NX'!$P$3,B516&lt;='IN-NX'!$Q$3,'IN-NX'!$D$7=D516,OR(LEFT(L516,2)="15",AND(LEFT(M516,2)&lt;&gt;"15",LEFT(M516,2)&lt;&gt;"33"))),"x","")</f>
        <v/>
      </c>
      <c r="W516" s="52" t="str">
        <f>IF(AND(OR(LEFT(TH!L516,2)="15",LEFT(TH!M516,2)="15"),'152-CT'!$J$8=TH!F516),"x","")</f>
        <v/>
      </c>
      <c r="X516" s="52" t="str">
        <f>IF(AND(OR(LEFT(TH!L516,2)="15",LEFT(TH!M516,2)="15"),TK!$E$7=TH!F516),"x","")</f>
        <v/>
      </c>
      <c r="Y516" s="52" t="str">
        <f>IF(AND(B516&lt;=NKC!$N$8,B516&gt;=NKC!$M$8),"x","")</f>
        <v>x</v>
      </c>
      <c r="AA516" s="195"/>
      <c r="AB516" s="195"/>
    </row>
    <row r="517" spans="1:28" s="587" customFormat="1" ht="15.75" customHeight="1">
      <c r="A517" s="201" t="str">
        <f>IF(B517&lt;&gt;"",IF(AND(B517&gt;=_TM1,B517&lt;=_TM2,OR(TH!L517="1111",TH!M517="1111")),TH!D517,""),"")</f>
        <v/>
      </c>
      <c r="B517" s="36">
        <f t="shared" si="23"/>
        <v>7</v>
      </c>
      <c r="C517" s="181">
        <f t="shared" si="24"/>
        <v>41481</v>
      </c>
      <c r="D517" s="181" t="s">
        <v>378</v>
      </c>
      <c r="E517" s="181">
        <v>41481</v>
      </c>
      <c r="F517" s="186" t="s">
        <v>501</v>
      </c>
      <c r="G517" s="657" t="s">
        <v>502</v>
      </c>
      <c r="H517" s="7" t="s">
        <v>485</v>
      </c>
      <c r="I517" s="249"/>
      <c r="J517" s="249"/>
      <c r="K517" s="595">
        <v>670000</v>
      </c>
      <c r="L517" s="596" t="s">
        <v>87</v>
      </c>
      <c r="M517" s="596" t="s">
        <v>47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IF(OR(TH!L517=TH!$U$7,M517=TH!$U$7),"x","")</f>
        <v/>
      </c>
      <c r="V517" s="52" t="str">
        <f>IF(AND(B517&gt;='IN-NX'!$P$3,B517&lt;='IN-NX'!$Q$3,'IN-NX'!$D$7=D517,OR(LEFT(L517,2)="15",AND(LEFT(M517,2)&lt;&gt;"15",LEFT(M517,2)&lt;&gt;"33"))),"x","")</f>
        <v/>
      </c>
      <c r="W517" s="52" t="str">
        <f>IF(AND(OR(LEFT(TH!L517,2)="15",LEFT(TH!M517,2)="15"),'152-CT'!$J$8=TH!F517),"x","")</f>
        <v/>
      </c>
      <c r="X517" s="52" t="str">
        <f>IF(AND(OR(LEFT(TH!L517,2)="15",LEFT(TH!M517,2)="15"),TK!$E$7=TH!F517),"x","")</f>
        <v/>
      </c>
      <c r="Y517" s="52" t="str">
        <f>IF(AND(B517&lt;=NKC!$N$8,B517&gt;=NKC!$M$8),"x","")</f>
        <v>x</v>
      </c>
      <c r="AA517" s="208"/>
      <c r="AB517" s="208"/>
    </row>
    <row r="518" spans="1:28" s="587" customFormat="1" ht="15.75" customHeight="1">
      <c r="A518" s="201" t="str">
        <f>IF(B518&lt;&gt;"",IF(AND(B518&gt;=_TM1,B518&lt;=_TM2,OR(TH!L518="1111",TH!M518="1111")),TH!D518,""),"")</f>
        <v/>
      </c>
      <c r="B518" s="36">
        <f t="shared" si="23"/>
        <v>7</v>
      </c>
      <c r="C518" s="188">
        <f t="shared" si="24"/>
        <v>41481</v>
      </c>
      <c r="D518" s="181" t="s">
        <v>1023</v>
      </c>
      <c r="E518" s="188">
        <v>41481</v>
      </c>
      <c r="F518" s="189" t="s">
        <v>1103</v>
      </c>
      <c r="G518" s="189" t="s">
        <v>857</v>
      </c>
      <c r="H518" s="7" t="s">
        <v>427</v>
      </c>
      <c r="I518" s="249">
        <v>3000</v>
      </c>
      <c r="J518" s="249">
        <v>6250</v>
      </c>
      <c r="K518" s="38">
        <f>ROUND(I518*J518,0)</f>
        <v>18750000</v>
      </c>
      <c r="L518" s="191" t="s">
        <v>262</v>
      </c>
      <c r="M518" s="191" t="s">
        <v>172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IF(OR(TH!L518=TH!$U$7,M518=TH!$U$7),"x","")</f>
        <v/>
      </c>
      <c r="V518" s="52" t="str">
        <f>IF(AND(B518&gt;='IN-NX'!$P$3,B518&lt;='IN-NX'!$Q$3,'IN-NX'!$D$7=D518,OR(LEFT(L518,2)="15",AND(LEFT(M518,2)&lt;&gt;"15",LEFT(M518,2)&lt;&gt;"33"))),"x","")</f>
        <v/>
      </c>
      <c r="W518" s="52" t="str">
        <f>IF(AND(OR(LEFT(TH!L518,2)="15",LEFT(TH!M518,2)="15"),'152-CT'!$J$8=TH!F518),"x","")</f>
        <v/>
      </c>
      <c r="X518" s="52" t="str">
        <f>IF(AND(OR(LEFT(TH!L518,2)="15",LEFT(TH!M518,2)="15"),TK!$E$7=TH!F518),"x","")</f>
        <v/>
      </c>
      <c r="Y518" s="52" t="str">
        <f>IF(AND(B518&lt;=NKC!$N$8,B518&gt;=NKC!$M$8),"x","")</f>
        <v>x</v>
      </c>
      <c r="Z518" s="195"/>
      <c r="AB518" s="195"/>
    </row>
    <row r="519" spans="1:28" s="587" customFormat="1" ht="15.75" customHeight="1">
      <c r="A519" s="201" t="str">
        <f>IF(B519&lt;&gt;"",IF(AND(B519&gt;=_TM1,B519&lt;=_TM2,OR(TH!L519="1111",TH!M519="1111")),TH!D519,""),"")</f>
        <v/>
      </c>
      <c r="B519" s="36">
        <f t="shared" si="23"/>
        <v>7</v>
      </c>
      <c r="C519" s="188">
        <f t="shared" si="24"/>
        <v>41481</v>
      </c>
      <c r="D519" s="181" t="s">
        <v>1023</v>
      </c>
      <c r="E519" s="188">
        <v>41481</v>
      </c>
      <c r="F519" s="189" t="s">
        <v>693</v>
      </c>
      <c r="G519" s="189" t="s">
        <v>857</v>
      </c>
      <c r="H519" s="7" t="s">
        <v>427</v>
      </c>
      <c r="I519" s="249"/>
      <c r="J519" s="249"/>
      <c r="K519" s="38">
        <v>1875000</v>
      </c>
      <c r="L519" s="191" t="s">
        <v>262</v>
      </c>
      <c r="M519" s="191" t="s">
        <v>425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IF(OR(TH!L519=TH!$U$7,M519=TH!$U$7),"x","")</f>
        <v/>
      </c>
      <c r="V519" s="52" t="str">
        <f>IF(AND(B519&gt;='IN-NX'!$P$3,B519&lt;='IN-NX'!$Q$3,'IN-NX'!$D$7=D519,OR(LEFT(L519,2)="15",AND(LEFT(M519,2)&lt;&gt;"15",LEFT(M519,2)&lt;&gt;"33"))),"x","")</f>
        <v/>
      </c>
      <c r="W519" s="52" t="str">
        <f>IF(AND(OR(LEFT(TH!L519,2)="15",LEFT(TH!M519,2)="15"),'152-CT'!$J$8=TH!F519),"x","")</f>
        <v/>
      </c>
      <c r="X519" s="52" t="str">
        <f>IF(AND(OR(LEFT(TH!L519,2)="15",LEFT(TH!M519,2)="15"),TK!$E$7=TH!F519),"x","")</f>
        <v/>
      </c>
      <c r="Y519" s="52" t="str">
        <f>IF(AND(B519&lt;=NKC!$N$8,B519&gt;=NKC!$M$8),"x","")</f>
        <v>x</v>
      </c>
      <c r="Z519" s="195"/>
      <c r="AA519" s="587" t="str">
        <f>IF(VLOOKUP(H519,DS_131,1,0)&lt;&gt;"","","x")</f>
        <v/>
      </c>
      <c r="AB519" s="195"/>
    </row>
    <row r="520" spans="1:28" s="587" customFormat="1" ht="15.75" customHeight="1">
      <c r="A520" s="201" t="str">
        <f>IF(B520&lt;&gt;"",IF(AND(B520&gt;=_TM1,B520&lt;=_TM2,OR(TH!L520="1111",TH!M520="1111")),TH!D520,""),"")</f>
        <v/>
      </c>
      <c r="B520" s="36">
        <f t="shared" si="23"/>
        <v>7</v>
      </c>
      <c r="C520" s="188">
        <f t="shared" si="24"/>
        <v>41484</v>
      </c>
      <c r="D520" s="181" t="s">
        <v>1024</v>
      </c>
      <c r="E520" s="188">
        <v>41484</v>
      </c>
      <c r="F520" s="189" t="s">
        <v>805</v>
      </c>
      <c r="G520" s="189" t="s">
        <v>858</v>
      </c>
      <c r="H520" s="190" t="s">
        <v>710</v>
      </c>
      <c r="I520" s="249">
        <v>500</v>
      </c>
      <c r="J520" s="249">
        <v>10500</v>
      </c>
      <c r="K520" s="38">
        <f>ROUND(I520*J520,0)</f>
        <v>5250000</v>
      </c>
      <c r="L520" s="191" t="s">
        <v>262</v>
      </c>
      <c r="M520" s="191" t="s">
        <v>172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IF(OR(TH!L520=TH!$U$7,M520=TH!$U$7),"x","")</f>
        <v/>
      </c>
      <c r="V520" s="52" t="str">
        <f>IF(AND(B520&gt;='IN-NX'!$P$3,B520&lt;='IN-NX'!$Q$3,'IN-NX'!$D$7=D520,OR(LEFT(L520,2)="15",AND(LEFT(M520,2)&lt;&gt;"15",LEFT(M520,2)&lt;&gt;"33"))),"x","")</f>
        <v/>
      </c>
      <c r="W520" s="52" t="str">
        <f>IF(AND(OR(LEFT(TH!L520,2)="15",LEFT(TH!M520,2)="15"),'152-CT'!$J$8=TH!F520),"x","")</f>
        <v/>
      </c>
      <c r="X520" s="52" t="str">
        <f>IF(AND(OR(LEFT(TH!L520,2)="15",LEFT(TH!M520,2)="15"),TK!$E$7=TH!F520),"x","")</f>
        <v/>
      </c>
      <c r="Y520" s="52" t="str">
        <f>IF(AND(B520&lt;=NKC!$N$8,B520&gt;=NKC!$M$8),"x","")</f>
        <v>x</v>
      </c>
    </row>
    <row r="521" spans="1:28" s="587" customFormat="1" ht="15.75" customHeight="1">
      <c r="A521" s="201" t="str">
        <f>IF(B521&lt;&gt;"",IF(AND(B521&gt;=_TM1,B521&lt;=_TM2,OR(TH!L521="1111",TH!M521="1111")),TH!D521,""),"")</f>
        <v/>
      </c>
      <c r="B521" s="36">
        <f t="shared" si="23"/>
        <v>7</v>
      </c>
      <c r="C521" s="188">
        <f t="shared" si="24"/>
        <v>41484</v>
      </c>
      <c r="D521" s="181" t="s">
        <v>1024</v>
      </c>
      <c r="E521" s="188">
        <v>41484</v>
      </c>
      <c r="F521" s="189" t="s">
        <v>693</v>
      </c>
      <c r="G521" s="189" t="s">
        <v>858</v>
      </c>
      <c r="H521" s="207" t="s">
        <v>710</v>
      </c>
      <c r="I521" s="250"/>
      <c r="J521" s="250"/>
      <c r="K521" s="38">
        <v>525000</v>
      </c>
      <c r="L521" s="191" t="s">
        <v>262</v>
      </c>
      <c r="M521" s="191" t="s">
        <v>425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IF(OR(TH!L521=TH!$U$7,M521=TH!$U$7),"x","")</f>
        <v/>
      </c>
      <c r="V521" s="52" t="str">
        <f>IF(AND(B521&gt;='IN-NX'!$P$3,B521&lt;='IN-NX'!$Q$3,'IN-NX'!$D$7=D521,OR(LEFT(L521,2)="15",AND(LEFT(M521,2)&lt;&gt;"15",LEFT(M521,2)&lt;&gt;"33"))),"x","")</f>
        <v/>
      </c>
      <c r="W521" s="52" t="str">
        <f>IF(AND(OR(LEFT(TH!L521,2)="15",LEFT(TH!M521,2)="15"),'152-CT'!$J$8=TH!F521),"x","")</f>
        <v/>
      </c>
      <c r="X521" s="52" t="str">
        <f>IF(AND(OR(LEFT(TH!L521,2)="15",LEFT(TH!M521,2)="15"),TK!$E$7=TH!F521),"x","")</f>
        <v/>
      </c>
      <c r="Y521" s="52" t="str">
        <f>IF(AND(B521&lt;=NKC!$N$8,B521&gt;=NKC!$M$8),"x","")</f>
        <v>x</v>
      </c>
      <c r="Z521" s="208"/>
      <c r="AA521" s="587" t="str">
        <f>IF(VLOOKUP(H521,DS_131,1,0)&lt;&gt;"","","x")</f>
        <v/>
      </c>
    </row>
    <row r="522" spans="1:28" s="587" customFormat="1" ht="15.75" customHeight="1">
      <c r="A522" s="201" t="str">
        <f>IF(B522&lt;&gt;"",IF(AND(B522&gt;=_TM1,B522&lt;=_TM2,OR(TH!L522="1111",TH!M522="1111")),TH!D522,""),"")</f>
        <v/>
      </c>
      <c r="B522" s="36">
        <f t="shared" si="23"/>
        <v>7</v>
      </c>
      <c r="C522" s="188">
        <f t="shared" si="24"/>
        <v>41484</v>
      </c>
      <c r="D522" s="181" t="s">
        <v>392</v>
      </c>
      <c r="E522" s="188">
        <v>41484</v>
      </c>
      <c r="F522" s="186" t="s">
        <v>337</v>
      </c>
      <c r="G522" s="189" t="s">
        <v>1322</v>
      </c>
      <c r="H522" s="207" t="s">
        <v>710</v>
      </c>
      <c r="I522" s="250"/>
      <c r="J522" s="250"/>
      <c r="K522" s="38">
        <v>14425950</v>
      </c>
      <c r="L522" s="191" t="s">
        <v>47</v>
      </c>
      <c r="M522" s="191" t="s">
        <v>262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>x</v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IF(OR(TH!L522=TH!$U$7,M522=TH!$U$7),"x","")</f>
        <v/>
      </c>
      <c r="V522" s="52" t="str">
        <f>IF(AND(B522&gt;='IN-NX'!$P$3,B522&lt;='IN-NX'!$Q$3,'IN-NX'!$D$7=D522,OR(LEFT(L522,2)="15",AND(LEFT(M522,2)&lt;&gt;"15",LEFT(M522,2)&lt;&gt;"33"))),"x","")</f>
        <v/>
      </c>
      <c r="W522" s="52" t="str">
        <f>IF(AND(OR(LEFT(TH!L522,2)="15",LEFT(TH!M522,2)="15"),'152-CT'!$J$8=TH!F522),"x","")</f>
        <v/>
      </c>
      <c r="X522" s="52" t="str">
        <f>IF(AND(OR(LEFT(TH!L522,2)="15",LEFT(TH!M522,2)="15"),TK!$E$7=TH!F522),"x","")</f>
        <v/>
      </c>
      <c r="Y522" s="52" t="str">
        <f>IF(AND(B522&lt;=NKC!$N$8,B522&gt;=NKC!$M$8),"x","")</f>
        <v>x</v>
      </c>
      <c r="Z522" s="208"/>
      <c r="AA522" s="587" t="str">
        <f>IF(VLOOKUP(H522,DS_131,1,0)&lt;&gt;"","","x")</f>
        <v/>
      </c>
    </row>
    <row r="523" spans="1:28" s="587" customFormat="1" ht="15.75" customHeight="1">
      <c r="A523" s="201" t="str">
        <f>IF(B523&lt;&gt;"",IF(AND(B523&gt;=_TM1,B523&lt;=_TM2,OR(TH!L523="1111",TH!M523="1111")),TH!D523,""),"")</f>
        <v/>
      </c>
      <c r="B523" s="36">
        <f t="shared" si="23"/>
        <v>7</v>
      </c>
      <c r="C523" s="181">
        <f t="shared" si="24"/>
        <v>41485</v>
      </c>
      <c r="D523" s="181" t="s">
        <v>336</v>
      </c>
      <c r="E523" s="188">
        <v>41485</v>
      </c>
      <c r="F523" s="186" t="s">
        <v>367</v>
      </c>
      <c r="G523" s="597" t="s">
        <v>332</v>
      </c>
      <c r="H523" s="190" t="s">
        <v>554</v>
      </c>
      <c r="I523" s="249"/>
      <c r="J523" s="251"/>
      <c r="K523" s="595">
        <v>20000000</v>
      </c>
      <c r="L523" s="596" t="s">
        <v>8</v>
      </c>
      <c r="M523" s="596" t="s">
        <v>24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>x</v>
      </c>
      <c r="U523" s="52" t="str">
        <f>IF(OR(TH!L523=TH!$U$7,M523=TH!$U$7),"x","")</f>
        <v/>
      </c>
      <c r="V523" s="52" t="str">
        <f>IF(AND(B523&gt;='IN-NX'!$P$3,B523&lt;='IN-NX'!$Q$3,'IN-NX'!$D$7=D523,OR(LEFT(L523,2)="15",AND(LEFT(M523,2)&lt;&gt;"15",LEFT(M523,2)&lt;&gt;"33"))),"x","")</f>
        <v/>
      </c>
      <c r="W523" s="52" t="str">
        <f>IF(AND(OR(LEFT(TH!L523,2)="15",LEFT(TH!M523,2)="15"),'152-CT'!$J$8=TH!F523),"x","")</f>
        <v/>
      </c>
      <c r="X523" s="52" t="str">
        <f>IF(AND(OR(LEFT(TH!L523,2)="15",LEFT(TH!M523,2)="15"),TK!$E$7=TH!F523),"x","")</f>
        <v/>
      </c>
      <c r="Y523" s="52" t="str">
        <f>IF(AND(B523&lt;=NKC!$N$8,B523&gt;=NKC!$M$8),"x","")</f>
        <v>x</v>
      </c>
      <c r="AA523" s="208"/>
      <c r="AB523" s="208"/>
    </row>
    <row r="524" spans="1:28" s="587" customFormat="1" ht="15.75" customHeight="1">
      <c r="A524" s="201" t="str">
        <f>IF(B524&lt;&gt;"",IF(AND(B524&gt;=_TM1,B524&lt;=_TM2,OR(TH!L524="1111",TH!M524="1111")),TH!D524,""),"")</f>
        <v/>
      </c>
      <c r="B524" s="36">
        <f t="shared" si="23"/>
        <v>7</v>
      </c>
      <c r="C524" s="771">
        <f t="shared" si="24"/>
        <v>41486</v>
      </c>
      <c r="D524" s="771" t="s">
        <v>339</v>
      </c>
      <c r="E524" s="771">
        <v>41486</v>
      </c>
      <c r="F524" s="696" t="s">
        <v>1255</v>
      </c>
      <c r="G524" s="697"/>
      <c r="H524" s="609"/>
      <c r="I524" s="477"/>
      <c r="J524" s="477"/>
      <c r="K524" s="698">
        <v>5910000</v>
      </c>
      <c r="L524" s="699" t="s">
        <v>83</v>
      </c>
      <c r="M524" s="699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IF(OR(TH!L524=TH!$U$7,M524=TH!$U$7),"x","")</f>
        <v>x</v>
      </c>
      <c r="V524" s="52" t="str">
        <f>IF(AND(B524&gt;='IN-NX'!$P$3,B524&lt;='IN-NX'!$Q$3,'IN-NX'!$D$7=D524,OR(LEFT(L524,2)="15",AND(LEFT(M524,2)&lt;&gt;"15",LEFT(M524,2)&lt;&gt;"33"))),"x","")</f>
        <v/>
      </c>
      <c r="W524" s="52" t="str">
        <f>IF(AND(OR(LEFT(TH!L524,2)="15",LEFT(TH!M524,2)="15"),'152-CT'!$J$8=TH!F524),"x","")</f>
        <v/>
      </c>
      <c r="X524" s="52" t="str">
        <f>IF(AND(OR(LEFT(TH!L524,2)="15",LEFT(TH!M524,2)="15"),TK!$E$7=TH!F524),"x","")</f>
        <v/>
      </c>
      <c r="Y524" s="52" t="str">
        <f>IF(AND(B524&lt;=NKC!$N$8,B524&gt;=NKC!$M$8),"x","")</f>
        <v>x</v>
      </c>
      <c r="Z524" s="195"/>
      <c r="AA524" s="195"/>
      <c r="AB524" s="195"/>
    </row>
    <row r="525" spans="1:28" s="587" customFormat="1" ht="15.75" customHeight="1">
      <c r="A525" s="201" t="str">
        <f>IF(B525&lt;&gt;"",IF(AND(B525&gt;=_TM1,B525&lt;=_TM2,OR(TH!L525="1111",TH!M525="1111")),TH!D525,""),"")</f>
        <v/>
      </c>
      <c r="B525" s="36">
        <f t="shared" si="23"/>
        <v>7</v>
      </c>
      <c r="C525" s="771">
        <f t="shared" si="24"/>
        <v>41486</v>
      </c>
      <c r="D525" s="771" t="s">
        <v>339</v>
      </c>
      <c r="E525" s="771">
        <v>41486</v>
      </c>
      <c r="F525" s="696" t="s">
        <v>1256</v>
      </c>
      <c r="G525" s="697"/>
      <c r="H525" s="609"/>
      <c r="I525" s="477"/>
      <c r="J525" s="477"/>
      <c r="K525" s="698">
        <v>7615000</v>
      </c>
      <c r="L525" s="699" t="s">
        <v>162</v>
      </c>
      <c r="M525" s="699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IF(OR(TH!L525=TH!$U$7,M525=TH!$U$7),"x","")</f>
        <v/>
      </c>
      <c r="V525" s="52" t="str">
        <f>IF(AND(B525&gt;='IN-NX'!$P$3,B525&lt;='IN-NX'!$Q$3,'IN-NX'!$D$7=D525,OR(LEFT(L525,2)="15",AND(LEFT(M525,2)&lt;&gt;"15",LEFT(M525,2)&lt;&gt;"33"))),"x","")</f>
        <v/>
      </c>
      <c r="W525" s="52" t="str">
        <f>IF(AND(OR(LEFT(TH!L525,2)="15",LEFT(TH!M525,2)="15"),'152-CT'!$J$8=TH!F525),"x","")</f>
        <v/>
      </c>
      <c r="X525" s="52" t="str">
        <f>IF(AND(OR(LEFT(TH!L525,2)="15",LEFT(TH!M525,2)="15"),TK!$E$7=TH!F525),"x","")</f>
        <v/>
      </c>
      <c r="Y525" s="52" t="str">
        <f>IF(AND(B525&lt;=NKC!$N$8,B525&gt;=NKC!$M$8),"x","")</f>
        <v>x</v>
      </c>
      <c r="Z525" s="195"/>
      <c r="AA525" s="195"/>
      <c r="AB525" s="195"/>
    </row>
    <row r="526" spans="1:28" s="587" customFormat="1" ht="15.75" customHeight="1">
      <c r="A526" s="201" t="str">
        <f>IF(B526&lt;&gt;"",IF(AND(B526&gt;=_TM1,B526&lt;=_TM2,OR(TH!L526="1111",TH!M526="1111")),TH!D526,""),"")</f>
        <v/>
      </c>
      <c r="B526" s="36">
        <f t="shared" si="23"/>
        <v>7</v>
      </c>
      <c r="C526" s="771">
        <f t="shared" si="24"/>
        <v>41486</v>
      </c>
      <c r="D526" s="771" t="s">
        <v>379</v>
      </c>
      <c r="E526" s="771">
        <v>41486</v>
      </c>
      <c r="F526" s="696" t="str">
        <f>"Thanh toán tiền lương tháng "&amp;MONTH(E526)&amp;"/"&amp;YEAR(E526)</f>
        <v>Thanh toán tiền lương tháng 7/2013</v>
      </c>
      <c r="G526" s="697"/>
      <c r="H526" s="609" t="s">
        <v>364</v>
      </c>
      <c r="I526" s="477"/>
      <c r="J526" s="477"/>
      <c r="K526" s="698">
        <f>K524+K525</f>
        <v>13525000</v>
      </c>
      <c r="L526" s="699" t="s">
        <v>265</v>
      </c>
      <c r="M526" s="699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IF(OR(TH!L526=TH!$U$7,M526=TH!$U$7),"x","")</f>
        <v/>
      </c>
      <c r="V526" s="52" t="str">
        <f>IF(AND(B526&gt;='IN-NX'!$P$3,B526&lt;='IN-NX'!$Q$3,'IN-NX'!$D$7=D526,OR(LEFT(L526,2)="15",AND(LEFT(M526,2)&lt;&gt;"15",LEFT(M526,2)&lt;&gt;"33"))),"x","")</f>
        <v/>
      </c>
      <c r="W526" s="52" t="str">
        <f>IF(AND(OR(LEFT(TH!L526,2)="15",LEFT(TH!M526,2)="15"),'152-CT'!$J$8=TH!F526),"x","")</f>
        <v/>
      </c>
      <c r="X526" s="52" t="str">
        <f>IF(AND(OR(LEFT(TH!L526,2)="15",LEFT(TH!M526,2)="15"),TK!$E$7=TH!F526),"x","")</f>
        <v/>
      </c>
      <c r="Y526" s="52" t="str">
        <f>IF(AND(B526&lt;=NKC!$N$8,B526&gt;=NKC!$M$8),"x","")</f>
        <v>x</v>
      </c>
      <c r="Z526" s="195"/>
      <c r="AA526" s="195"/>
      <c r="AB526" s="195"/>
    </row>
    <row r="527" spans="1:28" s="587" customFormat="1" ht="15.75" customHeight="1">
      <c r="A527" s="201" t="str">
        <f>IF(B527&lt;&gt;"",IF(AND(B527&gt;=_TM1,B527&lt;=_TM2,OR(TH!L527="1111",TH!M527="1111")),TH!D527,""),"")</f>
        <v/>
      </c>
      <c r="B527" s="36">
        <f t="shared" si="23"/>
        <v>8</v>
      </c>
      <c r="C527" s="188">
        <f t="shared" si="24"/>
        <v>41487</v>
      </c>
      <c r="D527" s="181" t="s">
        <v>403</v>
      </c>
      <c r="E527" s="181">
        <v>41487</v>
      </c>
      <c r="F527" s="189" t="s">
        <v>643</v>
      </c>
      <c r="G527" s="657" t="s">
        <v>644</v>
      </c>
      <c r="H527" s="190" t="s">
        <v>645</v>
      </c>
      <c r="I527" s="249">
        <v>650</v>
      </c>
      <c r="J527" s="249">
        <v>9577</v>
      </c>
      <c r="K527" s="38">
        <f>ROUND(I527*J527,0)</f>
        <v>6225050</v>
      </c>
      <c r="L527" s="191" t="s">
        <v>156</v>
      </c>
      <c r="M527" s="191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IF(OR(TH!L527=TH!$U$7,M527=TH!$U$7),"x","")</f>
        <v/>
      </c>
      <c r="V527" s="52" t="str">
        <f>IF(AND(B527&gt;='IN-NX'!$P$3,B527&lt;='IN-NX'!$Q$3,'IN-NX'!$D$7=D527,OR(LEFT(L527,2)="15",AND(LEFT(M527,2)&lt;&gt;"15",LEFT(M527,2)&lt;&gt;"33"))),"x","")</f>
        <v/>
      </c>
      <c r="W527" s="52" t="str">
        <f>IF(AND(OR(LEFT(TH!L527,2)="15",LEFT(TH!M527,2)="15"),'152-CT'!$J$8=TH!F527),"x","")</f>
        <v/>
      </c>
      <c r="X527" s="52" t="str">
        <f>IF(AND(OR(LEFT(TH!L527,2)="15",LEFT(TH!M527,2)="15"),TK!$E$7=TH!F527),"x","")</f>
        <v/>
      </c>
      <c r="Y527" s="52" t="str">
        <f>IF(AND(B527&lt;=NKC!$N$8,B527&gt;=NKC!$M$8),"x","")</f>
        <v>x</v>
      </c>
      <c r="Z527" s="587" t="s">
        <v>1301</v>
      </c>
      <c r="AA527" s="195"/>
      <c r="AB527" s="195"/>
    </row>
    <row r="528" spans="1:28" s="208" customFormat="1" ht="15.75" customHeight="1">
      <c r="A528" s="201" t="str">
        <f>IF(B528&lt;&gt;"",IF(AND(B528&gt;=_TM1,B528&lt;=_TM2,OR(TH!L528="1111",TH!M528="1111")),TH!D528,""),"")</f>
        <v/>
      </c>
      <c r="B528" s="36">
        <f t="shared" si="23"/>
        <v>8</v>
      </c>
      <c r="C528" s="188">
        <f t="shared" si="24"/>
        <v>41487</v>
      </c>
      <c r="D528" s="181" t="s">
        <v>403</v>
      </c>
      <c r="E528" s="181">
        <v>41487</v>
      </c>
      <c r="F528" s="189" t="s">
        <v>557</v>
      </c>
      <c r="G528" s="657" t="s">
        <v>644</v>
      </c>
      <c r="H528" s="190" t="s">
        <v>645</v>
      </c>
      <c r="I528" s="249"/>
      <c r="J528" s="249"/>
      <c r="K528" s="38">
        <v>622505</v>
      </c>
      <c r="L528" s="191" t="s">
        <v>9</v>
      </c>
      <c r="M528" s="191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IF(OR(TH!L528=TH!$U$7,M528=TH!$U$7),"x","")</f>
        <v/>
      </c>
      <c r="V528" s="52" t="str">
        <f>IF(AND(B528&gt;='IN-NX'!$P$3,B528&lt;='IN-NX'!$Q$3,'IN-NX'!$D$7=D528,OR(LEFT(L528,2)="15",AND(LEFT(M528,2)&lt;&gt;"15",LEFT(M528,2)&lt;&gt;"33"))),"x","")</f>
        <v/>
      </c>
      <c r="W528" s="52" t="str">
        <f>IF(AND(OR(LEFT(TH!L528,2)="15",LEFT(TH!M528,2)="15"),'152-CT'!$J$8=TH!F528),"x","")</f>
        <v/>
      </c>
      <c r="X528" s="52" t="str">
        <f>IF(AND(OR(LEFT(TH!L528,2)="15",LEFT(TH!M528,2)="15"),TK!$E$7=TH!F528),"x","")</f>
        <v/>
      </c>
      <c r="Y528" s="52" t="str">
        <f>IF(AND(B528&lt;=NKC!$N$8,B528&gt;=NKC!$M$8),"x","")</f>
        <v>x</v>
      </c>
      <c r="Z528" s="587" t="s">
        <v>1301</v>
      </c>
      <c r="AA528" s="195"/>
      <c r="AB528" s="195"/>
    </row>
    <row r="529" spans="1:28" s="208" customFormat="1" ht="15.75" customHeight="1">
      <c r="A529" s="201" t="str">
        <f>IF(B529&lt;&gt;"",IF(AND(B529&gt;=_TM1,B529&lt;=_TM2,OR(TH!L529="1111",TH!M529="1111")),TH!D529,""),"")</f>
        <v/>
      </c>
      <c r="B529" s="36">
        <f t="shared" si="23"/>
        <v>8</v>
      </c>
      <c r="C529" s="188">
        <f t="shared" si="24"/>
        <v>41487</v>
      </c>
      <c r="D529" s="181" t="s">
        <v>380</v>
      </c>
      <c r="E529" s="181">
        <v>41487</v>
      </c>
      <c r="F529" s="189" t="s">
        <v>367</v>
      </c>
      <c r="G529" s="657" t="s">
        <v>644</v>
      </c>
      <c r="H529" s="190" t="s">
        <v>645</v>
      </c>
      <c r="I529" s="249"/>
      <c r="J529" s="249"/>
      <c r="K529" s="38">
        <v>6847555</v>
      </c>
      <c r="L529" s="191" t="s">
        <v>8</v>
      </c>
      <c r="M529" s="191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IF(OR(TH!L529=TH!$U$7,M529=TH!$U$7),"x","")</f>
        <v/>
      </c>
      <c r="V529" s="52" t="str">
        <f>IF(AND(B529&gt;='IN-NX'!$P$3,B529&lt;='IN-NX'!$Q$3,'IN-NX'!$D$7=D529,OR(LEFT(L529,2)="15",AND(LEFT(M529,2)&lt;&gt;"15",LEFT(M529,2)&lt;&gt;"33"))),"x","")</f>
        <v/>
      </c>
      <c r="W529" s="52" t="str">
        <f>IF(AND(OR(LEFT(TH!L529,2)="15",LEFT(TH!M529,2)="15"),'152-CT'!$J$8=TH!F529),"x","")</f>
        <v/>
      </c>
      <c r="X529" s="52" t="str">
        <f>IF(AND(OR(LEFT(TH!L529,2)="15",LEFT(TH!M529,2)="15"),TK!$E$7=TH!F529),"x","")</f>
        <v/>
      </c>
      <c r="Y529" s="52" t="str">
        <f>IF(AND(B529&lt;=NKC!$N$8,B529&gt;=NKC!$M$8),"x","")</f>
        <v>x</v>
      </c>
      <c r="AA529" s="195"/>
      <c r="AB529" s="195"/>
    </row>
    <row r="530" spans="1:28" s="208" customFormat="1" ht="15.75" customHeight="1">
      <c r="A530" s="201" t="str">
        <f>IF(B530&lt;&gt;"",IF(AND(B530&gt;=_TM1,B530&lt;=_TM2,OR(TH!L530="1111",TH!M530="1111")),TH!D530,""),"")</f>
        <v/>
      </c>
      <c r="B530" s="36">
        <f t="shared" si="23"/>
        <v>8</v>
      </c>
      <c r="C530" s="188">
        <f t="shared" si="24"/>
        <v>41487</v>
      </c>
      <c r="D530" s="181" t="s">
        <v>1025</v>
      </c>
      <c r="E530" s="188">
        <v>41487</v>
      </c>
      <c r="F530" s="189" t="s">
        <v>1111</v>
      </c>
      <c r="G530" s="189" t="s">
        <v>859</v>
      </c>
      <c r="H530" s="190" t="s">
        <v>757</v>
      </c>
      <c r="I530" s="249">
        <v>99</v>
      </c>
      <c r="J530" s="249">
        <v>13650</v>
      </c>
      <c r="K530" s="38">
        <f>ROUND(I530*J530,0)</f>
        <v>1351350</v>
      </c>
      <c r="L530" s="191" t="s">
        <v>262</v>
      </c>
      <c r="M530" s="191" t="s">
        <v>172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IF(OR(TH!L530=TH!$U$7,M530=TH!$U$7),"x","")</f>
        <v/>
      </c>
      <c r="V530" s="52" t="str">
        <f>IF(AND(B530&gt;='IN-NX'!$P$3,B530&lt;='IN-NX'!$Q$3,'IN-NX'!$D$7=D530,OR(LEFT(L530,2)="15",AND(LEFT(M530,2)&lt;&gt;"15",LEFT(M530,2)&lt;&gt;"33"))),"x","")</f>
        <v/>
      </c>
      <c r="W530" s="52" t="str">
        <f>IF(AND(OR(LEFT(TH!L530,2)="15",LEFT(TH!M530,2)="15"),'152-CT'!$J$8=TH!F530),"x","")</f>
        <v/>
      </c>
      <c r="X530" s="52" t="str">
        <f>IF(AND(OR(LEFT(TH!L530,2)="15",LEFT(TH!M530,2)="15"),TK!$E$7=TH!F530),"x","")</f>
        <v/>
      </c>
      <c r="Y530" s="52" t="str">
        <f>IF(AND(B530&lt;=NKC!$N$8,B530&gt;=NKC!$M$8),"x","")</f>
        <v>x</v>
      </c>
      <c r="AA530" s="587"/>
      <c r="AB530" s="587"/>
    </row>
    <row r="531" spans="1:28" s="587" customFormat="1" ht="15.75" customHeight="1">
      <c r="A531" s="201" t="str">
        <f>IF(B531&lt;&gt;"",IF(AND(B531&gt;=_TM1,B531&lt;=_TM2,OR(TH!L531="1111",TH!M531="1111")),TH!D531,""),"")</f>
        <v/>
      </c>
      <c r="B531" s="36">
        <f t="shared" si="23"/>
        <v>8</v>
      </c>
      <c r="C531" s="188">
        <f t="shared" si="24"/>
        <v>41487</v>
      </c>
      <c r="D531" s="181" t="s">
        <v>1025</v>
      </c>
      <c r="E531" s="188">
        <v>41487</v>
      </c>
      <c r="F531" s="189" t="s">
        <v>693</v>
      </c>
      <c r="G531" s="189" t="s">
        <v>859</v>
      </c>
      <c r="H531" s="190" t="s">
        <v>757</v>
      </c>
      <c r="I531" s="249"/>
      <c r="J531" s="249"/>
      <c r="K531" s="38">
        <v>135135</v>
      </c>
      <c r="L531" s="191" t="s">
        <v>262</v>
      </c>
      <c r="M531" s="191" t="s">
        <v>425</v>
      </c>
      <c r="N531" s="52" t="str">
        <f>IF(AND('331-CT'!$E$7=TH!H531,OR(L531="331",M531="331")),"331",IF(AND(OR(L531="131",M531="131"),H531='131-CT'!$E$7),"131",""))</f>
        <v>131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IF(OR(TH!L531=TH!$U$7,M531=TH!$U$7),"x","")</f>
        <v/>
      </c>
      <c r="V531" s="52" t="str">
        <f>IF(AND(B531&gt;='IN-NX'!$P$3,B531&lt;='IN-NX'!$Q$3,'IN-NX'!$D$7=D531,OR(LEFT(L531,2)="15",AND(LEFT(M531,2)&lt;&gt;"15",LEFT(M531,2)&lt;&gt;"33"))),"x","")</f>
        <v/>
      </c>
      <c r="W531" s="52" t="str">
        <f>IF(AND(OR(LEFT(TH!L531,2)="15",LEFT(TH!M531,2)="15"),'152-CT'!$J$8=TH!F531),"x","")</f>
        <v/>
      </c>
      <c r="X531" s="52" t="str">
        <f>IF(AND(OR(LEFT(TH!L531,2)="15",LEFT(TH!M531,2)="15"),TK!$E$7=TH!F531),"x","")</f>
        <v/>
      </c>
      <c r="Y531" s="52" t="str">
        <f>IF(AND(B531&lt;=NKC!$N$8,B531&gt;=NKC!$M$8),"x","")</f>
        <v>x</v>
      </c>
      <c r="AA531" s="587" t="str">
        <f>IF(VLOOKUP(H531,DS_131,1,0)&lt;&gt;"","","x")</f>
        <v/>
      </c>
    </row>
    <row r="532" spans="1:28" s="587" customFormat="1" ht="15.75" customHeight="1">
      <c r="A532" s="201" t="str">
        <f>IF(B532&lt;&gt;"",IF(AND(B532&gt;=_TM1,B532&lt;=_TM2,OR(TH!L532="1111",TH!M532="1111")),TH!D532,""),"")</f>
        <v/>
      </c>
      <c r="B532" s="36">
        <f t="shared" si="23"/>
        <v>8</v>
      </c>
      <c r="C532" s="188">
        <f t="shared" si="24"/>
        <v>41487</v>
      </c>
      <c r="D532" s="181" t="s">
        <v>1026</v>
      </c>
      <c r="E532" s="188">
        <v>41487</v>
      </c>
      <c r="F532" s="189" t="s">
        <v>834</v>
      </c>
      <c r="G532" s="480" t="s">
        <v>860</v>
      </c>
      <c r="H532" s="7" t="s">
        <v>549</v>
      </c>
      <c r="I532" s="249">
        <v>200</v>
      </c>
      <c r="J532" s="249">
        <v>20300</v>
      </c>
      <c r="K532" s="38">
        <f>ROUND(I532*J532,0)</f>
        <v>4060000</v>
      </c>
      <c r="L532" s="191" t="s">
        <v>262</v>
      </c>
      <c r="M532" s="191" t="s">
        <v>172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IF(OR(TH!L532=TH!$U$7,M532=TH!$U$7),"x","")</f>
        <v/>
      </c>
      <c r="V532" s="52" t="str">
        <f>IF(AND(B532&gt;='IN-NX'!$P$3,B532&lt;='IN-NX'!$Q$3,'IN-NX'!$D$7=D532,OR(LEFT(L532,2)="15",AND(LEFT(M532,2)&lt;&gt;"15",LEFT(M532,2)&lt;&gt;"33"))),"x","")</f>
        <v/>
      </c>
      <c r="W532" s="52" t="str">
        <f>IF(AND(OR(LEFT(TH!L532,2)="15",LEFT(TH!M532,2)="15"),'152-CT'!$J$8=TH!F532),"x","")</f>
        <v/>
      </c>
      <c r="X532" s="52" t="str">
        <f>IF(AND(OR(LEFT(TH!L532,2)="15",LEFT(TH!M532,2)="15"),TK!$E$7=TH!F532),"x","")</f>
        <v/>
      </c>
      <c r="Y532" s="52" t="str">
        <f>IF(AND(B532&lt;=NKC!$N$8,B532&gt;=NKC!$M$8),"x","")</f>
        <v>x</v>
      </c>
      <c r="Z532" s="208"/>
    </row>
    <row r="533" spans="1:28" s="587" customFormat="1" ht="15.75" customHeight="1">
      <c r="A533" s="201" t="str">
        <f>IF(B533&lt;&gt;"",IF(AND(B533&gt;=_TM1,B533&lt;=_TM2,OR(TH!L533="1111",TH!M533="1111")),TH!D533,""),"")</f>
        <v/>
      </c>
      <c r="B533" s="36">
        <f t="shared" si="23"/>
        <v>8</v>
      </c>
      <c r="C533" s="188">
        <f t="shared" si="24"/>
        <v>41487</v>
      </c>
      <c r="D533" s="181" t="s">
        <v>1026</v>
      </c>
      <c r="E533" s="188">
        <v>41487</v>
      </c>
      <c r="F533" s="189" t="s">
        <v>693</v>
      </c>
      <c r="G533" s="189" t="s">
        <v>860</v>
      </c>
      <c r="H533" s="7" t="s">
        <v>549</v>
      </c>
      <c r="I533" s="249"/>
      <c r="J533" s="249"/>
      <c r="K533" s="38">
        <v>406000</v>
      </c>
      <c r="L533" s="191" t="s">
        <v>262</v>
      </c>
      <c r="M533" s="191" t="s">
        <v>425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IF(OR(TH!L533=TH!$U$7,M533=TH!$U$7),"x","")</f>
        <v/>
      </c>
      <c r="V533" s="52" t="str">
        <f>IF(AND(B533&gt;='IN-NX'!$P$3,B533&lt;='IN-NX'!$Q$3,'IN-NX'!$D$7=D533,OR(LEFT(L533,2)="15",AND(LEFT(M533,2)&lt;&gt;"15",LEFT(M533,2)&lt;&gt;"33"))),"x","")</f>
        <v/>
      </c>
      <c r="W533" s="52" t="str">
        <f>IF(AND(OR(LEFT(TH!L533,2)="15",LEFT(TH!M533,2)="15"),'152-CT'!$J$8=TH!F533),"x","")</f>
        <v/>
      </c>
      <c r="X533" s="52" t="str">
        <f>IF(AND(OR(LEFT(TH!L533,2)="15",LEFT(TH!M533,2)="15"),TK!$E$7=TH!F533),"x","")</f>
        <v/>
      </c>
      <c r="Y533" s="52" t="str">
        <f>IF(AND(B533&lt;=NKC!$N$8,B533&gt;=NKC!$M$8),"x","")</f>
        <v>x</v>
      </c>
      <c r="Z533" s="208"/>
      <c r="AA533" s="587" t="str">
        <f>IF(VLOOKUP(H533,DS_131,1,0)&lt;&gt;"","","x")</f>
        <v/>
      </c>
    </row>
    <row r="534" spans="1:28" s="587" customFormat="1" ht="15.75" customHeight="1">
      <c r="A534" s="201" t="str">
        <f>IF(B534&lt;&gt;"",IF(AND(B534&gt;=_TM1,B534&lt;=_TM2,OR(TH!L534="1111",TH!M534="1111")),TH!D534,""),"")</f>
        <v/>
      </c>
      <c r="B534" s="36">
        <f t="shared" si="23"/>
        <v>8</v>
      </c>
      <c r="C534" s="188">
        <f t="shared" si="24"/>
        <v>41488</v>
      </c>
      <c r="D534" s="181" t="s">
        <v>1027</v>
      </c>
      <c r="E534" s="188">
        <v>41488</v>
      </c>
      <c r="F534" s="189" t="s">
        <v>854</v>
      </c>
      <c r="G534" s="480" t="s">
        <v>861</v>
      </c>
      <c r="H534" s="190" t="s">
        <v>832</v>
      </c>
      <c r="I534" s="249">
        <v>510</v>
      </c>
      <c r="J534" s="249">
        <v>8200</v>
      </c>
      <c r="K534" s="38">
        <f>ROUND(I534*J534,0)</f>
        <v>4182000</v>
      </c>
      <c r="L534" s="191" t="s">
        <v>262</v>
      </c>
      <c r="M534" s="191" t="s">
        <v>172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IF(OR(TH!L534=TH!$U$7,M534=TH!$U$7),"x","")</f>
        <v/>
      </c>
      <c r="V534" s="52" t="str">
        <f>IF(AND(B534&gt;='IN-NX'!$P$3,B534&lt;='IN-NX'!$Q$3,'IN-NX'!$D$7=D534,OR(LEFT(L534,2)="15",AND(LEFT(M534,2)&lt;&gt;"15",LEFT(M534,2)&lt;&gt;"33"))),"x","")</f>
        <v/>
      </c>
      <c r="W534" s="52" t="str">
        <f>IF(AND(OR(LEFT(TH!L534,2)="15",LEFT(TH!M534,2)="15"),'152-CT'!$J$8=TH!F534),"x","")</f>
        <v/>
      </c>
      <c r="X534" s="52" t="str">
        <f>IF(AND(OR(LEFT(TH!L534,2)="15",LEFT(TH!M534,2)="15"),TK!$E$7=TH!F534),"x","")</f>
        <v/>
      </c>
      <c r="Y534" s="52" t="str">
        <f>IF(AND(B534&lt;=NKC!$N$8,B534&gt;=NKC!$M$8),"x","")</f>
        <v>x</v>
      </c>
      <c r="AB534" s="208"/>
    </row>
    <row r="535" spans="1:28" s="587" customFormat="1" ht="15.75" customHeight="1">
      <c r="A535" s="201" t="str">
        <f>IF(B535&lt;&gt;"",IF(AND(B535&gt;=_TM1,B535&lt;=_TM2,OR(TH!L535="1111",TH!M535="1111")),TH!D535,""),"")</f>
        <v/>
      </c>
      <c r="B535" s="36">
        <f t="shared" si="23"/>
        <v>8</v>
      </c>
      <c r="C535" s="188">
        <f t="shared" si="24"/>
        <v>41488</v>
      </c>
      <c r="D535" s="181" t="s">
        <v>1027</v>
      </c>
      <c r="E535" s="188">
        <v>41488</v>
      </c>
      <c r="F535" s="189" t="s">
        <v>693</v>
      </c>
      <c r="G535" s="480" t="s">
        <v>861</v>
      </c>
      <c r="H535" s="207" t="s">
        <v>832</v>
      </c>
      <c r="I535" s="249"/>
      <c r="J535" s="249"/>
      <c r="K535" s="38">
        <v>418200</v>
      </c>
      <c r="L535" s="191" t="s">
        <v>262</v>
      </c>
      <c r="M535" s="191" t="s">
        <v>425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IF(OR(TH!L535=TH!$U$7,M535=TH!$U$7),"x","")</f>
        <v/>
      </c>
      <c r="V535" s="52" t="str">
        <f>IF(AND(B535&gt;='IN-NX'!$P$3,B535&lt;='IN-NX'!$Q$3,'IN-NX'!$D$7=D535,OR(LEFT(L535,2)="15",AND(LEFT(M535,2)&lt;&gt;"15",LEFT(M535,2)&lt;&gt;"33"))),"x","")</f>
        <v/>
      </c>
      <c r="W535" s="52" t="str">
        <f>IF(AND(OR(LEFT(TH!L535,2)="15",LEFT(TH!M535,2)="15"),'152-CT'!$J$8=TH!F535),"x","")</f>
        <v/>
      </c>
      <c r="X535" s="52" t="str">
        <f>IF(AND(OR(LEFT(TH!L535,2)="15",LEFT(TH!M535,2)="15"),TK!$E$7=TH!F535),"x","")</f>
        <v/>
      </c>
      <c r="Y535" s="52" t="str">
        <f>IF(AND(B535&lt;=NKC!$N$8,B535&gt;=NKC!$M$8),"x","")</f>
        <v>x</v>
      </c>
      <c r="Z535" s="208"/>
      <c r="AA535" s="587" t="str">
        <f>IF(VLOOKUP(H535,DS_131,1,0)&lt;&gt;"","","x")</f>
        <v/>
      </c>
      <c r="AB535" s="208"/>
    </row>
    <row r="536" spans="1:28" s="208" customFormat="1" ht="15.75" customHeight="1">
      <c r="A536" s="201" t="str">
        <f>IF(B536&lt;&gt;"",IF(AND(B536&gt;=_TM1,B536&lt;=_TM2,OR(TH!L536="1111",TH!M536="1111")),TH!D536,""),"")</f>
        <v/>
      </c>
      <c r="B536" s="36">
        <f t="shared" si="23"/>
        <v>8</v>
      </c>
      <c r="C536" s="188">
        <f t="shared" si="24"/>
        <v>41488</v>
      </c>
      <c r="D536" s="181" t="s">
        <v>1028</v>
      </c>
      <c r="E536" s="188">
        <v>41488</v>
      </c>
      <c r="F536" s="189" t="s">
        <v>1115</v>
      </c>
      <c r="G536" s="480" t="s">
        <v>862</v>
      </c>
      <c r="H536" s="7" t="s">
        <v>863</v>
      </c>
      <c r="I536" s="249">
        <v>2813</v>
      </c>
      <c r="J536" s="249">
        <v>4450</v>
      </c>
      <c r="K536" s="38">
        <f>ROUND(I536*J536,0)</f>
        <v>12517850</v>
      </c>
      <c r="L536" s="191" t="s">
        <v>262</v>
      </c>
      <c r="M536" s="191" t="s">
        <v>172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IF(OR(TH!L536=TH!$U$7,M536=TH!$U$7),"x","")</f>
        <v/>
      </c>
      <c r="V536" s="52" t="str">
        <f>IF(AND(B536&gt;='IN-NX'!$P$3,B536&lt;='IN-NX'!$Q$3,'IN-NX'!$D$7=D536,OR(LEFT(L536,2)="15",AND(LEFT(M536,2)&lt;&gt;"15",LEFT(M536,2)&lt;&gt;"33"))),"x","")</f>
        <v/>
      </c>
      <c r="W536" s="52" t="str">
        <f>IF(AND(OR(LEFT(TH!L536,2)="15",LEFT(TH!M536,2)="15"),'152-CT'!$J$8=TH!F536),"x","")</f>
        <v/>
      </c>
      <c r="X536" s="52" t="str">
        <f>IF(AND(OR(LEFT(TH!L536,2)="15",LEFT(TH!M536,2)="15"),TK!$E$7=TH!F536),"x","")</f>
        <v/>
      </c>
      <c r="Y536" s="52" t="str">
        <f>IF(AND(B536&lt;=NKC!$N$8,B536&gt;=NKC!$M$8),"x","")</f>
        <v>x</v>
      </c>
      <c r="Z536" s="587"/>
      <c r="AA536" s="587"/>
    </row>
    <row r="537" spans="1:28" s="208" customFormat="1" ht="15.75" customHeight="1">
      <c r="A537" s="201" t="str">
        <f>IF(B537&lt;&gt;"",IF(AND(B537&gt;=_TM1,B537&lt;=_TM2,OR(TH!L537="1111",TH!M537="1111")),TH!D537,""),"")</f>
        <v/>
      </c>
      <c r="B537" s="36">
        <f t="shared" si="23"/>
        <v>8</v>
      </c>
      <c r="C537" s="188">
        <f t="shared" si="24"/>
        <v>41488</v>
      </c>
      <c r="D537" s="181" t="s">
        <v>1028</v>
      </c>
      <c r="E537" s="188">
        <v>41488</v>
      </c>
      <c r="F537" s="189" t="s">
        <v>693</v>
      </c>
      <c r="G537" s="480" t="s">
        <v>862</v>
      </c>
      <c r="H537" s="190" t="s">
        <v>863</v>
      </c>
      <c r="I537" s="249"/>
      <c r="J537" s="249"/>
      <c r="K537" s="38">
        <v>1251785</v>
      </c>
      <c r="L537" s="191" t="s">
        <v>262</v>
      </c>
      <c r="M537" s="191" t="s">
        <v>425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IF(OR(TH!L537=TH!$U$7,M537=TH!$U$7),"x","")</f>
        <v/>
      </c>
      <c r="V537" s="52" t="str">
        <f>IF(AND(B537&gt;='IN-NX'!$P$3,B537&lt;='IN-NX'!$Q$3,'IN-NX'!$D$7=D537,OR(LEFT(L537,2)="15",AND(LEFT(M537,2)&lt;&gt;"15",LEFT(M537,2)&lt;&gt;"33"))),"x","")</f>
        <v/>
      </c>
      <c r="W537" s="52" t="str">
        <f>IF(AND(OR(LEFT(TH!L537,2)="15",LEFT(TH!M537,2)="15"),'152-CT'!$J$8=TH!F537),"x","")</f>
        <v/>
      </c>
      <c r="X537" s="52" t="str">
        <f>IF(AND(OR(LEFT(TH!L537,2)="15",LEFT(TH!M537,2)="15"),TK!$E$7=TH!F537),"x","")</f>
        <v/>
      </c>
      <c r="Y537" s="52" t="str">
        <f>IF(AND(B537&lt;=NKC!$N$8,B537&gt;=NKC!$M$8),"x","")</f>
        <v>x</v>
      </c>
      <c r="AA537" s="587" t="str">
        <f>IF(VLOOKUP(H537,DS_131,1,0)&lt;&gt;"","","x")</f>
        <v/>
      </c>
    </row>
    <row r="538" spans="1:28" s="208" customFormat="1" ht="15.75" customHeight="1">
      <c r="A538" s="201" t="str">
        <f>IF(B538&lt;&gt;"",IF(AND(B538&gt;=_TM1,B538&lt;=_TM2,OR(TH!L538="1111",TH!M538="1111")),TH!D538,""),"")</f>
        <v/>
      </c>
      <c r="B538" s="36">
        <f t="shared" si="23"/>
        <v>8</v>
      </c>
      <c r="C538" s="188">
        <f t="shared" si="24"/>
        <v>41489</v>
      </c>
      <c r="D538" s="181" t="s">
        <v>1029</v>
      </c>
      <c r="E538" s="188">
        <v>41489</v>
      </c>
      <c r="F538" s="189" t="s">
        <v>1115</v>
      </c>
      <c r="G538" s="480" t="s">
        <v>864</v>
      </c>
      <c r="H538" s="7" t="s">
        <v>863</v>
      </c>
      <c r="I538" s="249">
        <v>2805</v>
      </c>
      <c r="J538" s="249">
        <v>4450</v>
      </c>
      <c r="K538" s="38">
        <f>ROUND(I538*J538,0)</f>
        <v>12482250</v>
      </c>
      <c r="L538" s="191" t="s">
        <v>262</v>
      </c>
      <c r="M538" s="191" t="s">
        <v>172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IF(OR(TH!L538=TH!$U$7,M538=TH!$U$7),"x","")</f>
        <v/>
      </c>
      <c r="V538" s="52" t="str">
        <f>IF(AND(B538&gt;='IN-NX'!$P$3,B538&lt;='IN-NX'!$Q$3,'IN-NX'!$D$7=D538,OR(LEFT(L538,2)="15",AND(LEFT(M538,2)&lt;&gt;"15",LEFT(M538,2)&lt;&gt;"33"))),"x","")</f>
        <v/>
      </c>
      <c r="W538" s="52" t="str">
        <f>IF(AND(OR(LEFT(TH!L538,2)="15",LEFT(TH!M538,2)="15"),'152-CT'!$J$8=TH!F538),"x","")</f>
        <v/>
      </c>
      <c r="X538" s="52" t="str">
        <f>IF(AND(OR(LEFT(TH!L538,2)="15",LEFT(TH!M538,2)="15"),TK!$E$7=TH!F538),"x","")</f>
        <v/>
      </c>
      <c r="Y538" s="52" t="str">
        <f>IF(AND(B538&lt;=NKC!$N$8,B538&gt;=NKC!$M$8),"x","")</f>
        <v>x</v>
      </c>
      <c r="AA538" s="587"/>
    </row>
    <row r="539" spans="1:28" s="208" customFormat="1" ht="15.75" customHeight="1">
      <c r="A539" s="201" t="str">
        <f>IF(B539&lt;&gt;"",IF(AND(B539&gt;=_TM1,B539&lt;=_TM2,OR(TH!L539="1111",TH!M539="1111")),TH!D539,""),"")</f>
        <v/>
      </c>
      <c r="B539" s="36">
        <f t="shared" si="23"/>
        <v>8</v>
      </c>
      <c r="C539" s="188">
        <f t="shared" si="24"/>
        <v>41489</v>
      </c>
      <c r="D539" s="181" t="s">
        <v>1029</v>
      </c>
      <c r="E539" s="188">
        <v>41489</v>
      </c>
      <c r="F539" s="189" t="s">
        <v>693</v>
      </c>
      <c r="G539" s="480" t="s">
        <v>864</v>
      </c>
      <c r="H539" s="7" t="s">
        <v>863</v>
      </c>
      <c r="I539" s="249"/>
      <c r="J539" s="249"/>
      <c r="K539" s="38">
        <v>1248225</v>
      </c>
      <c r="L539" s="191" t="s">
        <v>262</v>
      </c>
      <c r="M539" s="191" t="s">
        <v>425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IF(OR(TH!L539=TH!$U$7,M539=TH!$U$7),"x","")</f>
        <v/>
      </c>
      <c r="V539" s="52" t="str">
        <f>IF(AND(B539&gt;='IN-NX'!$P$3,B539&lt;='IN-NX'!$Q$3,'IN-NX'!$D$7=D539,OR(LEFT(L539,2)="15",AND(LEFT(M539,2)&lt;&gt;"15",LEFT(M539,2)&lt;&gt;"33"))),"x","")</f>
        <v/>
      </c>
      <c r="W539" s="52" t="str">
        <f>IF(AND(OR(LEFT(TH!L539,2)="15",LEFT(TH!M539,2)="15"),'152-CT'!$J$8=TH!F539),"x","")</f>
        <v/>
      </c>
      <c r="X539" s="52" t="str">
        <f>IF(AND(OR(LEFT(TH!L539,2)="15",LEFT(TH!M539,2)="15"),TK!$E$7=TH!F539),"x","")</f>
        <v/>
      </c>
      <c r="Y539" s="52" t="str">
        <f>IF(AND(B539&lt;=NKC!$N$8,B539&gt;=NKC!$M$8),"x","")</f>
        <v>x</v>
      </c>
      <c r="Z539" s="195"/>
      <c r="AA539" s="587" t="str">
        <f>IF(VLOOKUP(H539,DS_131,1,0)&lt;&gt;"","","x")</f>
        <v/>
      </c>
      <c r="AB539" s="195"/>
    </row>
    <row r="540" spans="1:28" s="208" customFormat="1" ht="15.75" customHeight="1">
      <c r="A540" s="201" t="str">
        <f>IF(B540&lt;&gt;"",IF(AND(B540&gt;=_TM1,B540&lt;=_TM2,OR(TH!L540="1111",TH!M540="1111")),TH!D540,""),"")</f>
        <v/>
      </c>
      <c r="B540" s="36">
        <f t="shared" si="23"/>
        <v>8</v>
      </c>
      <c r="C540" s="181">
        <f t="shared" si="24"/>
        <v>41492</v>
      </c>
      <c r="D540" s="181" t="s">
        <v>335</v>
      </c>
      <c r="E540" s="181">
        <v>41492</v>
      </c>
      <c r="F540" s="186" t="s">
        <v>337</v>
      </c>
      <c r="G540" s="597" t="s">
        <v>332</v>
      </c>
      <c r="H540" s="7" t="s">
        <v>427</v>
      </c>
      <c r="I540" s="249"/>
      <c r="J540" s="249"/>
      <c r="K540" s="595">
        <v>31257600</v>
      </c>
      <c r="L540" s="596" t="s">
        <v>24</v>
      </c>
      <c r="M540" s="596" t="s">
        <v>262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>x</v>
      </c>
      <c r="T540" s="52" t="str">
        <f>IF(ISERROR(FIND('112'!$M$9,G540,1)),"",IF((AND(RIGHT(G540,2)=RIGHT('112'!$M$9,2),B540&lt;'112'!$N$8,$M540='112'!$I$6)),"x",""))</f>
        <v/>
      </c>
      <c r="U540" s="52" t="str">
        <f>IF(OR(TH!L540=TH!$U$7,M540=TH!$U$7),"x","")</f>
        <v/>
      </c>
      <c r="V540" s="52" t="str">
        <f>IF(AND(B540&gt;='IN-NX'!$P$3,B540&lt;='IN-NX'!$Q$3,'IN-NX'!$D$7=D540,OR(LEFT(L540,2)="15",AND(LEFT(M540,2)&lt;&gt;"15",LEFT(M540,2)&lt;&gt;"33"))),"x","")</f>
        <v/>
      </c>
      <c r="W540" s="52" t="str">
        <f>IF(AND(OR(LEFT(TH!L540,2)="15",LEFT(TH!M540,2)="15"),'152-CT'!$J$8=TH!F540),"x","")</f>
        <v/>
      </c>
      <c r="X540" s="52" t="str">
        <f>IF(AND(OR(LEFT(TH!L540,2)="15",LEFT(TH!M540,2)="15"),TK!$E$7=TH!F540),"x","")</f>
        <v/>
      </c>
      <c r="Y540" s="52" t="str">
        <f>IF(AND(B540&lt;=NKC!$N$8,B540&gt;=NKC!$M$8),"x","")</f>
        <v>x</v>
      </c>
      <c r="Z540" s="587"/>
    </row>
    <row r="541" spans="1:28" s="208" customFormat="1" ht="15.75" customHeight="1">
      <c r="A541" s="201" t="str">
        <f>IF(B541&lt;&gt;"",IF(AND(B541&gt;=_TM1,B541&lt;=_TM2,OR(TH!L541="1111",TH!M541="1111")),TH!D541,""),"")</f>
        <v/>
      </c>
      <c r="B541" s="36">
        <f t="shared" si="23"/>
        <v>8</v>
      </c>
      <c r="C541" s="188">
        <f t="shared" si="24"/>
        <v>41492</v>
      </c>
      <c r="D541" s="181" t="s">
        <v>1030</v>
      </c>
      <c r="E541" s="188">
        <v>41492</v>
      </c>
      <c r="F541" s="189" t="s">
        <v>1115</v>
      </c>
      <c r="G541" s="480" t="s">
        <v>865</v>
      </c>
      <c r="H541" s="7" t="s">
        <v>863</v>
      </c>
      <c r="I541" s="249">
        <v>2829</v>
      </c>
      <c r="J541" s="249">
        <v>4450</v>
      </c>
      <c r="K541" s="38">
        <f>ROUND(I541*J541,0)</f>
        <v>12589050</v>
      </c>
      <c r="L541" s="191" t="s">
        <v>262</v>
      </c>
      <c r="M541" s="191" t="s">
        <v>172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IF(OR(TH!L541=TH!$U$7,M541=TH!$U$7),"x","")</f>
        <v/>
      </c>
      <c r="V541" s="52" t="str">
        <f>IF(AND(B541&gt;='IN-NX'!$P$3,B541&lt;='IN-NX'!$Q$3,'IN-NX'!$D$7=D541,OR(LEFT(L541,2)="15",AND(LEFT(M541,2)&lt;&gt;"15",LEFT(M541,2)&lt;&gt;"33"))),"x","")</f>
        <v/>
      </c>
      <c r="W541" s="52" t="str">
        <f>IF(AND(OR(LEFT(TH!L541,2)="15",LEFT(TH!M541,2)="15"),'152-CT'!$J$8=TH!F541),"x","")</f>
        <v/>
      </c>
      <c r="X541" s="52" t="str">
        <f>IF(AND(OR(LEFT(TH!L541,2)="15",LEFT(TH!M541,2)="15"),TK!$E$7=TH!F541),"x","")</f>
        <v/>
      </c>
      <c r="Y541" s="52" t="str">
        <f>IF(AND(B541&lt;=NKC!$N$8,B541&gt;=NKC!$M$8),"x","")</f>
        <v>x</v>
      </c>
      <c r="Z541" s="195"/>
      <c r="AA541" s="587"/>
      <c r="AB541" s="195"/>
    </row>
    <row r="542" spans="1:28" s="587" customFormat="1" ht="15.75" customHeight="1">
      <c r="A542" s="201" t="str">
        <f>IF(B542&lt;&gt;"",IF(AND(B542&gt;=_TM1,B542&lt;=_TM2,OR(TH!L542="1111",TH!M542="1111")),TH!D542,""),"")</f>
        <v/>
      </c>
      <c r="B542" s="36">
        <f t="shared" si="23"/>
        <v>8</v>
      </c>
      <c r="C542" s="188">
        <f t="shared" si="24"/>
        <v>41492</v>
      </c>
      <c r="D542" s="181" t="s">
        <v>1030</v>
      </c>
      <c r="E542" s="188">
        <v>41492</v>
      </c>
      <c r="F542" s="189" t="s">
        <v>693</v>
      </c>
      <c r="G542" s="480" t="s">
        <v>865</v>
      </c>
      <c r="H542" s="7" t="s">
        <v>863</v>
      </c>
      <c r="I542" s="249"/>
      <c r="J542" s="249"/>
      <c r="K542" s="38">
        <v>1258905</v>
      </c>
      <c r="L542" s="191" t="s">
        <v>262</v>
      </c>
      <c r="M542" s="191" t="s">
        <v>425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IF(OR(TH!L542=TH!$U$7,M542=TH!$U$7),"x","")</f>
        <v/>
      </c>
      <c r="V542" s="52" t="str">
        <f>IF(AND(B542&gt;='IN-NX'!$P$3,B542&lt;='IN-NX'!$Q$3,'IN-NX'!$D$7=D542,OR(LEFT(L542,2)="15",AND(LEFT(M542,2)&lt;&gt;"15",LEFT(M542,2)&lt;&gt;"33"))),"x","")</f>
        <v/>
      </c>
      <c r="W542" s="52" t="str">
        <f>IF(AND(OR(LEFT(TH!L542,2)="15",LEFT(TH!M542,2)="15"),'152-CT'!$J$8=TH!F542),"x","")</f>
        <v/>
      </c>
      <c r="X542" s="52" t="str">
        <f>IF(AND(OR(LEFT(TH!L542,2)="15",LEFT(TH!M542,2)="15"),TK!$E$7=TH!F542),"x","")</f>
        <v/>
      </c>
      <c r="Y542" s="52" t="str">
        <f>IF(AND(B542&lt;=NKC!$N$8,B542&gt;=NKC!$M$8),"x","")</f>
        <v>x</v>
      </c>
      <c r="Z542" s="195"/>
      <c r="AA542" s="587" t="str">
        <f>IF(VLOOKUP(H542,DS_131,1,0)&lt;&gt;"","","x")</f>
        <v/>
      </c>
      <c r="AB542" s="195"/>
    </row>
    <row r="543" spans="1:28" s="587" customFormat="1" ht="15.75" customHeight="1">
      <c r="A543" s="201" t="str">
        <f>IF(B543&lt;&gt;"",IF(AND(B543&gt;=_TM1,B543&lt;=_TM2,OR(TH!L543="1111",TH!M543="1111")),TH!D543,""),"")</f>
        <v/>
      </c>
      <c r="B543" s="36">
        <f t="shared" si="23"/>
        <v>8</v>
      </c>
      <c r="C543" s="188">
        <f t="shared" si="24"/>
        <v>41492</v>
      </c>
      <c r="D543" s="181" t="s">
        <v>1031</v>
      </c>
      <c r="E543" s="188">
        <v>41492</v>
      </c>
      <c r="F543" s="189" t="s">
        <v>866</v>
      </c>
      <c r="G543" s="480" t="s">
        <v>867</v>
      </c>
      <c r="H543" s="190" t="s">
        <v>832</v>
      </c>
      <c r="I543" s="249">
        <v>1010</v>
      </c>
      <c r="J543" s="249">
        <v>6400</v>
      </c>
      <c r="K543" s="38">
        <f>ROUND(I543*J543,0)</f>
        <v>6464000</v>
      </c>
      <c r="L543" s="191" t="s">
        <v>262</v>
      </c>
      <c r="M543" s="191" t="s">
        <v>172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IF(OR(TH!L543=TH!$U$7,M543=TH!$U$7),"x","")</f>
        <v/>
      </c>
      <c r="V543" s="52" t="str">
        <f>IF(AND(B543&gt;='IN-NX'!$P$3,B543&lt;='IN-NX'!$Q$3,'IN-NX'!$D$7=D543,OR(LEFT(L543,2)="15",AND(LEFT(M543,2)&lt;&gt;"15",LEFT(M543,2)&lt;&gt;"33"))),"x","")</f>
        <v/>
      </c>
      <c r="W543" s="52" t="str">
        <f>IF(AND(OR(LEFT(TH!L543,2)="15",LEFT(TH!M543,2)="15"),'152-CT'!$J$8=TH!F543),"x","")</f>
        <v/>
      </c>
      <c r="X543" s="52" t="str">
        <f>IF(AND(OR(LEFT(TH!L543,2)="15",LEFT(TH!M543,2)="15"),TK!$E$7=TH!F543),"x","")</f>
        <v/>
      </c>
      <c r="Y543" s="52" t="str">
        <f>IF(AND(B543&lt;=NKC!$N$8,B543&gt;=NKC!$M$8),"x","")</f>
        <v>x</v>
      </c>
      <c r="Z543" s="195"/>
      <c r="AB543" s="195"/>
    </row>
    <row r="544" spans="1:28" s="587" customFormat="1" ht="15.75" customHeight="1">
      <c r="A544" s="201" t="str">
        <f>IF(B544&lt;&gt;"",IF(AND(B544&gt;=_TM1,B544&lt;=_TM2,OR(TH!L544="1111",TH!M544="1111")),TH!D544,""),"")</f>
        <v/>
      </c>
      <c r="B544" s="36">
        <f t="shared" si="23"/>
        <v>8</v>
      </c>
      <c r="C544" s="188">
        <f t="shared" si="24"/>
        <v>41492</v>
      </c>
      <c r="D544" s="181" t="s">
        <v>1031</v>
      </c>
      <c r="E544" s="188">
        <v>41492</v>
      </c>
      <c r="F544" s="189" t="s">
        <v>1104</v>
      </c>
      <c r="G544" s="189" t="s">
        <v>867</v>
      </c>
      <c r="H544" s="7" t="s">
        <v>832</v>
      </c>
      <c r="I544" s="249">
        <v>960</v>
      </c>
      <c r="J544" s="249">
        <v>5300</v>
      </c>
      <c r="K544" s="38">
        <f>ROUND(I544*J544,0)</f>
        <v>5088000</v>
      </c>
      <c r="L544" s="191" t="s">
        <v>262</v>
      </c>
      <c r="M544" s="191" t="s">
        <v>172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IF(OR(TH!L544=TH!$U$7,M544=TH!$U$7),"x","")</f>
        <v/>
      </c>
      <c r="V544" s="52" t="str">
        <f>IF(AND(B544&gt;='IN-NX'!$P$3,B544&lt;='IN-NX'!$Q$3,'IN-NX'!$D$7=D544,OR(LEFT(L544,2)="15",AND(LEFT(M544,2)&lt;&gt;"15",LEFT(M544,2)&lt;&gt;"33"))),"x","")</f>
        <v/>
      </c>
      <c r="W544" s="52" t="str">
        <f>IF(AND(OR(LEFT(TH!L544,2)="15",LEFT(TH!M544,2)="15"),'152-CT'!$J$8=TH!F544),"x","")</f>
        <v/>
      </c>
      <c r="X544" s="52" t="str">
        <f>IF(AND(OR(LEFT(TH!L544,2)="15",LEFT(TH!M544,2)="15"),TK!$E$7=TH!F544),"x","")</f>
        <v/>
      </c>
      <c r="Y544" s="52" t="str">
        <f>IF(AND(B544&lt;=NKC!$N$8,B544&gt;=NKC!$M$8),"x","")</f>
        <v>x</v>
      </c>
      <c r="Z544" s="195"/>
      <c r="AB544" s="195"/>
    </row>
    <row r="545" spans="1:28" s="587" customFormat="1" ht="15.75" customHeight="1">
      <c r="A545" s="201" t="str">
        <f>IF(B545&lt;&gt;"",IF(AND(B545&gt;=_TM1,B545&lt;=_TM2,OR(TH!L545="1111",TH!M545="1111")),TH!D545,""),"")</f>
        <v/>
      </c>
      <c r="B545" s="36">
        <f t="shared" si="23"/>
        <v>8</v>
      </c>
      <c r="C545" s="188">
        <f t="shared" si="24"/>
        <v>41492</v>
      </c>
      <c r="D545" s="181" t="s">
        <v>1031</v>
      </c>
      <c r="E545" s="188">
        <v>41492</v>
      </c>
      <c r="F545" s="189" t="s">
        <v>693</v>
      </c>
      <c r="G545" s="480" t="s">
        <v>867</v>
      </c>
      <c r="H545" s="7" t="s">
        <v>832</v>
      </c>
      <c r="I545" s="249"/>
      <c r="J545" s="249"/>
      <c r="K545" s="38">
        <v>1155200</v>
      </c>
      <c r="L545" s="191" t="s">
        <v>262</v>
      </c>
      <c r="M545" s="191" t="s">
        <v>425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IF(OR(TH!L545=TH!$U$7,M545=TH!$U$7),"x","")</f>
        <v/>
      </c>
      <c r="V545" s="52" t="str">
        <f>IF(AND(B545&gt;='IN-NX'!$P$3,B545&lt;='IN-NX'!$Q$3,'IN-NX'!$D$7=D545,OR(LEFT(L545,2)="15",AND(LEFT(M545,2)&lt;&gt;"15",LEFT(M545,2)&lt;&gt;"33"))),"x","")</f>
        <v/>
      </c>
      <c r="W545" s="52" t="str">
        <f>IF(AND(OR(LEFT(TH!L545,2)="15",LEFT(TH!M545,2)="15"),'152-CT'!$J$8=TH!F545),"x","")</f>
        <v/>
      </c>
      <c r="X545" s="52" t="str">
        <f>IF(AND(OR(LEFT(TH!L545,2)="15",LEFT(TH!M545,2)="15"),TK!$E$7=TH!F545),"x","")</f>
        <v/>
      </c>
      <c r="Y545" s="52" t="str">
        <f>IF(AND(B545&lt;=NKC!$N$8,B545&gt;=NKC!$M$8),"x","")</f>
        <v>x</v>
      </c>
      <c r="Z545" s="195"/>
      <c r="AA545" s="587" t="str">
        <f>IF(VLOOKUP(H545,DS_131,1,0)&lt;&gt;"","","x")</f>
        <v/>
      </c>
      <c r="AB545" s="195"/>
    </row>
    <row r="546" spans="1:28" s="587" customFormat="1" ht="15.75" customHeight="1">
      <c r="A546" s="201" t="str">
        <f>IF(B546&lt;&gt;"",IF(AND(B546&gt;=_TM1,B546&lt;=_TM2,OR(TH!L546="1111",TH!M546="1111")),TH!D546,""),"")</f>
        <v/>
      </c>
      <c r="B546" s="36">
        <f t="shared" si="23"/>
        <v>8</v>
      </c>
      <c r="C546" s="188">
        <f t="shared" si="24"/>
        <v>41492</v>
      </c>
      <c r="D546" s="181" t="s">
        <v>1032</v>
      </c>
      <c r="E546" s="188">
        <v>41492</v>
      </c>
      <c r="F546" s="189" t="s">
        <v>692</v>
      </c>
      <c r="G546" s="480" t="s">
        <v>868</v>
      </c>
      <c r="H546" s="7" t="s">
        <v>468</v>
      </c>
      <c r="I546" s="249">
        <v>1307</v>
      </c>
      <c r="J546" s="249">
        <v>5100</v>
      </c>
      <c r="K546" s="38">
        <f>ROUND(I546*J546,0)</f>
        <v>6665700</v>
      </c>
      <c r="L546" s="191" t="s">
        <v>262</v>
      </c>
      <c r="M546" s="191" t="s">
        <v>172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IF(OR(TH!L546=TH!$U$7,M546=TH!$U$7),"x","")</f>
        <v/>
      </c>
      <c r="V546" s="52" t="str">
        <f>IF(AND(B546&gt;='IN-NX'!$P$3,B546&lt;='IN-NX'!$Q$3,'IN-NX'!$D$7=D546,OR(LEFT(L546,2)="15",AND(LEFT(M546,2)&lt;&gt;"15",LEFT(M546,2)&lt;&gt;"33"))),"x","")</f>
        <v/>
      </c>
      <c r="W546" s="52" t="str">
        <f>IF(AND(OR(LEFT(TH!L546,2)="15",LEFT(TH!M546,2)="15"),'152-CT'!$J$8=TH!F546),"x","")</f>
        <v/>
      </c>
      <c r="X546" s="52" t="str">
        <f>IF(AND(OR(LEFT(TH!L546,2)="15",LEFT(TH!M546,2)="15"),TK!$E$7=TH!F546),"x","")</f>
        <v/>
      </c>
      <c r="Y546" s="52" t="str">
        <f>IF(AND(B546&lt;=NKC!$N$8,B546&gt;=NKC!$M$8),"x","")</f>
        <v>x</v>
      </c>
      <c r="Z546" s="195"/>
      <c r="AB546" s="195"/>
    </row>
    <row r="547" spans="1:28" s="587" customFormat="1" ht="15.75" customHeight="1">
      <c r="A547" s="201" t="str">
        <f>IF(B547&lt;&gt;"",IF(AND(B547&gt;=_TM1,B547&lt;=_TM2,OR(TH!L547="1111",TH!M547="1111")),TH!D547,""),"")</f>
        <v/>
      </c>
      <c r="B547" s="36">
        <f t="shared" si="23"/>
        <v>8</v>
      </c>
      <c r="C547" s="188">
        <f t="shared" si="24"/>
        <v>41492</v>
      </c>
      <c r="D547" s="181" t="s">
        <v>1032</v>
      </c>
      <c r="E547" s="188">
        <v>41492</v>
      </c>
      <c r="F547" s="189" t="s">
        <v>838</v>
      </c>
      <c r="G547" s="189" t="s">
        <v>868</v>
      </c>
      <c r="H547" s="7" t="s">
        <v>468</v>
      </c>
      <c r="I547" s="249">
        <v>623</v>
      </c>
      <c r="J547" s="249">
        <v>9800</v>
      </c>
      <c r="K547" s="38">
        <f>ROUND(I547*J547,0)</f>
        <v>6105400</v>
      </c>
      <c r="L547" s="191" t="s">
        <v>262</v>
      </c>
      <c r="M547" s="191" t="s">
        <v>172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IF(OR(TH!L547=TH!$U$7,M547=TH!$U$7),"x","")</f>
        <v/>
      </c>
      <c r="V547" s="52" t="str">
        <f>IF(AND(B547&gt;='IN-NX'!$P$3,B547&lt;='IN-NX'!$Q$3,'IN-NX'!$D$7=D547,OR(LEFT(L547,2)="15",AND(LEFT(M547,2)&lt;&gt;"15",LEFT(M547,2)&lt;&gt;"33"))),"x","")</f>
        <v/>
      </c>
      <c r="W547" s="52" t="str">
        <f>IF(AND(OR(LEFT(TH!L547,2)="15",LEFT(TH!M547,2)="15"),'152-CT'!$J$8=TH!F547),"x","")</f>
        <v/>
      </c>
      <c r="X547" s="52" t="str">
        <f>IF(AND(OR(LEFT(TH!L547,2)="15",LEFT(TH!M547,2)="15"),TK!$E$7=TH!F547),"x","")</f>
        <v/>
      </c>
      <c r="Y547" s="52" t="str">
        <f>IF(AND(B547&lt;=NKC!$N$8,B547&gt;=NKC!$M$8),"x","")</f>
        <v>x</v>
      </c>
      <c r="Z547" s="195"/>
      <c r="AB547" s="195"/>
    </row>
    <row r="548" spans="1:28" s="587" customFormat="1" ht="15.75" customHeight="1">
      <c r="A548" s="201" t="str">
        <f>IF(B548&lt;&gt;"",IF(AND(B548&gt;=_TM1,B548&lt;=_TM2,OR(TH!L548="1111",TH!M548="1111")),TH!D548,""),"")</f>
        <v/>
      </c>
      <c r="B548" s="36">
        <f t="shared" si="23"/>
        <v>8</v>
      </c>
      <c r="C548" s="188">
        <f t="shared" si="24"/>
        <v>41492</v>
      </c>
      <c r="D548" s="181" t="s">
        <v>1032</v>
      </c>
      <c r="E548" s="188">
        <v>41492</v>
      </c>
      <c r="F548" s="189" t="s">
        <v>693</v>
      </c>
      <c r="G548" s="189" t="s">
        <v>868</v>
      </c>
      <c r="H548" s="7" t="s">
        <v>468</v>
      </c>
      <c r="I548" s="249"/>
      <c r="J548" s="249"/>
      <c r="K548" s="38">
        <v>1277110</v>
      </c>
      <c r="L548" s="191" t="s">
        <v>262</v>
      </c>
      <c r="M548" s="191" t="s">
        <v>425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IF(OR(TH!L548=TH!$U$7,M548=TH!$U$7),"x","")</f>
        <v/>
      </c>
      <c r="V548" s="52" t="str">
        <f>IF(AND(B548&gt;='IN-NX'!$P$3,B548&lt;='IN-NX'!$Q$3,'IN-NX'!$D$7=D548,OR(LEFT(L548,2)="15",AND(LEFT(M548,2)&lt;&gt;"15",LEFT(M548,2)&lt;&gt;"33"))),"x","")</f>
        <v/>
      </c>
      <c r="W548" s="52" t="str">
        <f>IF(AND(OR(LEFT(TH!L548,2)="15",LEFT(TH!M548,2)="15"),'152-CT'!$J$8=TH!F548),"x","")</f>
        <v/>
      </c>
      <c r="X548" s="52" t="str">
        <f>IF(AND(OR(LEFT(TH!L548,2)="15",LEFT(TH!M548,2)="15"),TK!$E$7=TH!F548),"x","")</f>
        <v/>
      </c>
      <c r="Y548" s="52" t="str">
        <f>IF(AND(B548&lt;=NKC!$N$8,B548&gt;=NKC!$M$8),"x","")</f>
        <v>x</v>
      </c>
      <c r="Z548" s="195"/>
      <c r="AA548" s="587" t="str">
        <f>IF(VLOOKUP(H548,DS_131,1,0)&lt;&gt;"","","x")</f>
        <v/>
      </c>
      <c r="AB548" s="195"/>
    </row>
    <row r="549" spans="1:28" s="587" customFormat="1" ht="15.75" customHeight="1">
      <c r="A549" s="201" t="str">
        <f>IF(B549&lt;&gt;"",IF(AND(B549&gt;=_TM1,B549&lt;=_TM2,OR(TH!L549="1111",TH!M549="1111")),TH!D549,""),"")</f>
        <v/>
      </c>
      <c r="B549" s="36">
        <f t="shared" si="23"/>
        <v>8</v>
      </c>
      <c r="C549" s="181">
        <f t="shared" si="24"/>
        <v>41493</v>
      </c>
      <c r="D549" s="181" t="s">
        <v>335</v>
      </c>
      <c r="E549" s="181">
        <v>41493</v>
      </c>
      <c r="F549" s="186" t="s">
        <v>337</v>
      </c>
      <c r="G549" s="597" t="s">
        <v>332</v>
      </c>
      <c r="H549" s="7" t="s">
        <v>503</v>
      </c>
      <c r="I549" s="249"/>
      <c r="J549" s="249"/>
      <c r="K549" s="595">
        <v>7668870</v>
      </c>
      <c r="L549" s="596" t="s">
        <v>24</v>
      </c>
      <c r="M549" s="596" t="s">
        <v>262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52" t="str">
        <f>IF(OR(TH!L549=TH!$U$7,M549=TH!$U$7),"x","")</f>
        <v/>
      </c>
      <c r="V549" s="52" t="str">
        <f>IF(AND(B549&gt;='IN-NX'!$P$3,B549&lt;='IN-NX'!$Q$3,'IN-NX'!$D$7=D549,OR(LEFT(L549,2)="15",AND(LEFT(M549,2)&lt;&gt;"15",LEFT(M549,2)&lt;&gt;"33"))),"x","")</f>
        <v/>
      </c>
      <c r="W549" s="52" t="str">
        <f>IF(AND(OR(LEFT(TH!L549,2)="15",LEFT(TH!M549,2)="15"),'152-CT'!$J$8=TH!F549),"x","")</f>
        <v/>
      </c>
      <c r="X549" s="52" t="str">
        <f>IF(AND(OR(LEFT(TH!L549,2)="15",LEFT(TH!M549,2)="15"),TK!$E$7=TH!F549),"x","")</f>
        <v/>
      </c>
      <c r="Y549" s="52" t="str">
        <f>IF(AND(B549&lt;=NKC!$N$8,B549&gt;=NKC!$M$8),"x","")</f>
        <v>x</v>
      </c>
    </row>
    <row r="550" spans="1:28" s="587" customFormat="1" ht="15.75" customHeight="1">
      <c r="A550" s="201" t="str">
        <f>IF(B550&lt;&gt;"",IF(AND(B550&gt;=_TM1,B550&lt;=_TM2,OR(TH!L550="1111",TH!M550="1111")),TH!D550,""),"")</f>
        <v/>
      </c>
      <c r="B550" s="36">
        <f t="shared" si="23"/>
        <v>8</v>
      </c>
      <c r="C550" s="181">
        <f t="shared" si="24"/>
        <v>41493</v>
      </c>
      <c r="D550" s="181" t="s">
        <v>397</v>
      </c>
      <c r="E550" s="188">
        <v>41493</v>
      </c>
      <c r="F550" s="186" t="s">
        <v>469</v>
      </c>
      <c r="G550" s="597" t="s">
        <v>332</v>
      </c>
      <c r="H550" s="7" t="s">
        <v>364</v>
      </c>
      <c r="I550" s="249"/>
      <c r="J550" s="251"/>
      <c r="K550" s="595">
        <v>39000000</v>
      </c>
      <c r="L550" s="596" t="s">
        <v>47</v>
      </c>
      <c r="M550" s="596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>x</v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>x</v>
      </c>
      <c r="U550" s="52" t="str">
        <f>IF(OR(TH!L550=TH!$U$7,M550=TH!$U$7),"x","")</f>
        <v/>
      </c>
      <c r="V550" s="52" t="str">
        <f>IF(AND(B550&gt;='IN-NX'!$P$3,B550&lt;='IN-NX'!$Q$3,'IN-NX'!$D$7=D550,OR(LEFT(L550,2)="15",AND(LEFT(M550,2)&lt;&gt;"15",LEFT(M550,2)&lt;&gt;"33"))),"x","")</f>
        <v/>
      </c>
      <c r="W550" s="52" t="str">
        <f>IF(AND(OR(LEFT(TH!L550,2)="15",LEFT(TH!M550,2)="15"),'152-CT'!$J$8=TH!F550),"x","")</f>
        <v/>
      </c>
      <c r="X550" s="52" t="str">
        <f>IF(AND(OR(LEFT(TH!L550,2)="15",LEFT(TH!M550,2)="15"),TK!$E$7=TH!F550),"x","")</f>
        <v/>
      </c>
      <c r="Y550" s="52" t="str">
        <f>IF(AND(B550&lt;=NKC!$N$8,B550&gt;=NKC!$M$8),"x","")</f>
        <v>x</v>
      </c>
      <c r="Z550" s="208"/>
    </row>
    <row r="551" spans="1:28" s="587" customFormat="1" ht="15.75" customHeight="1">
      <c r="A551" s="201" t="str">
        <f>IF(B551&lt;&gt;"",IF(AND(B551&gt;=_TM1,B551&lt;=_TM2,OR(TH!L551="1111",TH!M551="1111")),TH!D551,""),"")</f>
        <v/>
      </c>
      <c r="B551" s="36">
        <f t="shared" si="23"/>
        <v>8</v>
      </c>
      <c r="C551" s="181">
        <f t="shared" si="24"/>
        <v>41493</v>
      </c>
      <c r="D551" s="181" t="s">
        <v>381</v>
      </c>
      <c r="E551" s="188">
        <v>41493</v>
      </c>
      <c r="F551" s="186" t="s">
        <v>490</v>
      </c>
      <c r="G551" s="657" t="s">
        <v>504</v>
      </c>
      <c r="H551" s="7" t="s">
        <v>492</v>
      </c>
      <c r="I551" s="250"/>
      <c r="J551" s="251"/>
      <c r="K551" s="38">
        <v>299871</v>
      </c>
      <c r="L551" s="596" t="s">
        <v>83</v>
      </c>
      <c r="M551" s="596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IF(OR(TH!L551=TH!$U$7,M551=TH!$U$7),"x","")</f>
        <v>x</v>
      </c>
      <c r="V551" s="52" t="str">
        <f>IF(AND(B551&gt;='IN-NX'!$P$3,B551&lt;='IN-NX'!$Q$3,'IN-NX'!$D$7=D551,OR(LEFT(L551,2)="15",AND(LEFT(M551,2)&lt;&gt;"15",LEFT(M551,2)&lt;&gt;"33"))),"x","")</f>
        <v/>
      </c>
      <c r="W551" s="52" t="str">
        <f>IF(AND(OR(LEFT(TH!L551,2)="15",LEFT(TH!M551,2)="15"),'152-CT'!$J$8=TH!F551),"x","")</f>
        <v/>
      </c>
      <c r="X551" s="52" t="str">
        <f>IF(AND(OR(LEFT(TH!L551,2)="15",LEFT(TH!M551,2)="15"),TK!$E$7=TH!F551),"x","")</f>
        <v/>
      </c>
      <c r="Y551" s="52" t="str">
        <f>IF(AND(B551&lt;=NKC!$N$8,B551&gt;=NKC!$M$8),"x","")</f>
        <v>x</v>
      </c>
      <c r="Z551" s="587" t="s">
        <v>1336</v>
      </c>
      <c r="AA551" s="208"/>
      <c r="AB551" s="208"/>
    </row>
    <row r="552" spans="1:28" s="587" customFormat="1" ht="15.75" customHeight="1">
      <c r="A552" s="201" t="str">
        <f>IF(B552&lt;&gt;"",IF(AND(B552&gt;=_TM1,B552&lt;=_TM2,OR(TH!L552="1111",TH!M552="1111")),TH!D552,""),"")</f>
        <v/>
      </c>
      <c r="B552" s="36">
        <f t="shared" si="23"/>
        <v>8</v>
      </c>
      <c r="C552" s="181">
        <f t="shared" si="24"/>
        <v>41493</v>
      </c>
      <c r="D552" s="181" t="s">
        <v>381</v>
      </c>
      <c r="E552" s="188">
        <v>41493</v>
      </c>
      <c r="F552" s="186" t="s">
        <v>493</v>
      </c>
      <c r="G552" s="657" t="s">
        <v>504</v>
      </c>
      <c r="H552" s="7" t="s">
        <v>492</v>
      </c>
      <c r="I552" s="249"/>
      <c r="J552" s="251"/>
      <c r="K552" s="595">
        <v>29987</v>
      </c>
      <c r="L552" s="596" t="s">
        <v>9</v>
      </c>
      <c r="M552" s="59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IF(OR(TH!L552=TH!$U$7,M552=TH!$U$7),"x","")</f>
        <v/>
      </c>
      <c r="V552" s="52" t="str">
        <f>IF(AND(B552&gt;='IN-NX'!$P$3,B552&lt;='IN-NX'!$Q$3,'IN-NX'!$D$7=D552,OR(LEFT(L552,2)="15",AND(LEFT(M552,2)&lt;&gt;"15",LEFT(M552,2)&lt;&gt;"33"))),"x","")</f>
        <v/>
      </c>
      <c r="W552" s="52" t="str">
        <f>IF(AND(OR(LEFT(TH!L552,2)="15",LEFT(TH!M552,2)="15"),'152-CT'!$J$8=TH!F552),"x","")</f>
        <v/>
      </c>
      <c r="X552" s="52" t="str">
        <f>IF(AND(OR(LEFT(TH!L552,2)="15",LEFT(TH!M552,2)="15"),TK!$E$7=TH!F552),"x","")</f>
        <v/>
      </c>
      <c r="Y552" s="52" t="str">
        <f>IF(AND(B552&lt;=NKC!$N$8,B552&gt;=NKC!$M$8),"x","")</f>
        <v>x</v>
      </c>
      <c r="Z552" s="587" t="s">
        <v>1336</v>
      </c>
      <c r="AA552" s="208"/>
      <c r="AB552" s="208"/>
    </row>
    <row r="553" spans="1:28" s="587" customFormat="1" ht="15.75" customHeight="1">
      <c r="A553" s="201" t="str">
        <f>IF(B553&lt;&gt;"",IF(AND(B553&gt;=_TM1,B553&lt;=_TM2,OR(TH!L553="1111",TH!M553="1111")),TH!D553,""),"")</f>
        <v/>
      </c>
      <c r="B553" s="36">
        <f t="shared" si="23"/>
        <v>8</v>
      </c>
      <c r="C553" s="188">
        <f t="shared" si="24"/>
        <v>41495</v>
      </c>
      <c r="D553" s="181" t="s">
        <v>1033</v>
      </c>
      <c r="E553" s="188">
        <v>41495</v>
      </c>
      <c r="F553" s="189" t="s">
        <v>805</v>
      </c>
      <c r="G553" s="189" t="s">
        <v>869</v>
      </c>
      <c r="H553" s="190" t="s">
        <v>710</v>
      </c>
      <c r="I553" s="249">
        <v>1000</v>
      </c>
      <c r="J553" s="249">
        <v>10500</v>
      </c>
      <c r="K553" s="38">
        <f>ROUND(I553*J553,0)</f>
        <v>10500000</v>
      </c>
      <c r="L553" s="191" t="s">
        <v>262</v>
      </c>
      <c r="M553" s="191" t="s">
        <v>172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IF(OR(TH!L553=TH!$U$7,M553=TH!$U$7),"x","")</f>
        <v/>
      </c>
      <c r="V553" s="52" t="str">
        <f>IF(AND(B553&gt;='IN-NX'!$P$3,B553&lt;='IN-NX'!$Q$3,'IN-NX'!$D$7=D553,OR(LEFT(L553,2)="15",AND(LEFT(M553,2)&lt;&gt;"15",LEFT(M553,2)&lt;&gt;"33"))),"x","")</f>
        <v/>
      </c>
      <c r="W553" s="52" t="str">
        <f>IF(AND(OR(LEFT(TH!L553,2)="15",LEFT(TH!M553,2)="15"),'152-CT'!$J$8=TH!F553),"x","")</f>
        <v/>
      </c>
      <c r="X553" s="52" t="str">
        <f>IF(AND(OR(LEFT(TH!L553,2)="15",LEFT(TH!M553,2)="15"),TK!$E$7=TH!F553),"x","")</f>
        <v/>
      </c>
      <c r="Y553" s="52" t="str">
        <f>IF(AND(B553&lt;=NKC!$N$8,B553&gt;=NKC!$M$8),"x","")</f>
        <v>x</v>
      </c>
    </row>
    <row r="554" spans="1:28" s="587" customFormat="1" ht="15.75" customHeight="1">
      <c r="A554" s="201" t="str">
        <f>IF(B554&lt;&gt;"",IF(AND(B554&gt;=_TM1,B554&lt;=_TM2,OR(TH!L554="1111",TH!M554="1111")),TH!D554,""),"")</f>
        <v/>
      </c>
      <c r="B554" s="36">
        <f t="shared" si="23"/>
        <v>8</v>
      </c>
      <c r="C554" s="188">
        <f t="shared" si="24"/>
        <v>41495</v>
      </c>
      <c r="D554" s="181" t="s">
        <v>1033</v>
      </c>
      <c r="E554" s="188">
        <v>41495</v>
      </c>
      <c r="F554" s="189" t="s">
        <v>693</v>
      </c>
      <c r="G554" s="189" t="s">
        <v>869</v>
      </c>
      <c r="H554" s="7" t="s">
        <v>710</v>
      </c>
      <c r="I554" s="250"/>
      <c r="J554" s="250"/>
      <c r="K554" s="38">
        <v>1050000</v>
      </c>
      <c r="L554" s="191" t="s">
        <v>262</v>
      </c>
      <c r="M554" s="191" t="s">
        <v>425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IF(OR(TH!L554=TH!$U$7,M554=TH!$U$7),"x","")</f>
        <v/>
      </c>
      <c r="V554" s="52" t="str">
        <f>IF(AND(B554&gt;='IN-NX'!$P$3,B554&lt;='IN-NX'!$Q$3,'IN-NX'!$D$7=D554,OR(LEFT(L554,2)="15",AND(LEFT(M554,2)&lt;&gt;"15",LEFT(M554,2)&lt;&gt;"33"))),"x","")</f>
        <v/>
      </c>
      <c r="W554" s="52" t="str">
        <f>IF(AND(OR(LEFT(TH!L554,2)="15",LEFT(TH!M554,2)="15"),'152-CT'!$J$8=TH!F554),"x","")</f>
        <v/>
      </c>
      <c r="X554" s="52" t="str">
        <f>IF(AND(OR(LEFT(TH!L554,2)="15",LEFT(TH!M554,2)="15"),TK!$E$7=TH!F554),"x","")</f>
        <v/>
      </c>
      <c r="Y554" s="52" t="str">
        <f>IF(AND(B554&lt;=NKC!$N$8,B554&gt;=NKC!$M$8),"x","")</f>
        <v>x</v>
      </c>
      <c r="AA554" s="587" t="str">
        <f>IF(VLOOKUP(H554,DS_131,1,0)&lt;&gt;"","","x")</f>
        <v/>
      </c>
    </row>
    <row r="555" spans="1:28" s="587" customFormat="1" ht="15.75" customHeight="1">
      <c r="A555" s="201" t="str">
        <f>IF(B555&lt;&gt;"",IF(AND(B555&gt;=_TM1,B555&lt;=_TM2,OR(TH!L555="1111",TH!M555="1111")),TH!D555,""),"")</f>
        <v/>
      </c>
      <c r="B555" s="36">
        <f t="shared" si="23"/>
        <v>8</v>
      </c>
      <c r="C555" s="188">
        <f t="shared" si="24"/>
        <v>41495</v>
      </c>
      <c r="D555" s="181" t="s">
        <v>1034</v>
      </c>
      <c r="E555" s="188">
        <v>41495</v>
      </c>
      <c r="F555" s="189" t="s">
        <v>1115</v>
      </c>
      <c r="G555" s="189" t="s">
        <v>870</v>
      </c>
      <c r="H555" s="7" t="s">
        <v>863</v>
      </c>
      <c r="I555" s="249">
        <v>2730</v>
      </c>
      <c r="J555" s="249">
        <v>4210</v>
      </c>
      <c r="K555" s="38">
        <f>ROUND(I555*J555,0)</f>
        <v>11493300</v>
      </c>
      <c r="L555" s="191" t="s">
        <v>262</v>
      </c>
      <c r="M555" s="191" t="s">
        <v>172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IF(OR(TH!L555=TH!$U$7,M555=TH!$U$7),"x","")</f>
        <v/>
      </c>
      <c r="V555" s="52" t="str">
        <f>IF(AND(B555&gt;='IN-NX'!$P$3,B555&lt;='IN-NX'!$Q$3,'IN-NX'!$D$7=D555,OR(LEFT(L555,2)="15",AND(LEFT(M555,2)&lt;&gt;"15",LEFT(M555,2)&lt;&gt;"33"))),"x","")</f>
        <v/>
      </c>
      <c r="W555" s="52" t="str">
        <f>IF(AND(OR(LEFT(TH!L555,2)="15",LEFT(TH!M555,2)="15"),'152-CT'!$J$8=TH!F555),"x","")</f>
        <v/>
      </c>
      <c r="X555" s="52" t="str">
        <f>IF(AND(OR(LEFT(TH!L555,2)="15",LEFT(TH!M555,2)="15"),TK!$E$7=TH!F555),"x","")</f>
        <v/>
      </c>
      <c r="Y555" s="52" t="str">
        <f>IF(AND(B555&lt;=NKC!$N$8,B555&gt;=NKC!$M$8),"x","")</f>
        <v>x</v>
      </c>
      <c r="Z555" s="195"/>
      <c r="AB555" s="195"/>
    </row>
    <row r="556" spans="1:28" s="587" customFormat="1" ht="15.75" customHeight="1">
      <c r="A556" s="201" t="str">
        <f>IF(B556&lt;&gt;"",IF(AND(B556&gt;=_TM1,B556&lt;=_TM2,OR(TH!L556="1111",TH!M556="1111")),TH!D556,""),"")</f>
        <v/>
      </c>
      <c r="B556" s="36">
        <f t="shared" si="23"/>
        <v>8</v>
      </c>
      <c r="C556" s="188">
        <f t="shared" si="24"/>
        <v>41495</v>
      </c>
      <c r="D556" s="181" t="s">
        <v>1034</v>
      </c>
      <c r="E556" s="188">
        <v>41495</v>
      </c>
      <c r="F556" s="189" t="s">
        <v>693</v>
      </c>
      <c r="G556" s="189" t="s">
        <v>870</v>
      </c>
      <c r="H556" s="7" t="s">
        <v>863</v>
      </c>
      <c r="I556" s="249"/>
      <c r="J556" s="249"/>
      <c r="K556" s="38">
        <v>1149330</v>
      </c>
      <c r="L556" s="191" t="s">
        <v>262</v>
      </c>
      <c r="M556" s="191" t="s">
        <v>425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IF(OR(TH!L556=TH!$U$7,M556=TH!$U$7),"x","")</f>
        <v/>
      </c>
      <c r="V556" s="52" t="str">
        <f>IF(AND(B556&gt;='IN-NX'!$P$3,B556&lt;='IN-NX'!$Q$3,'IN-NX'!$D$7=D556,OR(LEFT(L556,2)="15",AND(LEFT(M556,2)&lt;&gt;"15",LEFT(M556,2)&lt;&gt;"33"))),"x","")</f>
        <v/>
      </c>
      <c r="W556" s="52" t="str">
        <f>IF(AND(OR(LEFT(TH!L556,2)="15",LEFT(TH!M556,2)="15"),'152-CT'!$J$8=TH!F556),"x","")</f>
        <v/>
      </c>
      <c r="X556" s="52" t="str">
        <f>IF(AND(OR(LEFT(TH!L556,2)="15",LEFT(TH!M556,2)="15"),TK!$E$7=TH!F556),"x","")</f>
        <v/>
      </c>
      <c r="Y556" s="52" t="str">
        <f>IF(AND(B556&lt;=NKC!$N$8,B556&gt;=NKC!$M$8),"x","")</f>
        <v>x</v>
      </c>
      <c r="Z556" s="195"/>
      <c r="AA556" s="587" t="str">
        <f>IF(VLOOKUP(H556,DS_131,1,0)&lt;&gt;"","","x")</f>
        <v/>
      </c>
      <c r="AB556" s="195"/>
    </row>
    <row r="557" spans="1:28" s="587" customFormat="1" ht="15.75" customHeight="1">
      <c r="A557" s="201" t="str">
        <f>IF(B557&lt;&gt;"",IF(AND(B557&gt;=_TM1,B557&lt;=_TM2,OR(TH!L557="1111",TH!M557="1111")),TH!D557,""),"")</f>
        <v/>
      </c>
      <c r="B557" s="36">
        <f t="shared" si="23"/>
        <v>8</v>
      </c>
      <c r="C557" s="188">
        <f t="shared" si="24"/>
        <v>41496</v>
      </c>
      <c r="D557" s="181" t="s">
        <v>382</v>
      </c>
      <c r="E557" s="188">
        <v>41496</v>
      </c>
      <c r="F557" s="186" t="s">
        <v>431</v>
      </c>
      <c r="G557" s="480" t="s">
        <v>505</v>
      </c>
      <c r="H557" s="7" t="s">
        <v>368</v>
      </c>
      <c r="I557" s="249"/>
      <c r="J557" s="249"/>
      <c r="K557" s="595">
        <v>3900000</v>
      </c>
      <c r="L557" s="596" t="s">
        <v>162</v>
      </c>
      <c r="M557" s="596" t="s">
        <v>47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IF(OR(TH!L557=TH!$U$7,M557=TH!$U$7),"x","")</f>
        <v/>
      </c>
      <c r="V557" s="52" t="str">
        <f>IF(AND(B557&gt;='IN-NX'!$P$3,B557&lt;='IN-NX'!$Q$3,'IN-NX'!$D$7=D557,OR(LEFT(L557,2)="15",AND(LEFT(M557,2)&lt;&gt;"15",LEFT(M557,2)&lt;&gt;"33"))),"x","")</f>
        <v/>
      </c>
      <c r="W557" s="52" t="str">
        <f>IF(AND(OR(LEFT(TH!L557,2)="15",LEFT(TH!M557,2)="15"),'152-CT'!$J$8=TH!F557),"x","")</f>
        <v/>
      </c>
      <c r="X557" s="52" t="str">
        <f>IF(AND(OR(LEFT(TH!L557,2)="15",LEFT(TH!M557,2)="15"),TK!$E$7=TH!F557),"x","")</f>
        <v/>
      </c>
      <c r="Y557" s="52" t="str">
        <f>IF(AND(B557&lt;=NKC!$N$8,B557&gt;=NKC!$M$8),"x","")</f>
        <v>x</v>
      </c>
      <c r="Z557" s="587" t="s">
        <v>1336</v>
      </c>
      <c r="AA557" s="208"/>
      <c r="AB557" s="208"/>
    </row>
    <row r="558" spans="1:28" s="587" customFormat="1" ht="15.75" customHeight="1">
      <c r="A558" s="201" t="str">
        <f>IF(B558&lt;&gt;"",IF(AND(B558&gt;=_TM1,B558&lt;=_TM2,OR(TH!L558="1111",TH!M558="1111")),TH!D558,""),"")</f>
        <v/>
      </c>
      <c r="B558" s="36">
        <f t="shared" si="23"/>
        <v>8</v>
      </c>
      <c r="C558" s="188">
        <f t="shared" si="24"/>
        <v>41496</v>
      </c>
      <c r="D558" s="181" t="s">
        <v>382</v>
      </c>
      <c r="E558" s="188">
        <v>41496</v>
      </c>
      <c r="F558" s="186" t="s">
        <v>344</v>
      </c>
      <c r="G558" s="480" t="s">
        <v>505</v>
      </c>
      <c r="H558" s="7" t="s">
        <v>368</v>
      </c>
      <c r="I558" s="250"/>
      <c r="J558" s="250"/>
      <c r="K558" s="595">
        <v>390000</v>
      </c>
      <c r="L558" s="596" t="s">
        <v>9</v>
      </c>
      <c r="M558" s="5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IF(OR(TH!L558=TH!$U$7,M558=TH!$U$7),"x","")</f>
        <v/>
      </c>
      <c r="V558" s="52" t="str">
        <f>IF(AND(B558&gt;='IN-NX'!$P$3,B558&lt;='IN-NX'!$Q$3,'IN-NX'!$D$7=D558,OR(LEFT(L558,2)="15",AND(LEFT(M558,2)&lt;&gt;"15",LEFT(M558,2)&lt;&gt;"33"))),"x","")</f>
        <v/>
      </c>
      <c r="W558" s="52" t="str">
        <f>IF(AND(OR(LEFT(TH!L558,2)="15",LEFT(TH!M558,2)="15"),'152-CT'!$J$8=TH!F558),"x","")</f>
        <v/>
      </c>
      <c r="X558" s="52" t="str">
        <f>IF(AND(OR(LEFT(TH!L558,2)="15",LEFT(TH!M558,2)="15"),TK!$E$7=TH!F558),"x","")</f>
        <v/>
      </c>
      <c r="Y558" s="52" t="str">
        <f>IF(AND(B558&lt;=NKC!$N$8,B558&gt;=NKC!$M$8),"x","")</f>
        <v>x</v>
      </c>
      <c r="Z558" s="587" t="s">
        <v>1336</v>
      </c>
      <c r="AA558" s="208"/>
      <c r="AB558" s="208"/>
    </row>
    <row r="559" spans="1:28" s="587" customFormat="1" ht="15.75" customHeight="1">
      <c r="A559" s="201" t="str">
        <f>IF(B559&lt;&gt;"",IF(AND(B559&gt;=_TM1,B559&lt;=_TM2,OR(TH!L559="1111",TH!M559="1111")),TH!D559,""),"")</f>
        <v/>
      </c>
      <c r="B559" s="36">
        <f t="shared" si="23"/>
        <v>8</v>
      </c>
      <c r="C559" s="188">
        <f t="shared" si="24"/>
        <v>41496</v>
      </c>
      <c r="D559" s="181" t="s">
        <v>1035</v>
      </c>
      <c r="E559" s="188">
        <v>41496</v>
      </c>
      <c r="F559" s="189" t="s">
        <v>1103</v>
      </c>
      <c r="G559" s="189" t="s">
        <v>871</v>
      </c>
      <c r="H559" s="7" t="s">
        <v>427</v>
      </c>
      <c r="I559" s="249">
        <v>1990</v>
      </c>
      <c r="J559" s="249">
        <v>6250</v>
      </c>
      <c r="K559" s="38">
        <f>ROUND(I559*J559,0)</f>
        <v>12437500</v>
      </c>
      <c r="L559" s="191" t="s">
        <v>262</v>
      </c>
      <c r="M559" s="191" t="s">
        <v>172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IF(OR(TH!L559=TH!$U$7,M559=TH!$U$7),"x","")</f>
        <v/>
      </c>
      <c r="V559" s="52" t="str">
        <f>IF(AND(B559&gt;='IN-NX'!$P$3,B559&lt;='IN-NX'!$Q$3,'IN-NX'!$D$7=D559,OR(LEFT(L559,2)="15",AND(LEFT(M559,2)&lt;&gt;"15",LEFT(M559,2)&lt;&gt;"33"))),"x","")</f>
        <v/>
      </c>
      <c r="W559" s="52" t="str">
        <f>IF(AND(OR(LEFT(TH!L559,2)="15",LEFT(TH!M559,2)="15"),'152-CT'!$J$8=TH!F559),"x","")</f>
        <v/>
      </c>
      <c r="X559" s="52" t="str">
        <f>IF(AND(OR(LEFT(TH!L559,2)="15",LEFT(TH!M559,2)="15"),TK!$E$7=TH!F559),"x","")</f>
        <v/>
      </c>
      <c r="Y559" s="52" t="str">
        <f>IF(AND(B559&lt;=NKC!$N$8,B559&gt;=NKC!$M$8),"x","")</f>
        <v>x</v>
      </c>
      <c r="Z559" s="195"/>
      <c r="AB559" s="195"/>
    </row>
    <row r="560" spans="1:28" s="587" customFormat="1" ht="15.75" customHeight="1">
      <c r="A560" s="201" t="str">
        <f>IF(B560&lt;&gt;"",IF(AND(B560&gt;=_TM1,B560&lt;=_TM2,OR(TH!L560="1111",TH!M560="1111")),TH!D560,""),"")</f>
        <v/>
      </c>
      <c r="B560" s="36">
        <f t="shared" si="23"/>
        <v>8</v>
      </c>
      <c r="C560" s="188">
        <f t="shared" si="24"/>
        <v>41496</v>
      </c>
      <c r="D560" s="181" t="s">
        <v>1035</v>
      </c>
      <c r="E560" s="188">
        <v>41496</v>
      </c>
      <c r="F560" s="189" t="s">
        <v>693</v>
      </c>
      <c r="G560" s="189" t="s">
        <v>871</v>
      </c>
      <c r="H560" s="7" t="s">
        <v>427</v>
      </c>
      <c r="I560" s="249"/>
      <c r="J560" s="249"/>
      <c r="K560" s="38">
        <v>1243750</v>
      </c>
      <c r="L560" s="191" t="s">
        <v>262</v>
      </c>
      <c r="M560" s="191" t="s">
        <v>425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IF(OR(TH!L560=TH!$U$7,M560=TH!$U$7),"x","")</f>
        <v/>
      </c>
      <c r="V560" s="52" t="str">
        <f>IF(AND(B560&gt;='IN-NX'!$P$3,B560&lt;='IN-NX'!$Q$3,'IN-NX'!$D$7=D560,OR(LEFT(L560,2)="15",AND(LEFT(M560,2)&lt;&gt;"15",LEFT(M560,2)&lt;&gt;"33"))),"x","")</f>
        <v/>
      </c>
      <c r="W560" s="52" t="str">
        <f>IF(AND(OR(LEFT(TH!L560,2)="15",LEFT(TH!M560,2)="15"),'152-CT'!$J$8=TH!F560),"x","")</f>
        <v/>
      </c>
      <c r="X560" s="52" t="str">
        <f>IF(AND(OR(LEFT(TH!L560,2)="15",LEFT(TH!M560,2)="15"),TK!$E$7=TH!F560),"x","")</f>
        <v/>
      </c>
      <c r="Y560" s="52" t="str">
        <f>IF(AND(B560&lt;=NKC!$N$8,B560&gt;=NKC!$M$8),"x","")</f>
        <v>x</v>
      </c>
      <c r="Z560" s="195"/>
      <c r="AA560" s="587" t="str">
        <f>IF(VLOOKUP(H560,DS_131,1,0)&lt;&gt;"","","x")</f>
        <v/>
      </c>
      <c r="AB560" s="195"/>
    </row>
    <row r="561" spans="1:28" s="587" customFormat="1" ht="15.75" customHeight="1">
      <c r="A561" s="201" t="str">
        <f>IF(B561&lt;&gt;"",IF(AND(B561&gt;=_TM1,B561&lt;=_TM2,OR(TH!L561="1111",TH!M561="1111")),TH!D561,""),"")</f>
        <v/>
      </c>
      <c r="B561" s="36">
        <f t="shared" si="23"/>
        <v>8</v>
      </c>
      <c r="C561" s="188">
        <f t="shared" si="24"/>
        <v>41496</v>
      </c>
      <c r="D561" s="181" t="s">
        <v>1036</v>
      </c>
      <c r="E561" s="188">
        <v>41496</v>
      </c>
      <c r="F561" s="189" t="s">
        <v>872</v>
      </c>
      <c r="G561" s="189" t="s">
        <v>873</v>
      </c>
      <c r="H561" s="7" t="s">
        <v>874</v>
      </c>
      <c r="I561" s="249">
        <v>480</v>
      </c>
      <c r="J561" s="249">
        <v>6200</v>
      </c>
      <c r="K561" s="38">
        <f>ROUND(I561*J561,0)</f>
        <v>2976000</v>
      </c>
      <c r="L561" s="191" t="s">
        <v>262</v>
      </c>
      <c r="M561" s="191" t="s">
        <v>172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IF(OR(TH!L561=TH!$U$7,M561=TH!$U$7),"x","")</f>
        <v/>
      </c>
      <c r="V561" s="52" t="str">
        <f>IF(AND(B561&gt;='IN-NX'!$P$3,B561&lt;='IN-NX'!$Q$3,'IN-NX'!$D$7=D561,OR(LEFT(L561,2)="15",AND(LEFT(M561,2)&lt;&gt;"15",LEFT(M561,2)&lt;&gt;"33"))),"x","")</f>
        <v/>
      </c>
      <c r="W561" s="52" t="str">
        <f>IF(AND(OR(LEFT(TH!L561,2)="15",LEFT(TH!M561,2)="15"),'152-CT'!$J$8=TH!F561),"x","")</f>
        <v/>
      </c>
      <c r="X561" s="52" t="str">
        <f>IF(AND(OR(LEFT(TH!L561,2)="15",LEFT(TH!M561,2)="15"),TK!$E$7=TH!F561),"x","")</f>
        <v/>
      </c>
      <c r="Y561" s="52" t="str">
        <f>IF(AND(B561&lt;=NKC!$N$8,B561&gt;=NKC!$M$8),"x","")</f>
        <v>x</v>
      </c>
      <c r="Z561" s="195"/>
      <c r="AB561" s="195"/>
    </row>
    <row r="562" spans="1:28" s="587" customFormat="1" ht="15.75" customHeight="1">
      <c r="A562" s="201" t="str">
        <f>IF(B562&lt;&gt;"",IF(AND(B562&gt;=_TM1,B562&lt;=_TM2,OR(TH!L562="1111",TH!M562="1111")),TH!D562,""),"")</f>
        <v/>
      </c>
      <c r="B562" s="36">
        <f t="shared" si="23"/>
        <v>8</v>
      </c>
      <c r="C562" s="188">
        <f t="shared" si="24"/>
        <v>41496</v>
      </c>
      <c r="D562" s="181" t="s">
        <v>1036</v>
      </c>
      <c r="E562" s="188">
        <v>41496</v>
      </c>
      <c r="F562" s="189" t="s">
        <v>872</v>
      </c>
      <c r="G562" s="480" t="s">
        <v>873</v>
      </c>
      <c r="H562" s="190" t="s">
        <v>874</v>
      </c>
      <c r="I562" s="249">
        <v>440</v>
      </c>
      <c r="J562" s="249">
        <v>7080</v>
      </c>
      <c r="K562" s="38">
        <f>ROUND(I562*J562,0)</f>
        <v>3115200</v>
      </c>
      <c r="L562" s="191" t="s">
        <v>262</v>
      </c>
      <c r="M562" s="191" t="s">
        <v>172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IF(OR(TH!L562=TH!$U$7,M562=TH!$U$7),"x","")</f>
        <v/>
      </c>
      <c r="V562" s="52" t="str">
        <f>IF(AND(B562&gt;='IN-NX'!$P$3,B562&lt;='IN-NX'!$Q$3,'IN-NX'!$D$7=D562,OR(LEFT(L562,2)="15",AND(LEFT(M562,2)&lt;&gt;"15",LEFT(M562,2)&lt;&gt;"33"))),"x","")</f>
        <v/>
      </c>
      <c r="W562" s="52" t="str">
        <f>IF(AND(OR(LEFT(TH!L562,2)="15",LEFT(TH!M562,2)="15"),'152-CT'!$J$8=TH!F562),"x","")</f>
        <v/>
      </c>
      <c r="X562" s="52" t="str">
        <f>IF(AND(OR(LEFT(TH!L562,2)="15",LEFT(TH!M562,2)="15"),TK!$E$7=TH!F562),"x","")</f>
        <v/>
      </c>
      <c r="Y562" s="52" t="str">
        <f>IF(AND(B562&lt;=NKC!$N$8,B562&gt;=NKC!$M$8),"x","")</f>
        <v>x</v>
      </c>
      <c r="Z562" s="195"/>
      <c r="AB562" s="195"/>
    </row>
    <row r="563" spans="1:28" s="587" customFormat="1" ht="15.75" customHeight="1">
      <c r="A563" s="201" t="str">
        <f>IF(B563&lt;&gt;"",IF(AND(B563&gt;=_TM1,B563&lt;=_TM2,OR(TH!L563="1111",TH!M563="1111")),TH!D563,""),"")</f>
        <v/>
      </c>
      <c r="B563" s="36">
        <f t="shared" si="23"/>
        <v>8</v>
      </c>
      <c r="C563" s="188">
        <f t="shared" si="24"/>
        <v>41496</v>
      </c>
      <c r="D563" s="181" t="s">
        <v>1036</v>
      </c>
      <c r="E563" s="188">
        <v>41496</v>
      </c>
      <c r="F563" s="189" t="s">
        <v>693</v>
      </c>
      <c r="G563" s="480" t="s">
        <v>873</v>
      </c>
      <c r="H563" s="190" t="s">
        <v>874</v>
      </c>
      <c r="I563" s="249"/>
      <c r="J563" s="249"/>
      <c r="K563" s="38">
        <v>609120</v>
      </c>
      <c r="L563" s="191" t="s">
        <v>262</v>
      </c>
      <c r="M563" s="191" t="s">
        <v>425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IF(OR(TH!L563=TH!$U$7,M563=TH!$U$7),"x","")</f>
        <v/>
      </c>
      <c r="V563" s="52" t="str">
        <f>IF(AND(B563&gt;='IN-NX'!$P$3,B563&lt;='IN-NX'!$Q$3,'IN-NX'!$D$7=D563,OR(LEFT(L563,2)="15",AND(LEFT(M563,2)&lt;&gt;"15",LEFT(M563,2)&lt;&gt;"33"))),"x","")</f>
        <v/>
      </c>
      <c r="W563" s="52" t="str">
        <f>IF(AND(OR(LEFT(TH!L563,2)="15",LEFT(TH!M563,2)="15"),'152-CT'!$J$8=TH!F563),"x","")</f>
        <v/>
      </c>
      <c r="X563" s="52" t="str">
        <f>IF(AND(OR(LEFT(TH!L563,2)="15",LEFT(TH!M563,2)="15"),TK!$E$7=TH!F563),"x","")</f>
        <v/>
      </c>
      <c r="Y563" s="52" t="str">
        <f>IF(AND(B563&lt;=NKC!$N$8,B563&gt;=NKC!$M$8),"x","")</f>
        <v>x</v>
      </c>
      <c r="Z563" s="195"/>
      <c r="AA563" s="587" t="str">
        <f>IF(VLOOKUP(H563,DS_131,1,0)&lt;&gt;"","","x")</f>
        <v/>
      </c>
      <c r="AB563" s="195"/>
    </row>
    <row r="564" spans="1:28" s="587" customFormat="1" ht="15.75" customHeight="1">
      <c r="A564" s="201" t="str">
        <f>IF(B564&lt;&gt;"",IF(AND(B564&gt;=_TM1,B564&lt;=_TM2,OR(TH!L564="1111",TH!M564="1111")),TH!D564,""),"")</f>
        <v/>
      </c>
      <c r="B564" s="36">
        <f t="shared" si="23"/>
        <v>8</v>
      </c>
      <c r="C564" s="188">
        <f t="shared" si="24"/>
        <v>41496</v>
      </c>
      <c r="D564" s="181" t="s">
        <v>439</v>
      </c>
      <c r="E564" s="188">
        <v>41496</v>
      </c>
      <c r="F564" s="186" t="s">
        <v>337</v>
      </c>
      <c r="G564" s="480" t="s">
        <v>873</v>
      </c>
      <c r="H564" s="190" t="s">
        <v>874</v>
      </c>
      <c r="I564" s="249"/>
      <c r="J564" s="249"/>
      <c r="K564" s="38">
        <v>6700320</v>
      </c>
      <c r="L564" s="191" t="s">
        <v>47</v>
      </c>
      <c r="M564" s="191" t="s">
        <v>262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IF(OR(TH!L564=TH!$U$7,M564=TH!$U$7),"x","")</f>
        <v/>
      </c>
      <c r="V564" s="52" t="str">
        <f>IF(AND(B564&gt;='IN-NX'!$P$3,B564&lt;='IN-NX'!$Q$3,'IN-NX'!$D$7=D564,OR(LEFT(L564,2)="15",AND(LEFT(M564,2)&lt;&gt;"15",LEFT(M564,2)&lt;&gt;"33"))),"x","")</f>
        <v/>
      </c>
      <c r="W564" s="52" t="str">
        <f>IF(AND(OR(LEFT(TH!L564,2)="15",LEFT(TH!M564,2)="15"),'152-CT'!$J$8=TH!F564),"x","")</f>
        <v/>
      </c>
      <c r="X564" s="52" t="str">
        <f>IF(AND(OR(LEFT(TH!L564,2)="15",LEFT(TH!M564,2)="15"),TK!$E$7=TH!F564),"x","")</f>
        <v/>
      </c>
      <c r="Y564" s="52" t="str">
        <f>IF(AND(B564&lt;=NKC!$N$8,B564&gt;=NKC!$M$8),"x","")</f>
        <v>x</v>
      </c>
      <c r="Z564" s="195"/>
      <c r="AA564" s="587" t="str">
        <f>IF(VLOOKUP(H564,DS_131,1,0)&lt;&gt;"","","x")</f>
        <v/>
      </c>
      <c r="AB564" s="195"/>
    </row>
    <row r="565" spans="1:28" s="587" customFormat="1" ht="15.75" customHeight="1">
      <c r="A565" s="201" t="str">
        <f>IF(B565&lt;&gt;"",IF(AND(B565&gt;=_TM1,B565&lt;=_TM2,OR(TH!L565="1111",TH!M565="1111")),TH!D565,""),"")</f>
        <v/>
      </c>
      <c r="B565" s="36">
        <f t="shared" si="23"/>
        <v>8</v>
      </c>
      <c r="C565" s="181">
        <f t="shared" si="24"/>
        <v>41498</v>
      </c>
      <c r="D565" s="181" t="s">
        <v>335</v>
      </c>
      <c r="E565" s="181">
        <v>41498</v>
      </c>
      <c r="F565" s="186" t="s">
        <v>337</v>
      </c>
      <c r="G565" s="597" t="s">
        <v>332</v>
      </c>
      <c r="H565" s="7" t="s">
        <v>506</v>
      </c>
      <c r="I565" s="249"/>
      <c r="J565" s="249"/>
      <c r="K565" s="595">
        <v>13769635</v>
      </c>
      <c r="L565" s="596" t="s">
        <v>24</v>
      </c>
      <c r="M565" s="596" t="s">
        <v>262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52" t="str">
        <f>IF(OR(TH!L565=TH!$U$7,M565=TH!$U$7),"x","")</f>
        <v/>
      </c>
      <c r="V565" s="52" t="str">
        <f>IF(AND(B565&gt;='IN-NX'!$P$3,B565&lt;='IN-NX'!$Q$3,'IN-NX'!$D$7=D565,OR(LEFT(L565,2)="15",AND(LEFT(M565,2)&lt;&gt;"15",LEFT(M565,2)&lt;&gt;"33"))),"x","")</f>
        <v/>
      </c>
      <c r="W565" s="52" t="str">
        <f>IF(AND(OR(LEFT(TH!L565,2)="15",LEFT(TH!M565,2)="15"),'152-CT'!$J$8=TH!F565),"x","")</f>
        <v/>
      </c>
      <c r="X565" s="52" t="str">
        <f>IF(AND(OR(LEFT(TH!L565,2)="15",LEFT(TH!M565,2)="15"),TK!$E$7=TH!F565),"x","")</f>
        <v/>
      </c>
      <c r="Y565" s="52" t="str">
        <f>IF(AND(B565&lt;=NKC!$N$8,B565&gt;=NKC!$M$8),"x","")</f>
        <v>x</v>
      </c>
      <c r="AA565" s="208"/>
      <c r="AB565" s="208"/>
    </row>
    <row r="566" spans="1:28" s="587" customFormat="1" ht="15.75" customHeight="1">
      <c r="A566" s="201" t="str">
        <f>IF(B566&lt;&gt;"",IF(AND(B566&gt;=_TM1,B566&lt;=_TM2,OR(TH!L566="1111",TH!M566="1111")),TH!D566,""),"")</f>
        <v/>
      </c>
      <c r="B566" s="36">
        <f t="shared" si="23"/>
        <v>8</v>
      </c>
      <c r="C566" s="188">
        <f t="shared" si="24"/>
        <v>41498</v>
      </c>
      <c r="D566" s="181" t="s">
        <v>1037</v>
      </c>
      <c r="E566" s="188">
        <v>41498</v>
      </c>
      <c r="F566" s="189" t="s">
        <v>698</v>
      </c>
      <c r="G566" s="480" t="s">
        <v>875</v>
      </c>
      <c r="H566" s="190" t="s">
        <v>470</v>
      </c>
      <c r="I566" s="249">
        <v>1000</v>
      </c>
      <c r="J566" s="249">
        <v>8740</v>
      </c>
      <c r="K566" s="38">
        <f>ROUND(I566*J566,0)</f>
        <v>8740000</v>
      </c>
      <c r="L566" s="191" t="s">
        <v>262</v>
      </c>
      <c r="M566" s="191" t="s">
        <v>172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IF(OR(TH!L566=TH!$U$7,M566=TH!$U$7),"x","")</f>
        <v/>
      </c>
      <c r="V566" s="52" t="str">
        <f>IF(AND(B566&gt;='IN-NX'!$P$3,B566&lt;='IN-NX'!$Q$3,'IN-NX'!$D$7=D566,OR(LEFT(L566,2)="15",AND(LEFT(M566,2)&lt;&gt;"15",LEFT(M566,2)&lt;&gt;"33"))),"x","")</f>
        <v/>
      </c>
      <c r="W566" s="52" t="str">
        <f>IF(AND(OR(LEFT(TH!L566,2)="15",LEFT(TH!M566,2)="15"),'152-CT'!$J$8=TH!F566),"x","")</f>
        <v/>
      </c>
      <c r="X566" s="52" t="str">
        <f>IF(AND(OR(LEFT(TH!L566,2)="15",LEFT(TH!M566,2)="15"),TK!$E$7=TH!F566),"x","")</f>
        <v/>
      </c>
      <c r="Y566" s="52" t="str">
        <f>IF(AND(B566&lt;=NKC!$N$8,B566&gt;=NKC!$M$8),"x","")</f>
        <v>x</v>
      </c>
      <c r="Z566" s="195"/>
      <c r="AB566" s="195"/>
    </row>
    <row r="567" spans="1:28" s="587" customFormat="1" ht="15.75" customHeight="1">
      <c r="A567" s="201" t="str">
        <f>IF(B567&lt;&gt;"",IF(AND(B567&gt;=_TM1,B567&lt;=_TM2,OR(TH!L567="1111",TH!M567="1111")),TH!D567,""),"")</f>
        <v/>
      </c>
      <c r="B567" s="36">
        <f t="shared" si="23"/>
        <v>8</v>
      </c>
      <c r="C567" s="188">
        <f t="shared" si="24"/>
        <v>41498</v>
      </c>
      <c r="D567" s="181" t="s">
        <v>1037</v>
      </c>
      <c r="E567" s="188">
        <v>41498</v>
      </c>
      <c r="F567" s="189" t="s">
        <v>693</v>
      </c>
      <c r="G567" s="480" t="s">
        <v>875</v>
      </c>
      <c r="H567" s="190" t="s">
        <v>470</v>
      </c>
      <c r="I567" s="249"/>
      <c r="J567" s="249"/>
      <c r="K567" s="38">
        <v>874000</v>
      </c>
      <c r="L567" s="191" t="s">
        <v>262</v>
      </c>
      <c r="M567" s="191" t="s">
        <v>425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IF(OR(TH!L567=TH!$U$7,M567=TH!$U$7),"x","")</f>
        <v/>
      </c>
      <c r="V567" s="52" t="str">
        <f>IF(AND(B567&gt;='IN-NX'!$P$3,B567&lt;='IN-NX'!$Q$3,'IN-NX'!$D$7=D567,OR(LEFT(L567,2)="15",AND(LEFT(M567,2)&lt;&gt;"15",LEFT(M567,2)&lt;&gt;"33"))),"x","")</f>
        <v/>
      </c>
      <c r="W567" s="52" t="str">
        <f>IF(AND(OR(LEFT(TH!L567,2)="15",LEFT(TH!M567,2)="15"),'152-CT'!$J$8=TH!F567),"x","")</f>
        <v/>
      </c>
      <c r="X567" s="52" t="str">
        <f>IF(AND(OR(LEFT(TH!L567,2)="15",LEFT(TH!M567,2)="15"),TK!$E$7=TH!F567),"x","")</f>
        <v/>
      </c>
      <c r="Y567" s="52" t="str">
        <f>IF(AND(B567&lt;=NKC!$N$8,B567&gt;=NKC!$M$8),"x","")</f>
        <v>x</v>
      </c>
      <c r="Z567" s="195"/>
      <c r="AA567" s="587" t="str">
        <f>IF(VLOOKUP(H567,DS_131,1,0)&lt;&gt;"","","x")</f>
        <v/>
      </c>
      <c r="AB567" s="195"/>
    </row>
    <row r="568" spans="1:28" s="587" customFormat="1" ht="15.75" customHeight="1">
      <c r="A568" s="201" t="str">
        <f>IF(B568&lt;&gt;"",IF(AND(B568&gt;=_TM1,B568&lt;=_TM2,OR(TH!L568="1111",TH!M568="1111")),TH!D568,""),"")</f>
        <v/>
      </c>
      <c r="B568" s="36">
        <f t="shared" si="23"/>
        <v>8</v>
      </c>
      <c r="C568" s="188">
        <f t="shared" si="24"/>
        <v>41499</v>
      </c>
      <c r="D568" s="181" t="s">
        <v>1038</v>
      </c>
      <c r="E568" s="188">
        <v>41499</v>
      </c>
      <c r="F568" s="189" t="s">
        <v>781</v>
      </c>
      <c r="G568" s="480" t="s">
        <v>876</v>
      </c>
      <c r="H568" s="7" t="s">
        <v>510</v>
      </c>
      <c r="I568" s="249">
        <v>200</v>
      </c>
      <c r="J568" s="249">
        <v>9800</v>
      </c>
      <c r="K568" s="38">
        <f>ROUND(I568*J568,0)</f>
        <v>1960000</v>
      </c>
      <c r="L568" s="191" t="s">
        <v>262</v>
      </c>
      <c r="M568" s="191" t="s">
        <v>172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IF(OR(TH!L568=TH!$U$7,M568=TH!$U$7),"x","")</f>
        <v/>
      </c>
      <c r="V568" s="52" t="str">
        <f>IF(AND(B568&gt;='IN-NX'!$P$3,B568&lt;='IN-NX'!$Q$3,'IN-NX'!$D$7=D568,OR(LEFT(L568,2)="15",AND(LEFT(M568,2)&lt;&gt;"15",LEFT(M568,2)&lt;&gt;"33"))),"x","")</f>
        <v/>
      </c>
      <c r="W568" s="52" t="str">
        <f>IF(AND(OR(LEFT(TH!L568,2)="15",LEFT(TH!M568,2)="15"),'152-CT'!$J$8=TH!F568),"x","")</f>
        <v/>
      </c>
      <c r="X568" s="52" t="str">
        <f>IF(AND(OR(LEFT(TH!L568,2)="15",LEFT(TH!M568,2)="15"),TK!$E$7=TH!F568),"x","")</f>
        <v/>
      </c>
      <c r="Y568" s="52" t="str">
        <f>IF(AND(B568&lt;=NKC!$N$8,B568&gt;=NKC!$M$8),"x","")</f>
        <v>x</v>
      </c>
    </row>
    <row r="569" spans="1:28" s="587" customFormat="1" ht="15.75" customHeight="1">
      <c r="A569" s="201" t="str">
        <f>IF(B569&lt;&gt;"",IF(AND(B569&gt;=_TM1,B569&lt;=_TM2,OR(TH!L569="1111",TH!M569="1111")),TH!D569,""),"")</f>
        <v/>
      </c>
      <c r="B569" s="36">
        <f t="shared" si="23"/>
        <v>8</v>
      </c>
      <c r="C569" s="188">
        <f t="shared" si="24"/>
        <v>41499</v>
      </c>
      <c r="D569" s="181" t="s">
        <v>1038</v>
      </c>
      <c r="E569" s="188">
        <v>41499</v>
      </c>
      <c r="F569" s="189" t="s">
        <v>1100</v>
      </c>
      <c r="G569" s="480" t="s">
        <v>876</v>
      </c>
      <c r="H569" s="7" t="s">
        <v>510</v>
      </c>
      <c r="I569" s="249">
        <v>250</v>
      </c>
      <c r="J569" s="249">
        <v>12900</v>
      </c>
      <c r="K569" s="38">
        <f>ROUND(I569*J569,0)</f>
        <v>3225000</v>
      </c>
      <c r="L569" s="191" t="s">
        <v>262</v>
      </c>
      <c r="M569" s="191" t="s">
        <v>172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IF(OR(TH!L569=TH!$U$7,M569=TH!$U$7),"x","")</f>
        <v/>
      </c>
      <c r="V569" s="52" t="str">
        <f>IF(AND(B569&gt;='IN-NX'!$P$3,B569&lt;='IN-NX'!$Q$3,'IN-NX'!$D$7=D569,OR(LEFT(L569,2)="15",AND(LEFT(M569,2)&lt;&gt;"15",LEFT(M569,2)&lt;&gt;"33"))),"x","")</f>
        <v/>
      </c>
      <c r="W569" s="52" t="str">
        <f>IF(AND(OR(LEFT(TH!L569,2)="15",LEFT(TH!M569,2)="15"),'152-CT'!$J$8=TH!F569),"x","")</f>
        <v/>
      </c>
      <c r="X569" s="52" t="str">
        <f>IF(AND(OR(LEFT(TH!L569,2)="15",LEFT(TH!M569,2)="15"),TK!$E$7=TH!F569),"x","")</f>
        <v/>
      </c>
      <c r="Y569" s="52" t="str">
        <f>IF(AND(B569&lt;=NKC!$N$8,B569&gt;=NKC!$M$8),"x","")</f>
        <v>x</v>
      </c>
      <c r="AB569" s="208"/>
    </row>
    <row r="570" spans="1:28" s="587" customFormat="1" ht="15.75" customHeight="1">
      <c r="A570" s="201" t="str">
        <f>IF(B570&lt;&gt;"",IF(AND(B570&gt;=_TM1,B570&lt;=_TM2,OR(TH!L570="1111",TH!M570="1111")),TH!D570,""),"")</f>
        <v/>
      </c>
      <c r="B570" s="36">
        <f t="shared" si="23"/>
        <v>8</v>
      </c>
      <c r="C570" s="188">
        <f t="shared" si="24"/>
        <v>41499</v>
      </c>
      <c r="D570" s="181" t="s">
        <v>1038</v>
      </c>
      <c r="E570" s="188">
        <v>41499</v>
      </c>
      <c r="F570" s="189" t="s">
        <v>852</v>
      </c>
      <c r="G570" s="480" t="s">
        <v>876</v>
      </c>
      <c r="H570" s="7" t="s">
        <v>510</v>
      </c>
      <c r="I570" s="249">
        <v>505</v>
      </c>
      <c r="J570" s="249">
        <v>8600</v>
      </c>
      <c r="K570" s="38">
        <f>ROUND(I570*J570,0)</f>
        <v>4343000</v>
      </c>
      <c r="L570" s="191" t="s">
        <v>262</v>
      </c>
      <c r="M570" s="191" t="s">
        <v>172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IF(OR(TH!L570=TH!$U$7,M570=TH!$U$7),"x","")</f>
        <v/>
      </c>
      <c r="V570" s="52" t="str">
        <f>IF(AND(B570&gt;='IN-NX'!$P$3,B570&lt;='IN-NX'!$Q$3,'IN-NX'!$D$7=D570,OR(LEFT(L570,2)="15",AND(LEFT(M570,2)&lt;&gt;"15",LEFT(M570,2)&lt;&gt;"33"))),"x","")</f>
        <v/>
      </c>
      <c r="W570" s="52" t="str">
        <f>IF(AND(OR(LEFT(TH!L570,2)="15",LEFT(TH!M570,2)="15"),'152-CT'!$J$8=TH!F570),"x","")</f>
        <v/>
      </c>
      <c r="X570" s="52" t="str">
        <f>IF(AND(OR(LEFT(TH!L570,2)="15",LEFT(TH!M570,2)="15"),TK!$E$7=TH!F570),"x","")</f>
        <v/>
      </c>
      <c r="Y570" s="52" t="str">
        <f>IF(AND(B570&lt;=NKC!$N$8,B570&gt;=NKC!$M$8),"x","")</f>
        <v>x</v>
      </c>
      <c r="Z570" s="208"/>
      <c r="AB570" s="208"/>
    </row>
    <row r="571" spans="1:28" s="587" customFormat="1" ht="15.75" customHeight="1">
      <c r="A571" s="201" t="str">
        <f>IF(B571&lt;&gt;"",IF(AND(B571&gt;=_TM1,B571&lt;=_TM2,OR(TH!L571="1111",TH!M571="1111")),TH!D571,""),"")</f>
        <v/>
      </c>
      <c r="B571" s="36">
        <f t="shared" si="23"/>
        <v>8</v>
      </c>
      <c r="C571" s="188">
        <f t="shared" si="24"/>
        <v>41499</v>
      </c>
      <c r="D571" s="181" t="s">
        <v>1038</v>
      </c>
      <c r="E571" s="188">
        <v>41499</v>
      </c>
      <c r="F571" s="189" t="s">
        <v>693</v>
      </c>
      <c r="G571" s="480" t="s">
        <v>876</v>
      </c>
      <c r="H571" s="7" t="s">
        <v>510</v>
      </c>
      <c r="I571" s="249"/>
      <c r="J571" s="249"/>
      <c r="K571" s="38">
        <v>952800</v>
      </c>
      <c r="L571" s="191" t="s">
        <v>262</v>
      </c>
      <c r="M571" s="191" t="s">
        <v>425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IF(OR(TH!L571=TH!$U$7,M571=TH!$U$7),"x","")</f>
        <v/>
      </c>
      <c r="V571" s="52" t="str">
        <f>IF(AND(B571&gt;='IN-NX'!$P$3,B571&lt;='IN-NX'!$Q$3,'IN-NX'!$D$7=D571,OR(LEFT(L571,2)="15",AND(LEFT(M571,2)&lt;&gt;"15",LEFT(M571,2)&lt;&gt;"33"))),"x","")</f>
        <v/>
      </c>
      <c r="W571" s="52" t="str">
        <f>IF(AND(OR(LEFT(TH!L571,2)="15",LEFT(TH!M571,2)="15"),'152-CT'!$J$8=TH!F571),"x","")</f>
        <v/>
      </c>
      <c r="X571" s="52" t="str">
        <f>IF(AND(OR(LEFT(TH!L571,2)="15",LEFT(TH!M571,2)="15"),TK!$E$7=TH!F571),"x","")</f>
        <v/>
      </c>
      <c r="Y571" s="52" t="str">
        <f>IF(AND(B571&lt;=NKC!$N$8,B571&gt;=NKC!$M$8),"x","")</f>
        <v>x</v>
      </c>
      <c r="Z571" s="208"/>
      <c r="AA571" s="587" t="str">
        <f>IF(VLOOKUP(H571,DS_131,1,0)&lt;&gt;"","","x")</f>
        <v/>
      </c>
      <c r="AB571" s="208"/>
    </row>
    <row r="572" spans="1:28" s="587" customFormat="1" ht="15.75" customHeight="1">
      <c r="A572" s="201" t="str">
        <f>IF(B572&lt;&gt;"",IF(AND(B572&gt;=_TM1,B572&lt;=_TM2,OR(TH!L572="1111",TH!M572="1111")),TH!D572,""),"")</f>
        <v/>
      </c>
      <c r="B572" s="36">
        <f t="shared" si="23"/>
        <v>8</v>
      </c>
      <c r="C572" s="181">
        <f t="shared" si="24"/>
        <v>41500</v>
      </c>
      <c r="D572" s="181" t="s">
        <v>335</v>
      </c>
      <c r="E572" s="188">
        <v>41500</v>
      </c>
      <c r="F572" s="186" t="s">
        <v>337</v>
      </c>
      <c r="G572" s="597" t="s">
        <v>332</v>
      </c>
      <c r="H572" s="7" t="s">
        <v>506</v>
      </c>
      <c r="I572" s="250"/>
      <c r="J572" s="251"/>
      <c r="K572" s="38">
        <v>13730475</v>
      </c>
      <c r="L572" s="596" t="s">
        <v>24</v>
      </c>
      <c r="M572" s="596" t="s">
        <v>262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52" t="str">
        <f>IF(OR(TH!L572=TH!$U$7,M572=TH!$U$7),"x","")</f>
        <v/>
      </c>
      <c r="V572" s="52" t="str">
        <f>IF(AND(B572&gt;='IN-NX'!$P$3,B572&lt;='IN-NX'!$Q$3,'IN-NX'!$D$7=D572,OR(LEFT(L572,2)="15",AND(LEFT(M572,2)&lt;&gt;"15",LEFT(M572,2)&lt;&gt;"33"))),"x","")</f>
        <v/>
      </c>
      <c r="W572" s="52" t="str">
        <f>IF(AND(OR(LEFT(TH!L572,2)="15",LEFT(TH!M572,2)="15"),'152-CT'!$J$8=TH!F572),"x","")</f>
        <v/>
      </c>
      <c r="X572" s="52" t="str">
        <f>IF(AND(OR(LEFT(TH!L572,2)="15",LEFT(TH!M572,2)="15"),TK!$E$7=TH!F572),"x","")</f>
        <v/>
      </c>
      <c r="Y572" s="52" t="str">
        <f>IF(AND(B572&lt;=NKC!$N$8,B572&gt;=NKC!$M$8),"x","")</f>
        <v>x</v>
      </c>
      <c r="AA572" s="208"/>
      <c r="AB572" s="208"/>
    </row>
    <row r="573" spans="1:28" s="587" customFormat="1" ht="15.75" customHeight="1">
      <c r="A573" s="201" t="str">
        <f>IF(B573&lt;&gt;"",IF(AND(B573&gt;=_TM1,B573&lt;=_TM2,OR(TH!L573="1111",TH!M573="1111")),TH!D573,""),"")</f>
        <v/>
      </c>
      <c r="B573" s="36">
        <f t="shared" ref="B573:B636" si="25">IF(C573&lt;&gt;"",MONTH(C573),"")</f>
        <v>8</v>
      </c>
      <c r="C573" s="181">
        <f t="shared" si="24"/>
        <v>41500</v>
      </c>
      <c r="D573" s="181" t="s">
        <v>335</v>
      </c>
      <c r="E573" s="181">
        <v>41500</v>
      </c>
      <c r="F573" s="186" t="s">
        <v>337</v>
      </c>
      <c r="G573" s="597" t="s">
        <v>332</v>
      </c>
      <c r="H573" s="7" t="s">
        <v>470</v>
      </c>
      <c r="I573" s="249"/>
      <c r="J573" s="249"/>
      <c r="K573" s="38">
        <v>9614000</v>
      </c>
      <c r="L573" s="596" t="s">
        <v>24</v>
      </c>
      <c r="M573" s="596" t="s">
        <v>262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>x</v>
      </c>
      <c r="T573" s="52" t="str">
        <f>IF(ISERROR(FIND('112'!$M$9,G573,1)),"",IF((AND(RIGHT(G573,2)=RIGHT('112'!$M$9,2),B573&lt;'112'!$N$8,$M573='112'!$I$6)),"x",""))</f>
        <v/>
      </c>
      <c r="U573" s="52" t="str">
        <f>IF(OR(TH!L573=TH!$U$7,M573=TH!$U$7),"x","")</f>
        <v/>
      </c>
      <c r="V573" s="52" t="str">
        <f>IF(AND(B573&gt;='IN-NX'!$P$3,B573&lt;='IN-NX'!$Q$3,'IN-NX'!$D$7=D573,OR(LEFT(L573,2)="15",AND(LEFT(M573,2)&lt;&gt;"15",LEFT(M573,2)&lt;&gt;"33"))),"x","")</f>
        <v/>
      </c>
      <c r="W573" s="52" t="str">
        <f>IF(AND(OR(LEFT(TH!L573,2)="15",LEFT(TH!M573,2)="15"),'152-CT'!$J$8=TH!F573),"x","")</f>
        <v/>
      </c>
      <c r="X573" s="52" t="str">
        <f>IF(AND(OR(LEFT(TH!L573,2)="15",LEFT(TH!M573,2)="15"),TK!$E$7=TH!F573),"x","")</f>
        <v/>
      </c>
      <c r="Y573" s="52" t="str">
        <f>IF(AND(B573&lt;=NKC!$N$8,B573&gt;=NKC!$M$8),"x","")</f>
        <v>x</v>
      </c>
    </row>
    <row r="574" spans="1:28" s="587" customFormat="1" ht="15.75" customHeight="1">
      <c r="A574" s="201" t="str">
        <f>IF(B574&lt;&gt;"",IF(AND(B574&gt;=_TM1,B574&lt;=_TM2,OR(TH!L574="1111",TH!M574="1111")),TH!D574,""),"")</f>
        <v/>
      </c>
      <c r="B574" s="36">
        <f t="shared" si="25"/>
        <v>8</v>
      </c>
      <c r="C574" s="188">
        <f t="shared" si="24"/>
        <v>41500</v>
      </c>
      <c r="D574" s="181" t="s">
        <v>1039</v>
      </c>
      <c r="E574" s="188">
        <v>41500</v>
      </c>
      <c r="F574" s="189" t="s">
        <v>877</v>
      </c>
      <c r="G574" s="480" t="s">
        <v>878</v>
      </c>
      <c r="H574" s="7" t="s">
        <v>832</v>
      </c>
      <c r="I574" s="249">
        <v>85</v>
      </c>
      <c r="J574" s="249">
        <v>9700</v>
      </c>
      <c r="K574" s="38">
        <f>ROUND(I574*J574,0)</f>
        <v>824500</v>
      </c>
      <c r="L574" s="191" t="s">
        <v>262</v>
      </c>
      <c r="M574" s="191" t="s">
        <v>172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IF(OR(TH!L574=TH!$U$7,M574=TH!$U$7),"x","")</f>
        <v/>
      </c>
      <c r="V574" s="52" t="str">
        <f>IF(AND(B574&gt;='IN-NX'!$P$3,B574&lt;='IN-NX'!$Q$3,'IN-NX'!$D$7=D574,OR(LEFT(L574,2)="15",AND(LEFT(M574,2)&lt;&gt;"15",LEFT(M574,2)&lt;&gt;"33"))),"x","")</f>
        <v/>
      </c>
      <c r="W574" s="52" t="str">
        <f>IF(AND(OR(LEFT(TH!L574,2)="15",LEFT(TH!M574,2)="15"),'152-CT'!$J$8=TH!F574),"x","")</f>
        <v/>
      </c>
      <c r="X574" s="52" t="str">
        <f>IF(AND(OR(LEFT(TH!L574,2)="15",LEFT(TH!M574,2)="15"),TK!$E$7=TH!F574),"x","")</f>
        <v/>
      </c>
      <c r="Y574" s="52" t="str">
        <f>IF(AND(B574&lt;=NKC!$N$8,B574&gt;=NKC!$M$8),"x","")</f>
        <v>x</v>
      </c>
      <c r="Z574" s="208"/>
      <c r="AB574" s="208"/>
    </row>
    <row r="575" spans="1:28" s="587" customFormat="1" ht="15.75" customHeight="1">
      <c r="A575" s="201" t="str">
        <f>IF(B575&lt;&gt;"",IF(AND(B575&gt;=_TM1,B575&lt;=_TM2,OR(TH!L575="1111",TH!M575="1111")),TH!D575,""),"")</f>
        <v/>
      </c>
      <c r="B575" s="36">
        <f t="shared" si="25"/>
        <v>8</v>
      </c>
      <c r="C575" s="188">
        <f t="shared" si="24"/>
        <v>41500</v>
      </c>
      <c r="D575" s="181" t="s">
        <v>1039</v>
      </c>
      <c r="E575" s="188">
        <v>41500</v>
      </c>
      <c r="F575" s="189" t="s">
        <v>693</v>
      </c>
      <c r="G575" s="480" t="s">
        <v>878</v>
      </c>
      <c r="H575" s="7" t="s">
        <v>832</v>
      </c>
      <c r="I575" s="249"/>
      <c r="J575" s="249"/>
      <c r="K575" s="38">
        <v>82450</v>
      </c>
      <c r="L575" s="191" t="s">
        <v>262</v>
      </c>
      <c r="M575" s="191" t="s">
        <v>425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IF(OR(TH!L575=TH!$U$7,M575=TH!$U$7),"x","")</f>
        <v/>
      </c>
      <c r="V575" s="52" t="str">
        <f>IF(AND(B575&gt;='IN-NX'!$P$3,B575&lt;='IN-NX'!$Q$3,'IN-NX'!$D$7=D575,OR(LEFT(L575,2)="15",AND(LEFT(M575,2)&lt;&gt;"15",LEFT(M575,2)&lt;&gt;"33"))),"x","")</f>
        <v/>
      </c>
      <c r="W575" s="52" t="str">
        <f>IF(AND(OR(LEFT(TH!L575,2)="15",LEFT(TH!M575,2)="15"),'152-CT'!$J$8=TH!F575),"x","")</f>
        <v/>
      </c>
      <c r="X575" s="52" t="str">
        <f>IF(AND(OR(LEFT(TH!L575,2)="15",LEFT(TH!M575,2)="15"),TK!$E$7=TH!F575),"x","")</f>
        <v/>
      </c>
      <c r="Y575" s="52" t="str">
        <f>IF(AND(B575&lt;=NKC!$N$8,B575&gt;=NKC!$M$8),"x","")</f>
        <v>x</v>
      </c>
      <c r="Z575" s="208"/>
      <c r="AA575" s="587" t="str">
        <f>IF(VLOOKUP(H575,DS_131,1,0)&lt;&gt;"","","x")</f>
        <v/>
      </c>
      <c r="AB575" s="208"/>
    </row>
    <row r="576" spans="1:28" s="587" customFormat="1" ht="15.75" customHeight="1">
      <c r="A576" s="201" t="str">
        <f>IF(B576&lt;&gt;"",IF(AND(B576&gt;=_TM1,B576&lt;=_TM2,OR(TH!L576="1111",TH!M576="1111")),TH!D576,""),"")</f>
        <v/>
      </c>
      <c r="B576" s="36">
        <f t="shared" si="25"/>
        <v>8</v>
      </c>
      <c r="C576" s="181">
        <f t="shared" si="24"/>
        <v>41501</v>
      </c>
      <c r="D576" s="181" t="s">
        <v>335</v>
      </c>
      <c r="E576" s="188">
        <v>41501</v>
      </c>
      <c r="F576" s="186" t="s">
        <v>337</v>
      </c>
      <c r="G576" s="597" t="s">
        <v>332</v>
      </c>
      <c r="H576" s="7" t="s">
        <v>468</v>
      </c>
      <c r="I576" s="250"/>
      <c r="J576" s="251"/>
      <c r="K576" s="38">
        <v>14048210</v>
      </c>
      <c r="L576" s="596" t="s">
        <v>24</v>
      </c>
      <c r="M576" s="596" t="s">
        <v>262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52" t="str">
        <f>IF(OR(TH!L576=TH!$U$7,M576=TH!$U$7),"x","")</f>
        <v/>
      </c>
      <c r="V576" s="52" t="str">
        <f>IF(AND(B576&gt;='IN-NX'!$P$3,B576&lt;='IN-NX'!$Q$3,'IN-NX'!$D$7=D576,OR(LEFT(L576,2)="15",AND(LEFT(M576,2)&lt;&gt;"15",LEFT(M576,2)&lt;&gt;"33"))),"x","")</f>
        <v/>
      </c>
      <c r="W576" s="52" t="str">
        <f>IF(AND(OR(LEFT(TH!L576,2)="15",LEFT(TH!M576,2)="15"),'152-CT'!$J$8=TH!F576),"x","")</f>
        <v/>
      </c>
      <c r="X576" s="52" t="str">
        <f>IF(AND(OR(LEFT(TH!L576,2)="15",LEFT(TH!M576,2)="15"),TK!$E$7=TH!F576),"x","")</f>
        <v/>
      </c>
      <c r="Y576" s="52" t="str">
        <f>IF(AND(B576&lt;=NKC!$N$8,B576&gt;=NKC!$M$8),"x","")</f>
        <v>x</v>
      </c>
    </row>
    <row r="577" spans="1:28" s="587" customFormat="1" ht="15.75" customHeight="1">
      <c r="A577" s="201" t="str">
        <f>IF(B577&lt;&gt;"",IF(AND(B577&gt;=_TM1,B577&lt;=_TM2,OR(TH!L577="1111",TH!M577="1111")),TH!D577,""),"")</f>
        <v/>
      </c>
      <c r="B577" s="36">
        <f t="shared" ref="B577" si="26">IF(C577&lt;&gt;"",MONTH(C577),"")</f>
        <v>8</v>
      </c>
      <c r="C577" s="181">
        <f t="shared" ref="C577" si="27">E577</f>
        <v>41501</v>
      </c>
      <c r="D577" s="181" t="s">
        <v>335</v>
      </c>
      <c r="E577" s="188">
        <v>41501</v>
      </c>
      <c r="F577" s="186" t="s">
        <v>1300</v>
      </c>
      <c r="G577" s="597"/>
      <c r="H577" s="7" t="s">
        <v>468</v>
      </c>
      <c r="I577" s="250"/>
      <c r="J577" s="251"/>
      <c r="K577" s="38">
        <v>17</v>
      </c>
      <c r="L577" s="596" t="s">
        <v>83</v>
      </c>
      <c r="M577" s="596" t="s">
        <v>262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IF(OR(TH!L577=TH!$U$7,M577=TH!$U$7),"x","")</f>
        <v>x</v>
      </c>
      <c r="V577" s="52" t="str">
        <f>IF(AND(B577&gt;='IN-NX'!$P$3,B577&lt;='IN-NX'!$Q$3,'IN-NX'!$D$7=D577,OR(LEFT(L577,2)="15",AND(LEFT(M577,2)&lt;&gt;"15",LEFT(M577,2)&lt;&gt;"33"))),"x","")</f>
        <v/>
      </c>
      <c r="W577" s="52" t="str">
        <f>IF(AND(OR(LEFT(TH!L577,2)="15",LEFT(TH!M577,2)="15"),'152-CT'!$J$8=TH!F577),"x","")</f>
        <v/>
      </c>
      <c r="X577" s="52" t="str">
        <f>IF(AND(OR(LEFT(TH!L577,2)="15",LEFT(TH!M577,2)="15"),TK!$E$7=TH!F577),"x","")</f>
        <v/>
      </c>
      <c r="Y577" s="52" t="str">
        <f>IF(AND(B577&lt;=NKC!$N$8,B577&gt;=NKC!$M$8),"x","")</f>
        <v>x</v>
      </c>
    </row>
    <row r="578" spans="1:28" s="587" customFormat="1" ht="15.75" customHeight="1">
      <c r="A578" s="201" t="str">
        <f>IF(B578&lt;&gt;"",IF(AND(B578&gt;=_TM1,B578&lt;=_TM2,OR(TH!L578="1111",TH!M578="1111")),TH!D578,""),"")</f>
        <v/>
      </c>
      <c r="B578" s="36">
        <f t="shared" si="25"/>
        <v>8</v>
      </c>
      <c r="C578" s="181">
        <f t="shared" ref="C578:C640" si="28">E578</f>
        <v>41502</v>
      </c>
      <c r="D578" s="181" t="s">
        <v>449</v>
      </c>
      <c r="E578" s="188">
        <v>41502</v>
      </c>
      <c r="F578" s="186" t="s">
        <v>469</v>
      </c>
      <c r="G578" s="597" t="s">
        <v>332</v>
      </c>
      <c r="H578" s="7" t="s">
        <v>364</v>
      </c>
      <c r="I578" s="249"/>
      <c r="J578" s="251"/>
      <c r="K578" s="38">
        <v>35600000</v>
      </c>
      <c r="L578" s="596" t="s">
        <v>47</v>
      </c>
      <c r="M578" s="596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52" t="str">
        <f>IF(OR(TH!L578=TH!$U$7,M578=TH!$U$7),"x","")</f>
        <v/>
      </c>
      <c r="V578" s="52" t="str">
        <f>IF(AND(B578&gt;='IN-NX'!$P$3,B578&lt;='IN-NX'!$Q$3,'IN-NX'!$D$7=D578,OR(LEFT(L578,2)="15",AND(LEFT(M578,2)&lt;&gt;"15",LEFT(M578,2)&lt;&gt;"33"))),"x","")</f>
        <v/>
      </c>
      <c r="W578" s="52" t="str">
        <f>IF(AND(OR(LEFT(TH!L578,2)="15",LEFT(TH!M578,2)="15"),'152-CT'!$J$8=TH!F578),"x","")</f>
        <v/>
      </c>
      <c r="X578" s="52" t="str">
        <f>IF(AND(OR(LEFT(TH!L578,2)="15",LEFT(TH!M578,2)="15"),TK!$E$7=TH!F578),"x","")</f>
        <v/>
      </c>
      <c r="Y578" s="52" t="str">
        <f>IF(AND(B578&lt;=NKC!$N$8,B578&gt;=NKC!$M$8),"x","")</f>
        <v>x</v>
      </c>
    </row>
    <row r="579" spans="1:28" s="587" customFormat="1" ht="15.75" customHeight="1">
      <c r="A579" s="201" t="str">
        <f>IF(B579&lt;&gt;"",IF(AND(B579&gt;=_TM1,B579&lt;=_TM2,OR(TH!L579="1111",TH!M579="1111")),TH!D579,""),"")</f>
        <v/>
      </c>
      <c r="B579" s="36">
        <f t="shared" si="25"/>
        <v>8</v>
      </c>
      <c r="C579" s="181">
        <f t="shared" si="28"/>
        <v>41502</v>
      </c>
      <c r="D579" s="181" t="s">
        <v>336</v>
      </c>
      <c r="E579" s="188">
        <v>41502</v>
      </c>
      <c r="F579" s="186" t="s">
        <v>367</v>
      </c>
      <c r="G579" s="597" t="s">
        <v>332</v>
      </c>
      <c r="H579" s="190" t="s">
        <v>1080</v>
      </c>
      <c r="I579" s="249"/>
      <c r="J579" s="251"/>
      <c r="K579" s="595">
        <v>15500000</v>
      </c>
      <c r="L579" s="596" t="s">
        <v>8</v>
      </c>
      <c r="M579" s="596" t="s">
        <v>24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>x</v>
      </c>
      <c r="U579" s="52" t="str">
        <f>IF(OR(TH!L579=TH!$U$7,M579=TH!$U$7),"x","")</f>
        <v/>
      </c>
      <c r="V579" s="52" t="str">
        <f>IF(AND(B579&gt;='IN-NX'!$P$3,B579&lt;='IN-NX'!$Q$3,'IN-NX'!$D$7=D579,OR(LEFT(L579,2)="15",AND(LEFT(M579,2)&lt;&gt;"15",LEFT(M579,2)&lt;&gt;"33"))),"x","")</f>
        <v/>
      </c>
      <c r="W579" s="52" t="str">
        <f>IF(AND(OR(LEFT(TH!L579,2)="15",LEFT(TH!M579,2)="15"),'152-CT'!$J$8=TH!F579),"x","")</f>
        <v/>
      </c>
      <c r="X579" s="52" t="str">
        <f>IF(AND(OR(LEFT(TH!L579,2)="15",LEFT(TH!M579,2)="15"),TK!$E$7=TH!F579),"x","")</f>
        <v/>
      </c>
      <c r="Y579" s="52" t="str">
        <f>IF(AND(B579&lt;=NKC!$N$8,B579&gt;=NKC!$M$8),"x","")</f>
        <v>x</v>
      </c>
      <c r="AA579" s="208"/>
      <c r="AB579" s="208"/>
    </row>
    <row r="580" spans="1:28" s="587" customFormat="1" ht="15.75" customHeight="1">
      <c r="A580" s="201" t="str">
        <f>IF(B580&lt;&gt;"",IF(AND(B580&gt;=_TM1,B580&lt;=_TM2,OR(TH!L580="1111",TH!M580="1111")),TH!D580,""),"")</f>
        <v/>
      </c>
      <c r="B580" s="36">
        <f t="shared" si="25"/>
        <v>8</v>
      </c>
      <c r="C580" s="181">
        <f t="shared" si="28"/>
        <v>41502</v>
      </c>
      <c r="D580" s="181" t="s">
        <v>336</v>
      </c>
      <c r="E580" s="188">
        <v>41502</v>
      </c>
      <c r="F580" s="186" t="s">
        <v>338</v>
      </c>
      <c r="G580" s="597" t="s">
        <v>332</v>
      </c>
      <c r="H580" s="7"/>
      <c r="I580" s="249"/>
      <c r="J580" s="251"/>
      <c r="K580" s="595">
        <v>15000</v>
      </c>
      <c r="L580" s="596" t="s">
        <v>83</v>
      </c>
      <c r="M580" s="596" t="s">
        <v>24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>x</v>
      </c>
      <c r="U580" s="52" t="str">
        <f>IF(OR(TH!L580=TH!$U$7,M580=TH!$U$7),"x","")</f>
        <v>x</v>
      </c>
      <c r="V580" s="52" t="str">
        <f>IF(AND(B580&gt;='IN-NX'!$P$3,B580&lt;='IN-NX'!$Q$3,'IN-NX'!$D$7=D580,OR(LEFT(L580,2)="15",AND(LEFT(M580,2)&lt;&gt;"15",LEFT(M580,2)&lt;&gt;"33"))),"x","")</f>
        <v/>
      </c>
      <c r="W580" s="52" t="str">
        <f>IF(AND(OR(LEFT(TH!L580,2)="15",LEFT(TH!M580,2)="15"),'152-CT'!$J$8=TH!F580),"x","")</f>
        <v/>
      </c>
      <c r="X580" s="52" t="str">
        <f>IF(AND(OR(LEFT(TH!L580,2)="15",LEFT(TH!M580,2)="15"),TK!$E$7=TH!F580),"x","")</f>
        <v/>
      </c>
      <c r="Y580" s="52" t="str">
        <f>IF(AND(B580&lt;=NKC!$N$8,B580&gt;=NKC!$M$8),"x","")</f>
        <v>x</v>
      </c>
      <c r="AA580" s="208"/>
      <c r="AB580" s="208"/>
    </row>
    <row r="581" spans="1:28" s="587" customFormat="1" ht="15.75" customHeight="1">
      <c r="A581" s="201" t="str">
        <f>IF(B581&lt;&gt;"",IF(AND(B581&gt;=_TM1,B581&lt;=_TM2,OR(TH!L581="1111",TH!M581="1111")),TH!D581,""),"")</f>
        <v/>
      </c>
      <c r="B581" s="36">
        <f t="shared" si="25"/>
        <v>8</v>
      </c>
      <c r="C581" s="188">
        <f t="shared" si="28"/>
        <v>41502</v>
      </c>
      <c r="D581" s="181" t="s">
        <v>403</v>
      </c>
      <c r="E581" s="188">
        <v>41502</v>
      </c>
      <c r="F581" s="189" t="s">
        <v>646</v>
      </c>
      <c r="G581" s="480" t="s">
        <v>647</v>
      </c>
      <c r="H581" s="190" t="s">
        <v>645</v>
      </c>
      <c r="I581" s="249">
        <v>2000</v>
      </c>
      <c r="J581" s="249">
        <v>11722</v>
      </c>
      <c r="K581" s="38">
        <f>ROUND(I581*J581,0)</f>
        <v>23444000</v>
      </c>
      <c r="L581" s="191" t="s">
        <v>156</v>
      </c>
      <c r="M581" s="191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IF(OR(TH!L581=TH!$U$7,M581=TH!$U$7),"x","")</f>
        <v/>
      </c>
      <c r="V581" s="52" t="str">
        <f>IF(AND(B581&gt;='IN-NX'!$P$3,B581&lt;='IN-NX'!$Q$3,'IN-NX'!$D$7=D581,OR(LEFT(L581,2)="15",AND(LEFT(M581,2)&lt;&gt;"15",LEFT(M581,2)&lt;&gt;"33"))),"x","")</f>
        <v/>
      </c>
      <c r="W581" s="52" t="str">
        <f>IF(AND(OR(LEFT(TH!L581,2)="15",LEFT(TH!M581,2)="15"),'152-CT'!$J$8=TH!F581),"x","")</f>
        <v/>
      </c>
      <c r="X581" s="52" t="str">
        <f>IF(AND(OR(LEFT(TH!L581,2)="15",LEFT(TH!M581,2)="15"),TK!$E$7=TH!F581),"x","")</f>
        <v/>
      </c>
      <c r="Y581" s="52" t="str">
        <f>IF(AND(B581&lt;=NKC!$N$8,B581&gt;=NKC!$M$8),"x","")</f>
        <v>x</v>
      </c>
      <c r="Z581" s="587" t="s">
        <v>1301</v>
      </c>
      <c r="AA581" s="195"/>
      <c r="AB581" s="195"/>
    </row>
    <row r="582" spans="1:28" s="767" customFormat="1" ht="15.75" customHeight="1">
      <c r="A582" s="201" t="str">
        <f>IF(B582&lt;&gt;"",IF(AND(B582&gt;=_TM1,B582&lt;=_TM2,OR(TH!L582="1111",TH!M582="1111")),TH!D582,""),"")</f>
        <v/>
      </c>
      <c r="B582" s="36">
        <f t="shared" si="25"/>
        <v>8</v>
      </c>
      <c r="C582" s="188">
        <f t="shared" si="28"/>
        <v>41502</v>
      </c>
      <c r="D582" s="181" t="s">
        <v>403</v>
      </c>
      <c r="E582" s="188">
        <v>41502</v>
      </c>
      <c r="F582" s="189" t="s">
        <v>557</v>
      </c>
      <c r="G582" s="480" t="s">
        <v>647</v>
      </c>
      <c r="H582" s="190" t="s">
        <v>645</v>
      </c>
      <c r="I582" s="249"/>
      <c r="J582" s="249"/>
      <c r="K582" s="38">
        <v>2344400</v>
      </c>
      <c r="L582" s="191" t="s">
        <v>9</v>
      </c>
      <c r="M582" s="191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IF(OR(TH!L582=TH!$U$7,M582=TH!$U$7),"x","")</f>
        <v/>
      </c>
      <c r="V582" s="52" t="str">
        <f>IF(AND(B582&gt;='IN-NX'!$P$3,B582&lt;='IN-NX'!$Q$3,'IN-NX'!$D$7=D582,OR(LEFT(L582,2)="15",AND(LEFT(M582,2)&lt;&gt;"15",LEFT(M582,2)&lt;&gt;"33"))),"x","")</f>
        <v/>
      </c>
      <c r="W582" s="52" t="str">
        <f>IF(AND(OR(LEFT(TH!L582,2)="15",LEFT(TH!M582,2)="15"),'152-CT'!$J$8=TH!F582),"x","")</f>
        <v/>
      </c>
      <c r="X582" s="52" t="str">
        <f>IF(AND(OR(LEFT(TH!L582,2)="15",LEFT(TH!M582,2)="15"),TK!$E$7=TH!F582),"x","")</f>
        <v/>
      </c>
      <c r="Y582" s="52" t="str">
        <f>IF(AND(B582&lt;=NKC!$N$8,B582&gt;=NKC!$M$8),"x","")</f>
        <v>x</v>
      </c>
      <c r="Z582" s="587" t="s">
        <v>1301</v>
      </c>
      <c r="AA582" s="195"/>
      <c r="AB582" s="195"/>
    </row>
    <row r="583" spans="1:28" s="767" customFormat="1" ht="15.75" customHeight="1">
      <c r="A583" s="201" t="str">
        <f>IF(B583&lt;&gt;"",IF(AND(B583&gt;=_TM1,B583&lt;=_TM2,OR(TH!L583="1111",TH!M583="1111")),TH!D583,""),"")</f>
        <v/>
      </c>
      <c r="B583" s="36">
        <f t="shared" si="25"/>
        <v>8</v>
      </c>
      <c r="C583" s="188">
        <f t="shared" si="28"/>
        <v>41502</v>
      </c>
      <c r="D583" s="181" t="s">
        <v>389</v>
      </c>
      <c r="E583" s="188">
        <v>41502</v>
      </c>
      <c r="F583" s="189" t="s">
        <v>367</v>
      </c>
      <c r="G583" s="480" t="s">
        <v>647</v>
      </c>
      <c r="H583" s="190" t="s">
        <v>645</v>
      </c>
      <c r="I583" s="249"/>
      <c r="J583" s="249"/>
      <c r="K583" s="38">
        <f>K581+K582</f>
        <v>25788400</v>
      </c>
      <c r="L583" s="191" t="s">
        <v>8</v>
      </c>
      <c r="M583" s="191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IF(OR(TH!L583=TH!$U$7,M583=TH!$U$7),"x","")</f>
        <v/>
      </c>
      <c r="V583" s="52" t="str">
        <f>IF(AND(B583&gt;='IN-NX'!$P$3,B583&lt;='IN-NX'!$Q$3,'IN-NX'!$D$7=D583,OR(LEFT(L583,2)="15",AND(LEFT(M583,2)&lt;&gt;"15",LEFT(M583,2)&lt;&gt;"33"))),"x","")</f>
        <v/>
      </c>
      <c r="W583" s="52" t="str">
        <f>IF(AND(OR(LEFT(TH!L583,2)="15",LEFT(TH!M583,2)="15"),'152-CT'!$J$8=TH!F583),"x","")</f>
        <v/>
      </c>
      <c r="X583" s="52" t="str">
        <f>IF(AND(OR(LEFT(TH!L583,2)="15",LEFT(TH!M583,2)="15"),TK!$E$7=TH!F583),"x","")</f>
        <v/>
      </c>
      <c r="Y583" s="52" t="str">
        <f>IF(AND(B583&lt;=NKC!$N$8,B583&gt;=NKC!$M$8),"x","")</f>
        <v>x</v>
      </c>
      <c r="Z583" s="208"/>
      <c r="AA583" s="195"/>
      <c r="AB583" s="195"/>
    </row>
    <row r="584" spans="1:28" s="767" customFormat="1" ht="15.75" customHeight="1">
      <c r="A584" s="201" t="str">
        <f>IF(B584&lt;&gt;"",IF(AND(B584&gt;=_TM1,B584&lt;=_TM2,OR(TH!L584="1111",TH!M584="1111")),TH!D584,""),"")</f>
        <v/>
      </c>
      <c r="B584" s="36">
        <f t="shared" si="25"/>
        <v>8</v>
      </c>
      <c r="C584" s="188">
        <f t="shared" si="28"/>
        <v>41502</v>
      </c>
      <c r="D584" s="181" t="s">
        <v>1040</v>
      </c>
      <c r="E584" s="188">
        <v>41502</v>
      </c>
      <c r="F584" s="189" t="s">
        <v>1099</v>
      </c>
      <c r="G584" s="480" t="s">
        <v>879</v>
      </c>
      <c r="H584" s="7" t="s">
        <v>510</v>
      </c>
      <c r="I584" s="249">
        <v>303</v>
      </c>
      <c r="J584" s="249">
        <v>9400</v>
      </c>
      <c r="K584" s="38">
        <f>ROUND(I584*J584,0)</f>
        <v>2848200</v>
      </c>
      <c r="L584" s="191" t="s">
        <v>262</v>
      </c>
      <c r="M584" s="191" t="s">
        <v>172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IF(OR(TH!L584=TH!$U$7,M584=TH!$U$7),"x","")</f>
        <v/>
      </c>
      <c r="V584" s="52" t="str">
        <f>IF(AND(B584&gt;='IN-NX'!$P$3,B584&lt;='IN-NX'!$Q$3,'IN-NX'!$D$7=D584,OR(LEFT(L584,2)="15",AND(LEFT(M584,2)&lt;&gt;"15",LEFT(M584,2)&lt;&gt;"33"))),"x","")</f>
        <v/>
      </c>
      <c r="W584" s="52" t="str">
        <f>IF(AND(OR(LEFT(TH!L584,2)="15",LEFT(TH!M584,2)="15"),'152-CT'!$J$8=TH!F584),"x","")</f>
        <v/>
      </c>
      <c r="X584" s="52" t="str">
        <f>IF(AND(OR(LEFT(TH!L584,2)="15",LEFT(TH!M584,2)="15"),TK!$E$7=TH!F584),"x","")</f>
        <v/>
      </c>
      <c r="Y584" s="52" t="str">
        <f>IF(AND(B584&lt;=NKC!$N$8,B584&gt;=NKC!$M$8),"x","")</f>
        <v>x</v>
      </c>
      <c r="Z584" s="208"/>
      <c r="AA584" s="587"/>
      <c r="AB584" s="208"/>
    </row>
    <row r="585" spans="1:28" s="767" customFormat="1" ht="15.75" customHeight="1">
      <c r="A585" s="201" t="str">
        <f>IF(B585&lt;&gt;"",IF(AND(B585&gt;=_TM1,B585&lt;=_TM2,OR(TH!L585="1111",TH!M585="1111")),TH!D585,""),"")</f>
        <v/>
      </c>
      <c r="B585" s="36">
        <f t="shared" si="25"/>
        <v>8</v>
      </c>
      <c r="C585" s="188">
        <f t="shared" si="28"/>
        <v>41502</v>
      </c>
      <c r="D585" s="181" t="s">
        <v>1040</v>
      </c>
      <c r="E585" s="188">
        <v>41502</v>
      </c>
      <c r="F585" s="189" t="s">
        <v>693</v>
      </c>
      <c r="G585" s="480" t="s">
        <v>879</v>
      </c>
      <c r="H585" s="7" t="s">
        <v>510</v>
      </c>
      <c r="I585" s="249"/>
      <c r="J585" s="249"/>
      <c r="K585" s="38">
        <v>284820</v>
      </c>
      <c r="L585" s="191" t="s">
        <v>262</v>
      </c>
      <c r="M585" s="191" t="s">
        <v>425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IF(OR(TH!L585=TH!$U$7,M585=TH!$U$7),"x","")</f>
        <v/>
      </c>
      <c r="V585" s="52" t="str">
        <f>IF(AND(B585&gt;='IN-NX'!$P$3,B585&lt;='IN-NX'!$Q$3,'IN-NX'!$D$7=D585,OR(LEFT(L585,2)="15",AND(LEFT(M585,2)&lt;&gt;"15",LEFT(M585,2)&lt;&gt;"33"))),"x","")</f>
        <v/>
      </c>
      <c r="W585" s="52" t="str">
        <f>IF(AND(OR(LEFT(TH!L585,2)="15",LEFT(TH!M585,2)="15"),'152-CT'!$J$8=TH!F585),"x","")</f>
        <v/>
      </c>
      <c r="X585" s="52" t="str">
        <f>IF(AND(OR(LEFT(TH!L585,2)="15",LEFT(TH!M585,2)="15"),TK!$E$7=TH!F585),"x","")</f>
        <v/>
      </c>
      <c r="Y585" s="52" t="str">
        <f>IF(AND(B585&lt;=NKC!$N$8,B585&gt;=NKC!$M$8),"x","")</f>
        <v>x</v>
      </c>
      <c r="Z585" s="208"/>
      <c r="AA585" s="587" t="str">
        <f>IF(VLOOKUP(H585,DS_131,1,0)&lt;&gt;"","","x")</f>
        <v/>
      </c>
      <c r="AB585" s="208"/>
    </row>
    <row r="586" spans="1:28" s="767" customFormat="1" ht="15.75" customHeight="1">
      <c r="A586" s="201" t="str">
        <f>IF(B586&lt;&gt;"",IF(AND(B586&gt;=_TM1,B586&lt;=_TM2,OR(TH!L586="1111",TH!M586="1111")),TH!D586,""),"")</f>
        <v/>
      </c>
      <c r="B586" s="36">
        <f t="shared" si="25"/>
        <v>8</v>
      </c>
      <c r="C586" s="188">
        <f t="shared" si="28"/>
        <v>41502</v>
      </c>
      <c r="D586" s="181" t="s">
        <v>1041</v>
      </c>
      <c r="E586" s="188">
        <v>41502</v>
      </c>
      <c r="F586" s="189" t="s">
        <v>711</v>
      </c>
      <c r="G586" s="480" t="s">
        <v>880</v>
      </c>
      <c r="H586" s="7" t="s">
        <v>713</v>
      </c>
      <c r="I586" s="249">
        <v>285</v>
      </c>
      <c r="J586" s="249">
        <v>25000</v>
      </c>
      <c r="K586" s="38">
        <f>ROUND(I586*J586,0)</f>
        <v>7125000</v>
      </c>
      <c r="L586" s="191" t="s">
        <v>262</v>
      </c>
      <c r="M586" s="191" t="s">
        <v>172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IF(OR(TH!L586=TH!$U$7,M586=TH!$U$7),"x","")</f>
        <v/>
      </c>
      <c r="V586" s="52" t="str">
        <f>IF(AND(B586&gt;='IN-NX'!$P$3,B586&lt;='IN-NX'!$Q$3,'IN-NX'!$D$7=D586,OR(LEFT(L586,2)="15",AND(LEFT(M586,2)&lt;&gt;"15",LEFT(M586,2)&lt;&gt;"33"))),"x","")</f>
        <v/>
      </c>
      <c r="W586" s="52" t="str">
        <f>IF(AND(OR(LEFT(TH!L586,2)="15",LEFT(TH!M586,2)="15"),'152-CT'!$J$8=TH!F586),"x","")</f>
        <v/>
      </c>
      <c r="X586" s="52" t="str">
        <f>IF(AND(OR(LEFT(TH!L586,2)="15",LEFT(TH!M586,2)="15"),TK!$E$7=TH!F586),"x","")</f>
        <v/>
      </c>
      <c r="Y586" s="52" t="str">
        <f>IF(AND(B586&lt;=NKC!$N$8,B586&gt;=NKC!$M$8),"x","")</f>
        <v>x</v>
      </c>
      <c r="Z586" s="208"/>
      <c r="AA586" s="587"/>
      <c r="AB586" s="208"/>
    </row>
    <row r="587" spans="1:28" s="767" customFormat="1" ht="15.75" customHeight="1">
      <c r="A587" s="201" t="str">
        <f>IF(B587&lt;&gt;"",IF(AND(B587&gt;=_TM1,B587&lt;=_TM2,OR(TH!L587="1111",TH!M587="1111")),TH!D587,""),"")</f>
        <v/>
      </c>
      <c r="B587" s="36">
        <f t="shared" si="25"/>
        <v>8</v>
      </c>
      <c r="C587" s="188">
        <f t="shared" si="28"/>
        <v>41502</v>
      </c>
      <c r="D587" s="181" t="s">
        <v>1041</v>
      </c>
      <c r="E587" s="188">
        <v>41502</v>
      </c>
      <c r="F587" s="189" t="s">
        <v>693</v>
      </c>
      <c r="G587" s="480" t="s">
        <v>880</v>
      </c>
      <c r="H587" s="207" t="s">
        <v>713</v>
      </c>
      <c r="I587" s="249"/>
      <c r="J587" s="249"/>
      <c r="K587" s="38">
        <v>712500</v>
      </c>
      <c r="L587" s="191" t="s">
        <v>262</v>
      </c>
      <c r="M587" s="191" t="s">
        <v>425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IF(OR(TH!L587=TH!$U$7,M587=TH!$U$7),"x","")</f>
        <v/>
      </c>
      <c r="V587" s="52" t="str">
        <f>IF(AND(B587&gt;='IN-NX'!$P$3,B587&lt;='IN-NX'!$Q$3,'IN-NX'!$D$7=D587,OR(LEFT(L587,2)="15",AND(LEFT(M587,2)&lt;&gt;"15",LEFT(M587,2)&lt;&gt;"33"))),"x","")</f>
        <v/>
      </c>
      <c r="W587" s="52" t="str">
        <f>IF(AND(OR(LEFT(TH!L587,2)="15",LEFT(TH!M587,2)="15"),'152-CT'!$J$8=TH!F587),"x","")</f>
        <v/>
      </c>
      <c r="X587" s="52" t="str">
        <f>IF(AND(OR(LEFT(TH!L587,2)="15",LEFT(TH!M587,2)="15"),TK!$E$7=TH!F587),"x","")</f>
        <v/>
      </c>
      <c r="Y587" s="52" t="str">
        <f>IF(AND(B587&lt;=NKC!$N$8,B587&gt;=NKC!$M$8),"x","")</f>
        <v>x</v>
      </c>
      <c r="Z587" s="208"/>
      <c r="AA587" s="587" t="str">
        <f>IF(VLOOKUP(H587,DS_131,1,0)&lt;&gt;"","","x")</f>
        <v/>
      </c>
      <c r="AB587" s="208"/>
    </row>
    <row r="588" spans="1:28" s="767" customFormat="1" ht="15.75" customHeight="1">
      <c r="A588" s="201" t="str">
        <f>IF(B588&lt;&gt;"",IF(AND(B588&gt;=_TM1,B588&lt;=_TM2,OR(TH!L588="1111",TH!M588="1111")),TH!D588,""),"")</f>
        <v/>
      </c>
      <c r="B588" s="36">
        <f t="shared" si="25"/>
        <v>8</v>
      </c>
      <c r="C588" s="181">
        <f t="shared" si="28"/>
        <v>41505</v>
      </c>
      <c r="D588" s="181" t="s">
        <v>335</v>
      </c>
      <c r="E588" s="181">
        <v>41505</v>
      </c>
      <c r="F588" s="186" t="s">
        <v>337</v>
      </c>
      <c r="G588" s="597" t="s">
        <v>332</v>
      </c>
      <c r="H588" s="7" t="s">
        <v>427</v>
      </c>
      <c r="I588" s="249"/>
      <c r="J588" s="249"/>
      <c r="K588" s="595">
        <v>21154375</v>
      </c>
      <c r="L588" s="596" t="s">
        <v>24</v>
      </c>
      <c r="M588" s="596" t="s">
        <v>262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>x</v>
      </c>
      <c r="T588" s="52" t="str">
        <f>IF(ISERROR(FIND('112'!$M$9,G588,1)),"",IF((AND(RIGHT(G588,2)=RIGHT('112'!$M$9,2),B588&lt;'112'!$N$8,$M588='112'!$I$6)),"x",""))</f>
        <v/>
      </c>
      <c r="U588" s="52" t="str">
        <f>IF(OR(TH!L588=TH!$U$7,M588=TH!$U$7),"x","")</f>
        <v/>
      </c>
      <c r="V588" s="52" t="str">
        <f>IF(AND(B588&gt;='IN-NX'!$P$3,B588&lt;='IN-NX'!$Q$3,'IN-NX'!$D$7=D588,OR(LEFT(L588,2)="15",AND(LEFT(M588,2)&lt;&gt;"15",LEFT(M588,2)&lt;&gt;"33"))),"x","")</f>
        <v/>
      </c>
      <c r="W588" s="52" t="str">
        <f>IF(AND(OR(LEFT(TH!L588,2)="15",LEFT(TH!M588,2)="15"),'152-CT'!$J$8=TH!F588),"x","")</f>
        <v/>
      </c>
      <c r="X588" s="52" t="str">
        <f>IF(AND(OR(LEFT(TH!L588,2)="15",LEFT(TH!M588,2)="15"),TK!$E$7=TH!F588),"x","")</f>
        <v/>
      </c>
      <c r="Y588" s="52" t="str">
        <f>IF(AND(B588&lt;=NKC!$N$8,B588&gt;=NKC!$M$8),"x","")</f>
        <v>x</v>
      </c>
      <c r="Z588" s="587"/>
      <c r="AA588" s="208"/>
      <c r="AB588" s="208"/>
    </row>
    <row r="589" spans="1:28" s="767" customFormat="1" ht="15.75" customHeight="1">
      <c r="A589" s="201" t="str">
        <f>IF(B589&lt;&gt;"",IF(AND(B589&gt;=_TM1,B589&lt;=_TM2,OR(TH!L589="1111",TH!M589="1111")),TH!D589,""),"")</f>
        <v/>
      </c>
      <c r="B589" s="36">
        <f t="shared" si="25"/>
        <v>8</v>
      </c>
      <c r="C589" s="188">
        <f t="shared" si="28"/>
        <v>41505</v>
      </c>
      <c r="D589" s="181" t="s">
        <v>404</v>
      </c>
      <c r="E589" s="181">
        <v>41505</v>
      </c>
      <c r="F589" s="189" t="s">
        <v>648</v>
      </c>
      <c r="G589" s="657" t="s">
        <v>649</v>
      </c>
      <c r="H589" s="190" t="s">
        <v>645</v>
      </c>
      <c r="I589" s="249">
        <v>700</v>
      </c>
      <c r="J589" s="249">
        <v>18709</v>
      </c>
      <c r="K589" s="38">
        <f>ROUND(I589*J589,0)</f>
        <v>13096300</v>
      </c>
      <c r="L589" s="191" t="s">
        <v>156</v>
      </c>
      <c r="M589" s="191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IF(OR(TH!L589=TH!$U$7,M589=TH!$U$7),"x","")</f>
        <v/>
      </c>
      <c r="V589" s="52" t="str">
        <f>IF(AND(B589&gt;='IN-NX'!$P$3,B589&lt;='IN-NX'!$Q$3,'IN-NX'!$D$7=D589,OR(LEFT(L589,2)="15",AND(LEFT(M589,2)&lt;&gt;"15",LEFT(M589,2)&lt;&gt;"33"))),"x","")</f>
        <v/>
      </c>
      <c r="W589" s="52" t="str">
        <f>IF(AND(OR(LEFT(TH!L589,2)="15",LEFT(TH!M589,2)="15"),'152-CT'!$J$8=TH!F589),"x","")</f>
        <v/>
      </c>
      <c r="X589" s="52" t="str">
        <f>IF(AND(OR(LEFT(TH!L589,2)="15",LEFT(TH!M589,2)="15"),TK!$E$7=TH!F589),"x","")</f>
        <v/>
      </c>
      <c r="Y589" s="52" t="str">
        <f>IF(AND(B589&lt;=NKC!$N$8,B589&gt;=NKC!$M$8),"x","")</f>
        <v>x</v>
      </c>
      <c r="Z589" s="587" t="s">
        <v>1301</v>
      </c>
      <c r="AA589" s="195"/>
      <c r="AB589" s="195"/>
    </row>
    <row r="590" spans="1:28" s="767" customFormat="1" ht="15.75" customHeight="1">
      <c r="A590" s="201" t="str">
        <f>IF(B590&lt;&gt;"",IF(AND(B590&gt;=_TM1,B590&lt;=_TM2,OR(TH!L590="1111",TH!M590="1111")),TH!D590,""),"")</f>
        <v/>
      </c>
      <c r="B590" s="36">
        <f t="shared" si="25"/>
        <v>8</v>
      </c>
      <c r="C590" s="188">
        <f t="shared" si="28"/>
        <v>41505</v>
      </c>
      <c r="D590" s="181" t="s">
        <v>404</v>
      </c>
      <c r="E590" s="181">
        <v>41505</v>
      </c>
      <c r="F590" s="189" t="s">
        <v>557</v>
      </c>
      <c r="G590" s="657" t="s">
        <v>649</v>
      </c>
      <c r="H590" s="190" t="s">
        <v>645</v>
      </c>
      <c r="I590" s="249"/>
      <c r="J590" s="249"/>
      <c r="K590" s="38">
        <v>1309630</v>
      </c>
      <c r="L590" s="191" t="s">
        <v>9</v>
      </c>
      <c r="M590" s="191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IF(OR(TH!L590=TH!$U$7,M590=TH!$U$7),"x","")</f>
        <v/>
      </c>
      <c r="V590" s="52" t="str">
        <f>IF(AND(B590&gt;='IN-NX'!$P$3,B590&lt;='IN-NX'!$Q$3,'IN-NX'!$D$7=D590,OR(LEFT(L590,2)="15",AND(LEFT(M590,2)&lt;&gt;"15",LEFT(M590,2)&lt;&gt;"33"))),"x","")</f>
        <v/>
      </c>
      <c r="W590" s="52" t="str">
        <f>IF(AND(OR(LEFT(TH!L590,2)="15",LEFT(TH!M590,2)="15"),'152-CT'!$J$8=TH!F590),"x","")</f>
        <v/>
      </c>
      <c r="X590" s="52" t="str">
        <f>IF(AND(OR(LEFT(TH!L590,2)="15",LEFT(TH!M590,2)="15"),TK!$E$7=TH!F590),"x","")</f>
        <v/>
      </c>
      <c r="Y590" s="52" t="str">
        <f>IF(AND(B590&lt;=NKC!$N$8,B590&gt;=NKC!$M$8),"x","")</f>
        <v>x</v>
      </c>
      <c r="Z590" s="587" t="s">
        <v>1301</v>
      </c>
      <c r="AA590" s="195"/>
      <c r="AB590" s="195"/>
    </row>
    <row r="591" spans="1:28" s="767" customFormat="1" ht="15.75" customHeight="1">
      <c r="A591" s="201" t="str">
        <f>IF(B591&lt;&gt;"",IF(AND(B591&gt;=_TM1,B591&lt;=_TM2,OR(TH!L591="1111",TH!M591="1111")),TH!D591,""),"")</f>
        <v/>
      </c>
      <c r="B591" s="36">
        <f t="shared" si="25"/>
        <v>8</v>
      </c>
      <c r="C591" s="188">
        <f t="shared" si="28"/>
        <v>41505</v>
      </c>
      <c r="D591" s="181" t="s">
        <v>390</v>
      </c>
      <c r="E591" s="181">
        <v>41505</v>
      </c>
      <c r="F591" s="189" t="s">
        <v>367</v>
      </c>
      <c r="G591" s="657" t="s">
        <v>649</v>
      </c>
      <c r="H591" s="190" t="s">
        <v>645</v>
      </c>
      <c r="I591" s="249"/>
      <c r="J591" s="249"/>
      <c r="K591" s="38">
        <v>14405930</v>
      </c>
      <c r="L591" s="191" t="s">
        <v>8</v>
      </c>
      <c r="M591" s="191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IF(OR(TH!L591=TH!$U$7,M591=TH!$U$7),"x","")</f>
        <v/>
      </c>
      <c r="V591" s="52" t="str">
        <f>IF(AND(B591&gt;='IN-NX'!$P$3,B591&lt;='IN-NX'!$Q$3,'IN-NX'!$D$7=D591,OR(LEFT(L591,2)="15",AND(LEFT(M591,2)&lt;&gt;"15",LEFT(M591,2)&lt;&gt;"33"))),"x","")</f>
        <v/>
      </c>
      <c r="W591" s="52" t="str">
        <f>IF(AND(OR(LEFT(TH!L591,2)="15",LEFT(TH!M591,2)="15"),'152-CT'!$J$8=TH!F591),"x","")</f>
        <v/>
      </c>
      <c r="X591" s="52" t="str">
        <f>IF(AND(OR(LEFT(TH!L591,2)="15",LEFT(TH!M591,2)="15"),TK!$E$7=TH!F591),"x","")</f>
        <v/>
      </c>
      <c r="Y591" s="52" t="str">
        <f>IF(AND(B591&lt;=NKC!$N$8,B591&gt;=NKC!$M$8),"x","")</f>
        <v>x</v>
      </c>
      <c r="Z591" s="208"/>
      <c r="AA591" s="195"/>
      <c r="AB591" s="195"/>
    </row>
    <row r="592" spans="1:28" s="767" customFormat="1" ht="15.75" customHeight="1">
      <c r="A592" s="201" t="str">
        <f>IF(B592&lt;&gt;"",IF(AND(B592&gt;=_TM1,B592&lt;=_TM2,OR(TH!L592="1111",TH!M592="1111")),TH!D592,""),"")</f>
        <v/>
      </c>
      <c r="B592" s="36">
        <f t="shared" si="25"/>
        <v>8</v>
      </c>
      <c r="C592" s="188">
        <f t="shared" si="28"/>
        <v>41505</v>
      </c>
      <c r="D592" s="181" t="s">
        <v>1042</v>
      </c>
      <c r="E592" s="188">
        <v>41505</v>
      </c>
      <c r="F592" s="189" t="s">
        <v>834</v>
      </c>
      <c r="G592" s="480" t="s">
        <v>881</v>
      </c>
      <c r="H592" s="7" t="s">
        <v>549</v>
      </c>
      <c r="I592" s="249">
        <v>505</v>
      </c>
      <c r="J592" s="249">
        <v>20300</v>
      </c>
      <c r="K592" s="38">
        <f>ROUND(I592*J592,0)</f>
        <v>10251500</v>
      </c>
      <c r="L592" s="191" t="s">
        <v>262</v>
      </c>
      <c r="M592" s="191" t="s">
        <v>172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IF(OR(TH!L592=TH!$U$7,M592=TH!$U$7),"x","")</f>
        <v/>
      </c>
      <c r="V592" s="52" t="str">
        <f>IF(AND(B592&gt;='IN-NX'!$P$3,B592&lt;='IN-NX'!$Q$3,'IN-NX'!$D$7=D592,OR(LEFT(L592,2)="15",AND(LEFT(M592,2)&lt;&gt;"15",LEFT(M592,2)&lt;&gt;"33"))),"x","")</f>
        <v/>
      </c>
      <c r="W592" s="52" t="str">
        <f>IF(AND(OR(LEFT(TH!L592,2)="15",LEFT(TH!M592,2)="15"),'152-CT'!$J$8=TH!F592),"x","")</f>
        <v/>
      </c>
      <c r="X592" s="52" t="str">
        <f>IF(AND(OR(LEFT(TH!L592,2)="15",LEFT(TH!M592,2)="15"),TK!$E$7=TH!F592),"x","")</f>
        <v/>
      </c>
      <c r="Y592" s="52" t="str">
        <f>IF(AND(B592&lt;=NKC!$N$8,B592&gt;=NKC!$M$8),"x","")</f>
        <v>x</v>
      </c>
      <c r="Z592" s="195"/>
      <c r="AA592" s="587"/>
      <c r="AB592" s="195"/>
    </row>
    <row r="593" spans="1:28" s="767" customFormat="1" ht="15.75" customHeight="1">
      <c r="A593" s="201" t="str">
        <f>IF(B593&lt;&gt;"",IF(AND(B593&gt;=_TM1,B593&lt;=_TM2,OR(TH!L593="1111",TH!M593="1111")),TH!D593,""),"")</f>
        <v/>
      </c>
      <c r="B593" s="36">
        <f t="shared" si="25"/>
        <v>8</v>
      </c>
      <c r="C593" s="188">
        <f t="shared" si="28"/>
        <v>41505</v>
      </c>
      <c r="D593" s="181" t="s">
        <v>1042</v>
      </c>
      <c r="E593" s="188">
        <v>41505</v>
      </c>
      <c r="F593" s="189" t="s">
        <v>693</v>
      </c>
      <c r="G593" s="480" t="s">
        <v>881</v>
      </c>
      <c r="H593" s="7" t="s">
        <v>549</v>
      </c>
      <c r="I593" s="249"/>
      <c r="J593" s="249"/>
      <c r="K593" s="38">
        <v>1025150</v>
      </c>
      <c r="L593" s="191" t="s">
        <v>262</v>
      </c>
      <c r="M593" s="191" t="s">
        <v>425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IF(OR(TH!L593=TH!$U$7,M593=TH!$U$7),"x","")</f>
        <v/>
      </c>
      <c r="V593" s="52" t="str">
        <f>IF(AND(B593&gt;='IN-NX'!$P$3,B593&lt;='IN-NX'!$Q$3,'IN-NX'!$D$7=D593,OR(LEFT(L593,2)="15",AND(LEFT(M593,2)&lt;&gt;"15",LEFT(M593,2)&lt;&gt;"33"))),"x","")</f>
        <v/>
      </c>
      <c r="W593" s="52" t="str">
        <f>IF(AND(OR(LEFT(TH!L593,2)="15",LEFT(TH!M593,2)="15"),'152-CT'!$J$8=TH!F593),"x","")</f>
        <v/>
      </c>
      <c r="X593" s="52" t="str">
        <f>IF(AND(OR(LEFT(TH!L593,2)="15",LEFT(TH!M593,2)="15"),TK!$E$7=TH!F593),"x","")</f>
        <v/>
      </c>
      <c r="Y593" s="52" t="str">
        <f>IF(AND(B593&lt;=NKC!$N$8,B593&gt;=NKC!$M$8),"x","")</f>
        <v>x</v>
      </c>
      <c r="Z593" s="195"/>
      <c r="AA593" s="587" t="str">
        <f>IF(VLOOKUP(H593,DS_131,1,0)&lt;&gt;"","","x")</f>
        <v/>
      </c>
      <c r="AB593" s="195"/>
    </row>
    <row r="594" spans="1:28" s="767" customFormat="1" ht="15.75" customHeight="1">
      <c r="A594" s="201" t="str">
        <f>IF(B594&lt;&gt;"",IF(AND(B594&gt;=_TM1,B594&lt;=_TM2,OR(TH!L594="1111",TH!M594="1111")),TH!D594,""),"")</f>
        <v/>
      </c>
      <c r="B594" s="36">
        <f t="shared" si="25"/>
        <v>8</v>
      </c>
      <c r="C594" s="188">
        <f t="shared" si="28"/>
        <v>41505</v>
      </c>
      <c r="D594" s="181" t="s">
        <v>445</v>
      </c>
      <c r="E594" s="188">
        <v>41505</v>
      </c>
      <c r="F594" s="186" t="s">
        <v>337</v>
      </c>
      <c r="G594" s="480" t="s">
        <v>1334</v>
      </c>
      <c r="H594" s="7" t="s">
        <v>549</v>
      </c>
      <c r="I594" s="249"/>
      <c r="J594" s="249"/>
      <c r="K594" s="38">
        <v>15742650</v>
      </c>
      <c r="L594" s="191" t="s">
        <v>47</v>
      </c>
      <c r="M594" s="191" t="s">
        <v>262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IF(OR(TH!L594=TH!$U$7,M594=TH!$U$7),"x","")</f>
        <v/>
      </c>
      <c r="V594" s="52" t="str">
        <f>IF(AND(B594&gt;='IN-NX'!$P$3,B594&lt;='IN-NX'!$Q$3,'IN-NX'!$D$7=D594,OR(LEFT(L594,2)="15",AND(LEFT(M594,2)&lt;&gt;"15",LEFT(M594,2)&lt;&gt;"33"))),"x","")</f>
        <v/>
      </c>
      <c r="W594" s="52" t="str">
        <f>IF(AND(OR(LEFT(TH!L594,2)="15",LEFT(TH!M594,2)="15"),'152-CT'!$J$8=TH!F594),"x","")</f>
        <v/>
      </c>
      <c r="X594" s="52" t="str">
        <f>IF(AND(OR(LEFT(TH!L594,2)="15",LEFT(TH!M594,2)="15"),TK!$E$7=TH!F594),"x","")</f>
        <v/>
      </c>
      <c r="Y594" s="52" t="str">
        <f>IF(AND(B594&lt;=NKC!$N$8,B594&gt;=NKC!$M$8),"x","")</f>
        <v>x</v>
      </c>
      <c r="Z594" s="195"/>
      <c r="AA594" s="587" t="str">
        <f>IF(VLOOKUP(H594,DS_131,1,0)&lt;&gt;"","","x")</f>
        <v/>
      </c>
      <c r="AB594" s="195"/>
    </row>
    <row r="595" spans="1:28" s="767" customFormat="1" ht="15.75" customHeight="1">
      <c r="A595" s="201" t="str">
        <f>IF(B595&lt;&gt;"",IF(AND(B595&gt;=_TM1,B595&lt;=_TM2,OR(TH!L595="1111",TH!M595="1111")),TH!D595,""),"")</f>
        <v/>
      </c>
      <c r="B595" s="36">
        <f t="shared" si="25"/>
        <v>8</v>
      </c>
      <c r="C595" s="188">
        <f t="shared" si="28"/>
        <v>41506</v>
      </c>
      <c r="D595" s="181" t="s">
        <v>405</v>
      </c>
      <c r="E595" s="181">
        <v>41506</v>
      </c>
      <c r="F595" s="189" t="s">
        <v>650</v>
      </c>
      <c r="G595" s="657" t="s">
        <v>651</v>
      </c>
      <c r="H595" s="190" t="s">
        <v>645</v>
      </c>
      <c r="I595" s="249">
        <v>1000</v>
      </c>
      <c r="J595" s="249">
        <v>11197</v>
      </c>
      <c r="K595" s="38">
        <f>ROUND(I595*J595,0)</f>
        <v>11197000</v>
      </c>
      <c r="L595" s="191" t="s">
        <v>156</v>
      </c>
      <c r="M595" s="191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IF(OR(TH!L595=TH!$U$7,M595=TH!$U$7),"x","")</f>
        <v/>
      </c>
      <c r="V595" s="52" t="str">
        <f>IF(AND(B595&gt;='IN-NX'!$P$3,B595&lt;='IN-NX'!$Q$3,'IN-NX'!$D$7=D595,OR(LEFT(L595,2)="15",AND(LEFT(M595,2)&lt;&gt;"15",LEFT(M595,2)&lt;&gt;"33"))),"x","")</f>
        <v/>
      </c>
      <c r="W595" s="52" t="str">
        <f>IF(AND(OR(LEFT(TH!L595,2)="15",LEFT(TH!M595,2)="15"),'152-CT'!$J$8=TH!F595),"x","")</f>
        <v/>
      </c>
      <c r="X595" s="52" t="str">
        <f>IF(AND(OR(LEFT(TH!L595,2)="15",LEFT(TH!M595,2)="15"),TK!$E$7=TH!F595),"x","")</f>
        <v/>
      </c>
      <c r="Y595" s="52" t="str">
        <f>IF(AND(B595&lt;=NKC!$N$8,B595&gt;=NKC!$M$8),"x","")</f>
        <v>x</v>
      </c>
      <c r="Z595" s="587" t="s">
        <v>1301</v>
      </c>
      <c r="AA595" s="195"/>
      <c r="AB595" s="195"/>
    </row>
    <row r="596" spans="1:28" s="767" customFormat="1" ht="15.75" customHeight="1">
      <c r="A596" s="201" t="str">
        <f>IF(B596&lt;&gt;"",IF(AND(B596&gt;=_TM1,B596&lt;=_TM2,OR(TH!L596="1111",TH!M596="1111")),TH!D596,""),"")</f>
        <v/>
      </c>
      <c r="B596" s="36">
        <f t="shared" si="25"/>
        <v>8</v>
      </c>
      <c r="C596" s="188">
        <f t="shared" si="28"/>
        <v>41506</v>
      </c>
      <c r="D596" s="181" t="s">
        <v>405</v>
      </c>
      <c r="E596" s="181">
        <v>41506</v>
      </c>
      <c r="F596" s="189" t="s">
        <v>557</v>
      </c>
      <c r="G596" s="657" t="s">
        <v>651</v>
      </c>
      <c r="H596" s="190" t="s">
        <v>645</v>
      </c>
      <c r="I596" s="249"/>
      <c r="J596" s="249"/>
      <c r="K596" s="38">
        <v>1119700</v>
      </c>
      <c r="L596" s="191" t="s">
        <v>9</v>
      </c>
      <c r="M596" s="191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IF(OR(TH!L596=TH!$U$7,M596=TH!$U$7),"x","")</f>
        <v/>
      </c>
      <c r="V596" s="52" t="str">
        <f>IF(AND(B596&gt;='IN-NX'!$P$3,B596&lt;='IN-NX'!$Q$3,'IN-NX'!$D$7=D596,OR(LEFT(L596,2)="15",AND(LEFT(M596,2)&lt;&gt;"15",LEFT(M596,2)&lt;&gt;"33"))),"x","")</f>
        <v/>
      </c>
      <c r="W596" s="52" t="str">
        <f>IF(AND(OR(LEFT(TH!L596,2)="15",LEFT(TH!M596,2)="15"),'152-CT'!$J$8=TH!F596),"x","")</f>
        <v/>
      </c>
      <c r="X596" s="52" t="str">
        <f>IF(AND(OR(LEFT(TH!L596,2)="15",LEFT(TH!M596,2)="15"),TK!$E$7=TH!F596),"x","")</f>
        <v/>
      </c>
      <c r="Y596" s="52" t="str">
        <f>IF(AND(B596&lt;=NKC!$N$8,B596&gt;=NKC!$M$8),"x","")</f>
        <v>x</v>
      </c>
      <c r="Z596" s="587" t="s">
        <v>1301</v>
      </c>
      <c r="AA596" s="195"/>
      <c r="AB596" s="195"/>
    </row>
    <row r="597" spans="1:28" s="767" customFormat="1" ht="15.75" customHeight="1">
      <c r="A597" s="201" t="str">
        <f>IF(B597&lt;&gt;"",IF(AND(B597&gt;=_TM1,B597&lt;=_TM2,OR(TH!L597="1111",TH!M597="1111")),TH!D597,""),"")</f>
        <v/>
      </c>
      <c r="B597" s="36">
        <f t="shared" si="25"/>
        <v>8</v>
      </c>
      <c r="C597" s="188">
        <f t="shared" si="28"/>
        <v>41506</v>
      </c>
      <c r="D597" s="181" t="s">
        <v>391</v>
      </c>
      <c r="E597" s="181">
        <v>41506</v>
      </c>
      <c r="F597" s="189" t="s">
        <v>367</v>
      </c>
      <c r="G597" s="657" t="s">
        <v>651</v>
      </c>
      <c r="H597" s="190" t="s">
        <v>645</v>
      </c>
      <c r="I597" s="249"/>
      <c r="J597" s="249"/>
      <c r="K597" s="38">
        <v>12316700</v>
      </c>
      <c r="L597" s="191" t="s">
        <v>8</v>
      </c>
      <c r="M597" s="191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IF(OR(TH!L597=TH!$U$7,M597=TH!$U$7),"x","")</f>
        <v/>
      </c>
      <c r="V597" s="52" t="str">
        <f>IF(AND(B597&gt;='IN-NX'!$P$3,B597&lt;='IN-NX'!$Q$3,'IN-NX'!$D$7=D597,OR(LEFT(L597,2)="15",AND(LEFT(M597,2)&lt;&gt;"15",LEFT(M597,2)&lt;&gt;"33"))),"x","")</f>
        <v/>
      </c>
      <c r="W597" s="52" t="str">
        <f>IF(AND(OR(LEFT(TH!L597,2)="15",LEFT(TH!M597,2)="15"),'152-CT'!$J$8=TH!F597),"x","")</f>
        <v/>
      </c>
      <c r="X597" s="52" t="str">
        <f>IF(AND(OR(LEFT(TH!L597,2)="15",LEFT(TH!M597,2)="15"),TK!$E$7=TH!F597),"x","")</f>
        <v/>
      </c>
      <c r="Y597" s="52" t="str">
        <f>IF(AND(B597&lt;=NKC!$N$8,B597&gt;=NKC!$M$8),"x","")</f>
        <v>x</v>
      </c>
      <c r="Z597" s="208"/>
      <c r="AA597" s="195"/>
      <c r="AB597" s="195"/>
    </row>
    <row r="598" spans="1:28" s="767" customFormat="1" ht="15.75" customHeight="1">
      <c r="A598" s="201" t="str">
        <f>IF(B598&lt;&gt;"",IF(AND(B598&gt;=_TM1,B598&lt;=_TM2,OR(TH!L598="1111",TH!M598="1111")),TH!D598,""),"")</f>
        <v/>
      </c>
      <c r="B598" s="36">
        <f t="shared" si="25"/>
        <v>8</v>
      </c>
      <c r="C598" s="188">
        <f t="shared" si="28"/>
        <v>41506</v>
      </c>
      <c r="D598" s="181" t="s">
        <v>1043</v>
      </c>
      <c r="E598" s="188">
        <v>41506</v>
      </c>
      <c r="F598" s="186" t="s">
        <v>1120</v>
      </c>
      <c r="G598" s="480" t="s">
        <v>882</v>
      </c>
      <c r="H598" s="207" t="s">
        <v>883</v>
      </c>
      <c r="I598" s="249">
        <v>2573</v>
      </c>
      <c r="J598" s="249">
        <v>5300</v>
      </c>
      <c r="K598" s="38">
        <f>ROUND(I598*J598,0)</f>
        <v>13636900</v>
      </c>
      <c r="L598" s="191" t="s">
        <v>262</v>
      </c>
      <c r="M598" s="191" t="s">
        <v>172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IF(OR(TH!L598=TH!$U$7,M598=TH!$U$7),"x","")</f>
        <v/>
      </c>
      <c r="V598" s="52" t="str">
        <f>IF(AND(B598&gt;='IN-NX'!$P$3,B598&lt;='IN-NX'!$Q$3,'IN-NX'!$D$7=D598,OR(LEFT(L598,2)="15",AND(LEFT(M598,2)&lt;&gt;"15",LEFT(M598,2)&lt;&gt;"33"))),"x","")</f>
        <v/>
      </c>
      <c r="W598" s="52" t="str">
        <f>IF(AND(OR(LEFT(TH!L598,2)="15",LEFT(TH!M598,2)="15"),'152-CT'!$J$8=TH!F598),"x","")</f>
        <v/>
      </c>
      <c r="X598" s="52" t="str">
        <f>IF(AND(OR(LEFT(TH!L598,2)="15",LEFT(TH!M598,2)="15"),TK!$E$7=TH!F598),"x","")</f>
        <v/>
      </c>
      <c r="Y598" s="52" t="str">
        <f>IF(AND(B598&lt;=NKC!$N$8,B598&gt;=NKC!$M$8),"x","")</f>
        <v>x</v>
      </c>
      <c r="Z598" s="195"/>
      <c r="AA598" s="587"/>
      <c r="AB598" s="195"/>
    </row>
    <row r="599" spans="1:28" s="767" customFormat="1" ht="15.75" customHeight="1">
      <c r="A599" s="201" t="str">
        <f>IF(B599&lt;&gt;"",IF(AND(B599&gt;=_TM1,B599&lt;=_TM2,OR(TH!L599="1111",TH!M599="1111")),TH!D599,""),"")</f>
        <v/>
      </c>
      <c r="B599" s="36">
        <f t="shared" si="25"/>
        <v>8</v>
      </c>
      <c r="C599" s="188">
        <f t="shared" si="28"/>
        <v>41506</v>
      </c>
      <c r="D599" s="181" t="s">
        <v>1043</v>
      </c>
      <c r="E599" s="188">
        <v>41506</v>
      </c>
      <c r="F599" s="189" t="s">
        <v>693</v>
      </c>
      <c r="G599" s="480" t="s">
        <v>882</v>
      </c>
      <c r="H599" s="207" t="s">
        <v>883</v>
      </c>
      <c r="I599" s="249"/>
      <c r="J599" s="249"/>
      <c r="K599" s="38">
        <v>1363690</v>
      </c>
      <c r="L599" s="191" t="s">
        <v>262</v>
      </c>
      <c r="M599" s="191" t="s">
        <v>425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IF(OR(TH!L599=TH!$U$7,M599=TH!$U$7),"x","")</f>
        <v/>
      </c>
      <c r="V599" s="52" t="str">
        <f>IF(AND(B599&gt;='IN-NX'!$P$3,B599&lt;='IN-NX'!$Q$3,'IN-NX'!$D$7=D599,OR(LEFT(L599,2)="15",AND(LEFT(M599,2)&lt;&gt;"15",LEFT(M599,2)&lt;&gt;"33"))),"x","")</f>
        <v/>
      </c>
      <c r="W599" s="52" t="str">
        <f>IF(AND(OR(LEFT(TH!L599,2)="15",LEFT(TH!M599,2)="15"),'152-CT'!$J$8=TH!F599),"x","")</f>
        <v/>
      </c>
      <c r="X599" s="52" t="str">
        <f>IF(AND(OR(LEFT(TH!L599,2)="15",LEFT(TH!M599,2)="15"),TK!$E$7=TH!F599),"x","")</f>
        <v/>
      </c>
      <c r="Y599" s="52" t="str">
        <f>IF(AND(B599&lt;=NKC!$N$8,B599&gt;=NKC!$M$8),"x","")</f>
        <v>x</v>
      </c>
      <c r="Z599" s="195"/>
      <c r="AA599" s="587" t="str">
        <f>IF(VLOOKUP(H599,DS_131,1,0)&lt;&gt;"","","x")</f>
        <v/>
      </c>
      <c r="AB599" s="195"/>
    </row>
    <row r="600" spans="1:28" s="767" customFormat="1" ht="15.75" customHeight="1">
      <c r="A600" s="201" t="str">
        <f>IF(B600&lt;&gt;"",IF(AND(B600&gt;=_TM1,B600&lt;=_TM2,OR(TH!L600="1111",TH!M600="1111")),TH!D600,""),"")</f>
        <v/>
      </c>
      <c r="B600" s="36">
        <f t="shared" si="25"/>
        <v>8</v>
      </c>
      <c r="C600" s="188">
        <f t="shared" si="28"/>
        <v>41506</v>
      </c>
      <c r="D600" s="181" t="s">
        <v>446</v>
      </c>
      <c r="E600" s="188">
        <v>41506</v>
      </c>
      <c r="F600" s="186" t="s">
        <v>337</v>
      </c>
      <c r="G600" s="480" t="s">
        <v>882</v>
      </c>
      <c r="H600" s="207" t="s">
        <v>883</v>
      </c>
      <c r="I600" s="249"/>
      <c r="J600" s="249"/>
      <c r="K600" s="38">
        <v>15000590</v>
      </c>
      <c r="L600" s="191" t="s">
        <v>47</v>
      </c>
      <c r="M600" s="191" t="s">
        <v>262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>x</v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IF(OR(TH!L600=TH!$U$7,M600=TH!$U$7),"x","")</f>
        <v/>
      </c>
      <c r="V600" s="52" t="str">
        <f>IF(AND(B600&gt;='IN-NX'!$P$3,B600&lt;='IN-NX'!$Q$3,'IN-NX'!$D$7=D600,OR(LEFT(L600,2)="15",AND(LEFT(M600,2)&lt;&gt;"15",LEFT(M600,2)&lt;&gt;"33"))),"x","")</f>
        <v/>
      </c>
      <c r="W600" s="52" t="str">
        <f>IF(AND(OR(LEFT(TH!L600,2)="15",LEFT(TH!M600,2)="15"),'152-CT'!$J$8=TH!F600),"x","")</f>
        <v/>
      </c>
      <c r="X600" s="52" t="str">
        <f>IF(AND(OR(LEFT(TH!L600,2)="15",LEFT(TH!M600,2)="15"),TK!$E$7=TH!F600),"x","")</f>
        <v/>
      </c>
      <c r="Y600" s="52" t="str">
        <f>IF(AND(B600&lt;=NKC!$N$8,B600&gt;=NKC!$M$8),"x","")</f>
        <v>x</v>
      </c>
      <c r="Z600" s="195"/>
      <c r="AA600" s="587" t="str">
        <f>IF(VLOOKUP(H600,DS_131,1,0)&lt;&gt;"","","x")</f>
        <v/>
      </c>
      <c r="AB600" s="195"/>
    </row>
    <row r="601" spans="1:28" s="767" customFormat="1" ht="15.75" customHeight="1">
      <c r="A601" s="201" t="str">
        <f>IF(B601&lt;&gt;"",IF(AND(B601&gt;=_TM1,B601&lt;=_TM2,OR(TH!L601="1111",TH!M601="1111")),TH!D601,""),"")</f>
        <v/>
      </c>
      <c r="B601" s="36">
        <f t="shared" si="25"/>
        <v>8</v>
      </c>
      <c r="C601" s="188">
        <f t="shared" si="28"/>
        <v>41506</v>
      </c>
      <c r="D601" s="181" t="s">
        <v>1044</v>
      </c>
      <c r="E601" s="188">
        <v>41506</v>
      </c>
      <c r="F601" s="189" t="s">
        <v>1115</v>
      </c>
      <c r="G601" s="480" t="s">
        <v>884</v>
      </c>
      <c r="H601" s="7" t="s">
        <v>863</v>
      </c>
      <c r="I601" s="249">
        <v>2500</v>
      </c>
      <c r="J601" s="249">
        <v>4200</v>
      </c>
      <c r="K601" s="38">
        <f>ROUND(I601*J601,0)</f>
        <v>10500000</v>
      </c>
      <c r="L601" s="191" t="s">
        <v>262</v>
      </c>
      <c r="M601" s="191" t="s">
        <v>172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IF(OR(TH!L601=TH!$U$7,M601=TH!$U$7),"x","")</f>
        <v/>
      </c>
      <c r="V601" s="52" t="str">
        <f>IF(AND(B601&gt;='IN-NX'!$P$3,B601&lt;='IN-NX'!$Q$3,'IN-NX'!$D$7=D601,OR(LEFT(L601,2)="15",AND(LEFT(M601,2)&lt;&gt;"15",LEFT(M601,2)&lt;&gt;"33"))),"x","")</f>
        <v/>
      </c>
      <c r="W601" s="52" t="str">
        <f>IF(AND(OR(LEFT(TH!L601,2)="15",LEFT(TH!M601,2)="15"),'152-CT'!$J$8=TH!F601),"x","")</f>
        <v/>
      </c>
      <c r="X601" s="52" t="str">
        <f>IF(AND(OR(LEFT(TH!L601,2)="15",LEFT(TH!M601,2)="15"),TK!$E$7=TH!F601),"x","")</f>
        <v/>
      </c>
      <c r="Y601" s="52" t="str">
        <f>IF(AND(B601&lt;=NKC!$N$8,B601&gt;=NKC!$M$8),"x","")</f>
        <v>x</v>
      </c>
      <c r="Z601" s="195"/>
      <c r="AA601" s="587"/>
      <c r="AB601" s="195"/>
    </row>
    <row r="602" spans="1:28" s="767" customFormat="1" ht="15.75" customHeight="1">
      <c r="A602" s="201" t="str">
        <f>IF(B602&lt;&gt;"",IF(AND(B602&gt;=_TM1,B602&lt;=_TM2,OR(TH!L602="1111",TH!M602="1111")),TH!D602,""),"")</f>
        <v/>
      </c>
      <c r="B602" s="36">
        <f t="shared" si="25"/>
        <v>8</v>
      </c>
      <c r="C602" s="188">
        <f t="shared" si="28"/>
        <v>41506</v>
      </c>
      <c r="D602" s="181" t="s">
        <v>1044</v>
      </c>
      <c r="E602" s="188">
        <v>41506</v>
      </c>
      <c r="F602" s="189" t="s">
        <v>693</v>
      </c>
      <c r="G602" s="189" t="s">
        <v>884</v>
      </c>
      <c r="H602" s="190" t="s">
        <v>863</v>
      </c>
      <c r="I602" s="249"/>
      <c r="J602" s="249"/>
      <c r="K602" s="38">
        <v>1050000</v>
      </c>
      <c r="L602" s="191" t="s">
        <v>262</v>
      </c>
      <c r="M602" s="191" t="s">
        <v>425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IF(OR(TH!L602=TH!$U$7,M602=TH!$U$7),"x","")</f>
        <v/>
      </c>
      <c r="V602" s="52" t="str">
        <f>IF(AND(B602&gt;='IN-NX'!$P$3,B602&lt;='IN-NX'!$Q$3,'IN-NX'!$D$7=D602,OR(LEFT(L602,2)="15",AND(LEFT(M602,2)&lt;&gt;"15",LEFT(M602,2)&lt;&gt;"33"))),"x","")</f>
        <v/>
      </c>
      <c r="W602" s="52" t="str">
        <f>IF(AND(OR(LEFT(TH!L602,2)="15",LEFT(TH!M602,2)="15"),'152-CT'!$J$8=TH!F602),"x","")</f>
        <v/>
      </c>
      <c r="X602" s="52" t="str">
        <f>IF(AND(OR(LEFT(TH!L602,2)="15",LEFT(TH!M602,2)="15"),TK!$E$7=TH!F602),"x","")</f>
        <v/>
      </c>
      <c r="Y602" s="52" t="str">
        <f>IF(AND(B602&lt;=NKC!$N$8,B602&gt;=NKC!$M$8),"x","")</f>
        <v>x</v>
      </c>
      <c r="Z602" s="195"/>
      <c r="AA602" s="587" t="str">
        <f>IF(VLOOKUP(H602,DS_131,1,0)&lt;&gt;"","","x")</f>
        <v/>
      </c>
      <c r="AB602" s="195"/>
    </row>
    <row r="603" spans="1:28" s="767" customFormat="1" ht="15.75" customHeight="1">
      <c r="A603" s="201" t="str">
        <f>IF(B603&lt;&gt;"",IF(AND(B603&gt;=_TM1,B603&lt;=_TM2,OR(TH!L603="1111",TH!M603="1111")),TH!D603,""),"")</f>
        <v/>
      </c>
      <c r="B603" s="36">
        <f t="shared" si="25"/>
        <v>8</v>
      </c>
      <c r="C603" s="188">
        <f t="shared" si="28"/>
        <v>41506</v>
      </c>
      <c r="D603" s="181" t="s">
        <v>1045</v>
      </c>
      <c r="E603" s="188">
        <v>41506</v>
      </c>
      <c r="F603" s="189" t="s">
        <v>1115</v>
      </c>
      <c r="G603" s="189" t="s">
        <v>885</v>
      </c>
      <c r="H603" s="190" t="s">
        <v>863</v>
      </c>
      <c r="I603" s="249">
        <v>3200</v>
      </c>
      <c r="J603" s="249">
        <v>4210</v>
      </c>
      <c r="K603" s="38">
        <f>ROUND(I603*J603,0)</f>
        <v>13472000</v>
      </c>
      <c r="L603" s="191" t="s">
        <v>262</v>
      </c>
      <c r="M603" s="191" t="s">
        <v>172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IF(OR(TH!L603=TH!$U$7,M603=TH!$U$7),"x","")</f>
        <v/>
      </c>
      <c r="V603" s="52" t="str">
        <f>IF(AND(B603&gt;='IN-NX'!$P$3,B603&lt;='IN-NX'!$Q$3,'IN-NX'!$D$7=D603,OR(LEFT(L603,2)="15",AND(LEFT(M603,2)&lt;&gt;"15",LEFT(M603,2)&lt;&gt;"33"))),"x","")</f>
        <v/>
      </c>
      <c r="W603" s="52" t="str">
        <f>IF(AND(OR(LEFT(TH!L603,2)="15",LEFT(TH!M603,2)="15"),'152-CT'!$J$8=TH!F603),"x","")</f>
        <v/>
      </c>
      <c r="X603" s="52" t="str">
        <f>IF(AND(OR(LEFT(TH!L603,2)="15",LEFT(TH!M603,2)="15"),TK!$E$7=TH!F603),"x","")</f>
        <v/>
      </c>
      <c r="Y603" s="52" t="str">
        <f>IF(AND(B603&lt;=NKC!$N$8,B603&gt;=NKC!$M$8),"x","")</f>
        <v>x</v>
      </c>
      <c r="Z603" s="195"/>
      <c r="AA603" s="587"/>
      <c r="AB603" s="195"/>
    </row>
    <row r="604" spans="1:28" s="767" customFormat="1" ht="15.75" customHeight="1">
      <c r="A604" s="201" t="str">
        <f>IF(B604&lt;&gt;"",IF(AND(B604&gt;=_TM1,B604&lt;=_TM2,OR(TH!L604="1111",TH!M604="1111")),TH!D604,""),"")</f>
        <v/>
      </c>
      <c r="B604" s="36">
        <f t="shared" si="25"/>
        <v>8</v>
      </c>
      <c r="C604" s="188">
        <f t="shared" si="28"/>
        <v>41506</v>
      </c>
      <c r="D604" s="181" t="s">
        <v>1045</v>
      </c>
      <c r="E604" s="188">
        <v>41506</v>
      </c>
      <c r="F604" s="189" t="s">
        <v>693</v>
      </c>
      <c r="G604" s="189" t="s">
        <v>885</v>
      </c>
      <c r="H604" s="190" t="s">
        <v>863</v>
      </c>
      <c r="I604" s="249"/>
      <c r="J604" s="249"/>
      <c r="K604" s="38">
        <v>1347200</v>
      </c>
      <c r="L604" s="191" t="s">
        <v>262</v>
      </c>
      <c r="M604" s="191" t="s">
        <v>425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IF(OR(TH!L604=TH!$U$7,M604=TH!$U$7),"x","")</f>
        <v/>
      </c>
      <c r="V604" s="52" t="str">
        <f>IF(AND(B604&gt;='IN-NX'!$P$3,B604&lt;='IN-NX'!$Q$3,'IN-NX'!$D$7=D604,OR(LEFT(L604,2)="15",AND(LEFT(M604,2)&lt;&gt;"15",LEFT(M604,2)&lt;&gt;"33"))),"x","")</f>
        <v/>
      </c>
      <c r="W604" s="52" t="str">
        <f>IF(AND(OR(LEFT(TH!L604,2)="15",LEFT(TH!M604,2)="15"),'152-CT'!$J$8=TH!F604),"x","")</f>
        <v/>
      </c>
      <c r="X604" s="52" t="str">
        <f>IF(AND(OR(LEFT(TH!L604,2)="15",LEFT(TH!M604,2)="15"),TK!$E$7=TH!F604),"x","")</f>
        <v/>
      </c>
      <c r="Y604" s="52" t="str">
        <f>IF(AND(B604&lt;=NKC!$N$8,B604&gt;=NKC!$M$8),"x","")</f>
        <v>x</v>
      </c>
      <c r="Z604" s="195"/>
      <c r="AA604" s="587" t="str">
        <f>IF(VLOOKUP(H604,DS_131,1,0)&lt;&gt;"","","x")</f>
        <v/>
      </c>
      <c r="AB604" s="195"/>
    </row>
    <row r="605" spans="1:28" s="767" customFormat="1" ht="15.75" customHeight="1">
      <c r="A605" s="201" t="str">
        <f>IF(B605&lt;&gt;"",IF(AND(B605&gt;=_TM1,B605&lt;=_TM2,OR(TH!L605="1111",TH!M605="1111")),TH!D605,""),"")</f>
        <v/>
      </c>
      <c r="B605" s="36">
        <f t="shared" si="25"/>
        <v>8</v>
      </c>
      <c r="C605" s="181">
        <f t="shared" si="28"/>
        <v>41507</v>
      </c>
      <c r="D605" s="181" t="s">
        <v>335</v>
      </c>
      <c r="E605" s="188">
        <v>41507</v>
      </c>
      <c r="F605" s="186" t="s">
        <v>337</v>
      </c>
      <c r="G605" s="597" t="s">
        <v>332</v>
      </c>
      <c r="H605" s="7" t="s">
        <v>506</v>
      </c>
      <c r="I605" s="250"/>
      <c r="J605" s="251"/>
      <c r="K605" s="38">
        <v>13847955</v>
      </c>
      <c r="L605" s="596" t="s">
        <v>24</v>
      </c>
      <c r="M605" s="596" t="s">
        <v>262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52" t="str">
        <f>IF(OR(TH!L605=TH!$U$7,M605=TH!$U$7),"x","")</f>
        <v/>
      </c>
      <c r="V605" s="52" t="str">
        <f>IF(AND(B605&gt;='IN-NX'!$P$3,B605&lt;='IN-NX'!$Q$3,'IN-NX'!$D$7=D605,OR(LEFT(L605,2)="15",AND(LEFT(M605,2)&lt;&gt;"15",LEFT(M605,2)&lt;&gt;"33"))),"x","")</f>
        <v/>
      </c>
      <c r="W605" s="52" t="str">
        <f>IF(AND(OR(LEFT(TH!L605,2)="15",LEFT(TH!M605,2)="15"),'152-CT'!$J$8=TH!F605),"x","")</f>
        <v/>
      </c>
      <c r="X605" s="52" t="str">
        <f>IF(AND(OR(LEFT(TH!L605,2)="15",LEFT(TH!M605,2)="15"),TK!$E$7=TH!F605),"x","")</f>
        <v/>
      </c>
      <c r="Y605" s="52" t="str">
        <f>IF(AND(B605&lt;=NKC!$N$8,B605&gt;=NKC!$M$8),"x","")</f>
        <v>x</v>
      </c>
      <c r="Z605" s="587"/>
      <c r="AA605" s="195"/>
      <c r="AB605" s="195"/>
    </row>
    <row r="606" spans="1:28" s="767" customFormat="1" ht="15.75" customHeight="1">
      <c r="A606" s="201" t="str">
        <f>IF(B606&lt;&gt;"",IF(AND(B606&gt;=_TM1,B606&lt;=_TM2,OR(TH!L606="1111",TH!M606="1111")),TH!D606,""),"")</f>
        <v/>
      </c>
      <c r="B606" s="36">
        <f t="shared" si="25"/>
        <v>8</v>
      </c>
      <c r="C606" s="181">
        <f t="shared" si="28"/>
        <v>41507</v>
      </c>
      <c r="D606" s="181" t="s">
        <v>335</v>
      </c>
      <c r="E606" s="188">
        <v>41507</v>
      </c>
      <c r="F606" s="186" t="s">
        <v>337</v>
      </c>
      <c r="G606" s="597" t="s">
        <v>332</v>
      </c>
      <c r="H606" s="7" t="s">
        <v>427</v>
      </c>
      <c r="I606" s="250"/>
      <c r="J606" s="251"/>
      <c r="K606" s="38">
        <v>20625000</v>
      </c>
      <c r="L606" s="596" t="s">
        <v>24</v>
      </c>
      <c r="M606" s="596" t="s">
        <v>262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>x</v>
      </c>
      <c r="T606" s="52" t="str">
        <f>IF(ISERROR(FIND('112'!$M$9,G606,1)),"",IF((AND(RIGHT(G606,2)=RIGHT('112'!$M$9,2),B606&lt;'112'!$N$8,$M606='112'!$I$6)),"x",""))</f>
        <v/>
      </c>
      <c r="U606" s="52" t="str">
        <f>IF(OR(TH!L606=TH!$U$7,M606=TH!$U$7),"x","")</f>
        <v/>
      </c>
      <c r="V606" s="52" t="str">
        <f>IF(AND(B606&gt;='IN-NX'!$P$3,B606&lt;='IN-NX'!$Q$3,'IN-NX'!$D$7=D606,OR(LEFT(L606,2)="15",AND(LEFT(M606,2)&lt;&gt;"15",LEFT(M606,2)&lt;&gt;"33"))),"x","")</f>
        <v/>
      </c>
      <c r="W606" s="52" t="str">
        <f>IF(AND(OR(LEFT(TH!L606,2)="15",LEFT(TH!M606,2)="15"),'152-CT'!$J$8=TH!F606),"x","")</f>
        <v/>
      </c>
      <c r="X606" s="52" t="str">
        <f>IF(AND(OR(LEFT(TH!L606,2)="15",LEFT(TH!M606,2)="15"),TK!$E$7=TH!F606),"x","")</f>
        <v/>
      </c>
      <c r="Y606" s="52" t="str">
        <f>IF(AND(B606&lt;=NKC!$N$8,B606&gt;=NKC!$M$8),"x","")</f>
        <v>x</v>
      </c>
      <c r="Z606" s="587"/>
      <c r="AA606" s="195"/>
      <c r="AB606" s="195"/>
    </row>
    <row r="607" spans="1:28" s="767" customFormat="1" ht="15.75" customHeight="1">
      <c r="A607" s="201" t="str">
        <f>IF(B607&lt;&gt;"",IF(AND(B607&gt;=_TM1,B607&lt;=_TM2,OR(TH!L607="1111",TH!M607="1111")),TH!D607,""),"")</f>
        <v/>
      </c>
      <c r="B607" s="36">
        <f t="shared" si="25"/>
        <v>8</v>
      </c>
      <c r="C607" s="188">
        <f t="shared" si="28"/>
        <v>41507</v>
      </c>
      <c r="D607" s="181" t="s">
        <v>1046</v>
      </c>
      <c r="E607" s="188">
        <v>41507</v>
      </c>
      <c r="F607" s="189" t="s">
        <v>727</v>
      </c>
      <c r="G607" s="189" t="s">
        <v>886</v>
      </c>
      <c r="H607" s="7" t="s">
        <v>710</v>
      </c>
      <c r="I607" s="249">
        <v>296</v>
      </c>
      <c r="J607" s="249">
        <v>8500</v>
      </c>
      <c r="K607" s="38">
        <f>ROUND(I607*J607,0)</f>
        <v>2516000</v>
      </c>
      <c r="L607" s="191" t="s">
        <v>262</v>
      </c>
      <c r="M607" s="191" t="s">
        <v>172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IF(OR(TH!L607=TH!$U$7,M607=TH!$U$7),"x","")</f>
        <v/>
      </c>
      <c r="V607" s="52" t="str">
        <f>IF(AND(B607&gt;='IN-NX'!$P$3,B607&lt;='IN-NX'!$Q$3,'IN-NX'!$D$7=D607,OR(LEFT(L607,2)="15",AND(LEFT(M607,2)&lt;&gt;"15",LEFT(M607,2)&lt;&gt;"33"))),"x","")</f>
        <v/>
      </c>
      <c r="W607" s="52" t="str">
        <f>IF(AND(OR(LEFT(TH!L607,2)="15",LEFT(TH!M607,2)="15"),'152-CT'!$J$8=TH!F607),"x","")</f>
        <v/>
      </c>
      <c r="X607" s="52" t="str">
        <f>IF(AND(OR(LEFT(TH!L607,2)="15",LEFT(TH!M607,2)="15"),TK!$E$7=TH!F607),"x","")</f>
        <v/>
      </c>
      <c r="Y607" s="52" t="str">
        <f>IF(AND(B607&lt;=NKC!$N$8,B607&gt;=NKC!$M$8),"x","")</f>
        <v>x</v>
      </c>
      <c r="Z607" s="195"/>
      <c r="AA607" s="587"/>
      <c r="AB607" s="195"/>
    </row>
    <row r="608" spans="1:28" s="767" customFormat="1" ht="15.75" customHeight="1">
      <c r="A608" s="201" t="str">
        <f>IF(B608&lt;&gt;"",IF(AND(B608&gt;=_TM1,B608&lt;=_TM2,OR(TH!L608="1111",TH!M608="1111")),TH!D608,""),"")</f>
        <v/>
      </c>
      <c r="B608" s="36">
        <f t="shared" si="25"/>
        <v>8</v>
      </c>
      <c r="C608" s="188">
        <f t="shared" si="28"/>
        <v>41507</v>
      </c>
      <c r="D608" s="181" t="s">
        <v>1046</v>
      </c>
      <c r="E608" s="188">
        <v>41507</v>
      </c>
      <c r="F608" s="189" t="s">
        <v>693</v>
      </c>
      <c r="G608" s="189" t="s">
        <v>886</v>
      </c>
      <c r="H608" s="7" t="s">
        <v>710</v>
      </c>
      <c r="I608" s="249"/>
      <c r="J608" s="249"/>
      <c r="K608" s="38">
        <v>251600</v>
      </c>
      <c r="L608" s="191" t="s">
        <v>262</v>
      </c>
      <c r="M608" s="191" t="s">
        <v>425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IF(OR(TH!L608=TH!$U$7,M608=TH!$U$7),"x","")</f>
        <v/>
      </c>
      <c r="V608" s="52" t="str">
        <f>IF(AND(B608&gt;='IN-NX'!$P$3,B608&lt;='IN-NX'!$Q$3,'IN-NX'!$D$7=D608,OR(LEFT(L608,2)="15",AND(LEFT(M608,2)&lt;&gt;"15",LEFT(M608,2)&lt;&gt;"33"))),"x","")</f>
        <v/>
      </c>
      <c r="W608" s="52" t="str">
        <f>IF(AND(OR(LEFT(TH!L608,2)="15",LEFT(TH!M608,2)="15"),'152-CT'!$J$8=TH!F608),"x","")</f>
        <v/>
      </c>
      <c r="X608" s="52" t="str">
        <f>IF(AND(OR(LEFT(TH!L608,2)="15",LEFT(TH!M608,2)="15"),TK!$E$7=TH!F608),"x","")</f>
        <v/>
      </c>
      <c r="Y608" s="52" t="str">
        <f>IF(AND(B608&lt;=NKC!$N$8,B608&gt;=NKC!$M$8),"x","")</f>
        <v>x</v>
      </c>
      <c r="Z608" s="587"/>
      <c r="AA608" s="587" t="str">
        <f>IF(VLOOKUP(H608,DS_131,1,0)&lt;&gt;"","","x")</f>
        <v/>
      </c>
      <c r="AB608" s="208"/>
    </row>
    <row r="609" spans="1:28" s="767" customFormat="1" ht="15.75" customHeight="1">
      <c r="A609" s="201" t="str">
        <f>IF(B609&lt;&gt;"",IF(AND(B609&gt;=_TM1,B609&lt;=_TM2,OR(TH!L609="1111",TH!M609="1111")),TH!D609,""),"")</f>
        <v/>
      </c>
      <c r="B609" s="36">
        <f t="shared" si="25"/>
        <v>8</v>
      </c>
      <c r="C609" s="188">
        <f t="shared" si="28"/>
        <v>41507</v>
      </c>
      <c r="D609" s="181" t="s">
        <v>447</v>
      </c>
      <c r="E609" s="188">
        <v>41507</v>
      </c>
      <c r="F609" s="186" t="s">
        <v>337</v>
      </c>
      <c r="G609" s="189" t="s">
        <v>1323</v>
      </c>
      <c r="H609" s="7" t="s">
        <v>710</v>
      </c>
      <c r="I609" s="249"/>
      <c r="J609" s="249"/>
      <c r="K609" s="38">
        <v>14317600</v>
      </c>
      <c r="L609" s="191" t="s">
        <v>47</v>
      </c>
      <c r="M609" s="191" t="s">
        <v>262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IF(OR(TH!L609=TH!$U$7,M609=TH!$U$7),"x","")</f>
        <v/>
      </c>
      <c r="V609" s="52" t="str">
        <f>IF(AND(B609&gt;='IN-NX'!$P$3,B609&lt;='IN-NX'!$Q$3,'IN-NX'!$D$7=D609,OR(LEFT(L609,2)="15",AND(LEFT(M609,2)&lt;&gt;"15",LEFT(M609,2)&lt;&gt;"33"))),"x","")</f>
        <v/>
      </c>
      <c r="W609" s="52" t="str">
        <f>IF(AND(OR(LEFT(TH!L609,2)="15",LEFT(TH!M609,2)="15"),'152-CT'!$J$8=TH!F609),"x","")</f>
        <v/>
      </c>
      <c r="X609" s="52" t="str">
        <f>IF(AND(OR(LEFT(TH!L609,2)="15",LEFT(TH!M609,2)="15"),TK!$E$7=TH!F609),"x","")</f>
        <v/>
      </c>
      <c r="Y609" s="52" t="str">
        <f>IF(AND(B609&lt;=NKC!$N$8,B609&gt;=NKC!$M$8),"x","")</f>
        <v>x</v>
      </c>
      <c r="Z609" s="587"/>
      <c r="AA609" s="587" t="str">
        <f>IF(VLOOKUP(H609,DS_131,1,0)&lt;&gt;"","","x")</f>
        <v/>
      </c>
      <c r="AB609" s="208"/>
    </row>
    <row r="610" spans="1:28" s="767" customFormat="1" ht="15.75" customHeight="1">
      <c r="A610" s="201" t="str">
        <f>IF(B610&lt;&gt;"",IF(AND(B610&gt;=_TM1,B610&lt;=_TM2,OR(TH!L610="1111",TH!M610="1111")),TH!D610,""),"")</f>
        <v/>
      </c>
      <c r="B610" s="36">
        <f t="shared" si="25"/>
        <v>8</v>
      </c>
      <c r="C610" s="188">
        <f t="shared" si="28"/>
        <v>41508</v>
      </c>
      <c r="D610" s="181" t="s">
        <v>406</v>
      </c>
      <c r="E610" s="181">
        <v>41508</v>
      </c>
      <c r="F610" s="189" t="s">
        <v>652</v>
      </c>
      <c r="G610" s="657" t="s">
        <v>653</v>
      </c>
      <c r="H610" s="190" t="s">
        <v>645</v>
      </c>
      <c r="I610" s="249">
        <v>300</v>
      </c>
      <c r="J610" s="249">
        <v>13621</v>
      </c>
      <c r="K610" s="38">
        <f>ROUND(I610*J610,0)</f>
        <v>4086300</v>
      </c>
      <c r="L610" s="191" t="s">
        <v>156</v>
      </c>
      <c r="M610" s="191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IF(OR(TH!L610=TH!$U$7,M610=TH!$U$7),"x","")</f>
        <v/>
      </c>
      <c r="V610" s="52" t="str">
        <f>IF(AND(B610&gt;='IN-NX'!$P$3,B610&lt;='IN-NX'!$Q$3,'IN-NX'!$D$7=D610,OR(LEFT(L610,2)="15",AND(LEFT(M610,2)&lt;&gt;"15",LEFT(M610,2)&lt;&gt;"33"))),"x","")</f>
        <v/>
      </c>
      <c r="W610" s="52" t="str">
        <f>IF(AND(OR(LEFT(TH!L610,2)="15",LEFT(TH!M610,2)="15"),'152-CT'!$J$8=TH!F610),"x","")</f>
        <v/>
      </c>
      <c r="X610" s="52" t="str">
        <f>IF(AND(OR(LEFT(TH!L610,2)="15",LEFT(TH!M610,2)="15"),TK!$E$7=TH!F610),"x","")</f>
        <v/>
      </c>
      <c r="Y610" s="52" t="str">
        <f>IF(AND(B610&lt;=NKC!$N$8,B610&gt;=NKC!$M$8),"x","")</f>
        <v>x</v>
      </c>
      <c r="Z610" s="587" t="s">
        <v>1301</v>
      </c>
      <c r="AA610" s="195"/>
      <c r="AB610" s="195"/>
    </row>
    <row r="611" spans="1:28" s="767" customFormat="1" ht="15.75" customHeight="1">
      <c r="A611" s="201" t="str">
        <f>IF(B611&lt;&gt;"",IF(AND(B611&gt;=_TM1,B611&lt;=_TM2,OR(TH!L611="1111",TH!M611="1111")),TH!D611,""),"")</f>
        <v/>
      </c>
      <c r="B611" s="36">
        <f t="shared" si="25"/>
        <v>8</v>
      </c>
      <c r="C611" s="188">
        <f t="shared" si="28"/>
        <v>41508</v>
      </c>
      <c r="D611" s="181" t="s">
        <v>406</v>
      </c>
      <c r="E611" s="181">
        <v>41508</v>
      </c>
      <c r="F611" s="189" t="s">
        <v>557</v>
      </c>
      <c r="G611" s="657" t="s">
        <v>653</v>
      </c>
      <c r="H611" s="190" t="s">
        <v>645</v>
      </c>
      <c r="I611" s="249"/>
      <c r="J611" s="249"/>
      <c r="K611" s="38">
        <v>408630</v>
      </c>
      <c r="L611" s="191" t="s">
        <v>9</v>
      </c>
      <c r="M611" s="191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IF(OR(TH!L611=TH!$U$7,M611=TH!$U$7),"x","")</f>
        <v/>
      </c>
      <c r="V611" s="52" t="str">
        <f>IF(AND(B611&gt;='IN-NX'!$P$3,B611&lt;='IN-NX'!$Q$3,'IN-NX'!$D$7=D611,OR(LEFT(L611,2)="15",AND(LEFT(M611,2)&lt;&gt;"15",LEFT(M611,2)&lt;&gt;"33"))),"x","")</f>
        <v/>
      </c>
      <c r="W611" s="52" t="str">
        <f>IF(AND(OR(LEFT(TH!L611,2)="15",LEFT(TH!M611,2)="15"),'152-CT'!$J$8=TH!F611),"x","")</f>
        <v/>
      </c>
      <c r="X611" s="52" t="str">
        <f>IF(AND(OR(LEFT(TH!L611,2)="15",LEFT(TH!M611,2)="15"),TK!$E$7=TH!F611),"x","")</f>
        <v/>
      </c>
      <c r="Y611" s="52" t="str">
        <f>IF(AND(B611&lt;=NKC!$N$8,B611&gt;=NKC!$M$8),"x","")</f>
        <v>x</v>
      </c>
      <c r="Z611" s="587" t="s">
        <v>1301</v>
      </c>
      <c r="AA611" s="195"/>
      <c r="AB611" s="195"/>
    </row>
    <row r="612" spans="1:28" s="767" customFormat="1" ht="15.75" customHeight="1">
      <c r="A612" s="201" t="str">
        <f>IF(B612&lt;&gt;"",IF(AND(B612&gt;=_TM1,B612&lt;=_TM2,OR(TH!L612="1111",TH!M612="1111")),TH!D612,""),"")</f>
        <v/>
      </c>
      <c r="B612" s="36">
        <f t="shared" si="25"/>
        <v>8</v>
      </c>
      <c r="C612" s="188">
        <f t="shared" si="28"/>
        <v>41508</v>
      </c>
      <c r="D612" s="181" t="s">
        <v>393</v>
      </c>
      <c r="E612" s="181">
        <v>41508</v>
      </c>
      <c r="F612" s="189" t="s">
        <v>367</v>
      </c>
      <c r="G612" s="657" t="s">
        <v>653</v>
      </c>
      <c r="H612" s="190" t="s">
        <v>645</v>
      </c>
      <c r="I612" s="249"/>
      <c r="J612" s="249"/>
      <c r="K612" s="38">
        <v>4494930</v>
      </c>
      <c r="L612" s="191" t="s">
        <v>8</v>
      </c>
      <c r="M612" s="191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IF(OR(TH!L612=TH!$U$7,M612=TH!$U$7),"x","")</f>
        <v/>
      </c>
      <c r="V612" s="52" t="str">
        <f>IF(AND(B612&gt;='IN-NX'!$P$3,B612&lt;='IN-NX'!$Q$3,'IN-NX'!$D$7=D612,OR(LEFT(L612,2)="15",AND(LEFT(M612,2)&lt;&gt;"15",LEFT(M612,2)&lt;&gt;"33"))),"x","")</f>
        <v/>
      </c>
      <c r="W612" s="52" t="str">
        <f>IF(AND(OR(LEFT(TH!L612,2)="15",LEFT(TH!M612,2)="15"),'152-CT'!$J$8=TH!F612),"x","")</f>
        <v/>
      </c>
      <c r="X612" s="52" t="str">
        <f>IF(AND(OR(LEFT(TH!L612,2)="15",LEFT(TH!M612,2)="15"),TK!$E$7=TH!F612),"x","")</f>
        <v/>
      </c>
      <c r="Y612" s="52" t="str">
        <f>IF(AND(B612&lt;=NKC!$N$8,B612&gt;=NKC!$M$8),"x","")</f>
        <v>x</v>
      </c>
      <c r="Z612" s="208"/>
      <c r="AA612" s="195"/>
      <c r="AB612" s="195"/>
    </row>
    <row r="613" spans="1:28" s="767" customFormat="1" ht="15.75" customHeight="1">
      <c r="A613" s="201" t="str">
        <f>IF(B613&lt;&gt;"",IF(AND(B613&gt;=_TM1,B613&lt;=_TM2,OR(TH!L613="1111",TH!M613="1111")),TH!D613,""),"")</f>
        <v/>
      </c>
      <c r="B613" s="36">
        <f t="shared" si="25"/>
        <v>8</v>
      </c>
      <c r="C613" s="188">
        <f t="shared" si="28"/>
        <v>41508</v>
      </c>
      <c r="D613" s="181" t="s">
        <v>394</v>
      </c>
      <c r="E613" s="181">
        <v>41508</v>
      </c>
      <c r="F613" s="189" t="s">
        <v>367</v>
      </c>
      <c r="G613" s="657"/>
      <c r="H613" s="190" t="s">
        <v>1080</v>
      </c>
      <c r="I613" s="249"/>
      <c r="J613" s="249"/>
      <c r="K613" s="38">
        <v>9470386</v>
      </c>
      <c r="L613" s="191" t="s">
        <v>8</v>
      </c>
      <c r="M613" s="191" t="s">
        <v>47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IF(OR(TH!L613=TH!$U$7,M613=TH!$U$7),"x","")</f>
        <v/>
      </c>
      <c r="V613" s="52" t="str">
        <f>IF(AND(B613&gt;='IN-NX'!$P$3,B613&lt;='IN-NX'!$Q$3,'IN-NX'!$D$7=D613,OR(LEFT(L613,2)="15",AND(LEFT(M613,2)&lt;&gt;"15",LEFT(M613,2)&lt;&gt;"33"))),"x","")</f>
        <v/>
      </c>
      <c r="W613" s="52" t="str">
        <f>IF(AND(OR(LEFT(TH!L613,2)="15",LEFT(TH!M613,2)="15"),'152-CT'!$J$8=TH!F613),"x","")</f>
        <v/>
      </c>
      <c r="X613" s="52" t="str">
        <f>IF(AND(OR(LEFT(TH!L613,2)="15",LEFT(TH!M613,2)="15"),TK!$E$7=TH!F613),"x","")</f>
        <v/>
      </c>
      <c r="Y613" s="52" t="str">
        <f>IF(AND(B613&lt;=NKC!$N$8,B613&gt;=NKC!$M$8),"x","")</f>
        <v>x</v>
      </c>
      <c r="Z613" s="208"/>
      <c r="AA613" s="195"/>
      <c r="AB613" s="195"/>
    </row>
    <row r="614" spans="1:28" s="767" customFormat="1" ht="15.75" customHeight="1">
      <c r="A614" s="201" t="str">
        <f>IF(B614&lt;&gt;"",IF(AND(B614&gt;=_TM1,B614&lt;=_TM2,OR(TH!L614="1111",TH!M614="1111")),TH!D614,""),"")</f>
        <v/>
      </c>
      <c r="B614" s="36">
        <f t="shared" si="25"/>
        <v>8</v>
      </c>
      <c r="C614" s="181">
        <f t="shared" si="28"/>
        <v>41509</v>
      </c>
      <c r="D614" s="181" t="s">
        <v>335</v>
      </c>
      <c r="E614" s="188">
        <v>41509</v>
      </c>
      <c r="F614" s="186" t="s">
        <v>337</v>
      </c>
      <c r="G614" s="597" t="s">
        <v>332</v>
      </c>
      <c r="H614" s="7" t="s">
        <v>507</v>
      </c>
      <c r="I614" s="250"/>
      <c r="J614" s="251"/>
      <c r="K614" s="38">
        <v>19995118</v>
      </c>
      <c r="L614" s="596" t="s">
        <v>24</v>
      </c>
      <c r="M614" s="596" t="s">
        <v>262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>x</v>
      </c>
      <c r="T614" s="52" t="str">
        <f>IF(ISERROR(FIND('112'!$M$9,G614,1)),"",IF((AND(RIGHT(G614,2)=RIGHT('112'!$M$9,2),B614&lt;'112'!$N$8,$M614='112'!$I$6)),"x",""))</f>
        <v/>
      </c>
      <c r="U614" s="52" t="str">
        <f>IF(OR(TH!L614=TH!$U$7,M614=TH!$U$7),"x","")</f>
        <v/>
      </c>
      <c r="V614" s="52" t="str">
        <f>IF(AND(B614&gt;='IN-NX'!$P$3,B614&lt;='IN-NX'!$Q$3,'IN-NX'!$D$7=D614,OR(LEFT(L614,2)="15",AND(LEFT(M614,2)&lt;&gt;"15",LEFT(M614,2)&lt;&gt;"33"))),"x","")</f>
        <v/>
      </c>
      <c r="W614" s="52" t="str">
        <f>IF(AND(OR(LEFT(TH!L614,2)="15",LEFT(TH!M614,2)="15"),'152-CT'!$J$8=TH!F614),"x","")</f>
        <v/>
      </c>
      <c r="X614" s="52" t="str">
        <f>IF(AND(OR(LEFT(TH!L614,2)="15",LEFT(TH!M614,2)="15"),TK!$E$7=TH!F614),"x","")</f>
        <v/>
      </c>
      <c r="Y614" s="52" t="str">
        <f>IF(AND(B614&lt;=NKC!$N$8,B614&gt;=NKC!$M$8),"x","")</f>
        <v>x</v>
      </c>
      <c r="Z614" s="587"/>
      <c r="AA614" s="195"/>
      <c r="AB614" s="195"/>
    </row>
    <row r="615" spans="1:28" s="767" customFormat="1" ht="15.75" customHeight="1">
      <c r="A615" s="201" t="str">
        <f>IF(B615&lt;&gt;"",IF(AND(B615&gt;=_TM1,B615&lt;=_TM2,OR(TH!L615="1111",TH!M615="1111")),TH!D615,""),"")</f>
        <v/>
      </c>
      <c r="B615" s="36">
        <f t="shared" si="25"/>
        <v>8</v>
      </c>
      <c r="C615" s="188">
        <f t="shared" si="28"/>
        <v>41509</v>
      </c>
      <c r="D615" s="181" t="s">
        <v>395</v>
      </c>
      <c r="E615" s="188">
        <v>41509</v>
      </c>
      <c r="F615" s="186" t="s">
        <v>431</v>
      </c>
      <c r="G615" s="480" t="s">
        <v>508</v>
      </c>
      <c r="H615" s="7" t="s">
        <v>368</v>
      </c>
      <c r="I615" s="249"/>
      <c r="J615" s="249"/>
      <c r="K615" s="595">
        <v>1000000</v>
      </c>
      <c r="L615" s="596" t="s">
        <v>162</v>
      </c>
      <c r="M615" s="596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>x</v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IF(OR(TH!L615=TH!$U$7,M615=TH!$U$7),"x","")</f>
        <v/>
      </c>
      <c r="V615" s="52" t="str">
        <f>IF(AND(B615&gt;='IN-NX'!$P$3,B615&lt;='IN-NX'!$Q$3,'IN-NX'!$D$7=D615,OR(LEFT(L615,2)="15",AND(LEFT(M615,2)&lt;&gt;"15",LEFT(M615,2)&lt;&gt;"33"))),"x","")</f>
        <v/>
      </c>
      <c r="W615" s="52" t="str">
        <f>IF(AND(OR(LEFT(TH!L615,2)="15",LEFT(TH!M615,2)="15"),'152-CT'!$J$8=TH!F615),"x","")</f>
        <v/>
      </c>
      <c r="X615" s="52" t="str">
        <f>IF(AND(OR(LEFT(TH!L615,2)="15",LEFT(TH!M615,2)="15"),TK!$E$7=TH!F615),"x","")</f>
        <v/>
      </c>
      <c r="Y615" s="52" t="str">
        <f>IF(AND(B615&lt;=NKC!$N$8,B615&gt;=NKC!$M$8),"x","")</f>
        <v>x</v>
      </c>
      <c r="Z615" s="587" t="s">
        <v>1301</v>
      </c>
      <c r="AA615" s="195"/>
      <c r="AB615" s="195"/>
    </row>
    <row r="616" spans="1:28" s="767" customFormat="1" ht="15.75" customHeight="1">
      <c r="A616" s="201" t="str">
        <f>IF(B616&lt;&gt;"",IF(AND(B616&gt;=_TM1,B616&lt;=_TM2,OR(TH!L616="1111",TH!M616="1111")),TH!D616,""),"")</f>
        <v/>
      </c>
      <c r="B616" s="36">
        <f t="shared" si="25"/>
        <v>8</v>
      </c>
      <c r="C616" s="188">
        <f t="shared" si="28"/>
        <v>41509</v>
      </c>
      <c r="D616" s="181" t="s">
        <v>395</v>
      </c>
      <c r="E616" s="188">
        <v>41509</v>
      </c>
      <c r="F616" s="186" t="s">
        <v>344</v>
      </c>
      <c r="G616" s="480" t="s">
        <v>508</v>
      </c>
      <c r="H616" s="7" t="s">
        <v>368</v>
      </c>
      <c r="I616" s="250"/>
      <c r="J616" s="250"/>
      <c r="K616" s="595">
        <v>100000</v>
      </c>
      <c r="L616" s="596" t="s">
        <v>9</v>
      </c>
      <c r="M616" s="596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>x</v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IF(OR(TH!L616=TH!$U$7,M616=TH!$U$7),"x","")</f>
        <v/>
      </c>
      <c r="V616" s="52" t="str">
        <f>IF(AND(B616&gt;='IN-NX'!$P$3,B616&lt;='IN-NX'!$Q$3,'IN-NX'!$D$7=D616,OR(LEFT(L616,2)="15",AND(LEFT(M616,2)&lt;&gt;"15",LEFT(M616,2)&lt;&gt;"33"))),"x","")</f>
        <v/>
      </c>
      <c r="W616" s="52" t="str">
        <f>IF(AND(OR(LEFT(TH!L616,2)="15",LEFT(TH!M616,2)="15"),'152-CT'!$J$8=TH!F616),"x","")</f>
        <v/>
      </c>
      <c r="X616" s="52" t="str">
        <f>IF(AND(OR(LEFT(TH!L616,2)="15",LEFT(TH!M616,2)="15"),TK!$E$7=TH!F616),"x","")</f>
        <v/>
      </c>
      <c r="Y616" s="52" t="str">
        <f>IF(AND(B616&lt;=NKC!$N$8,B616&gt;=NKC!$M$8),"x","")</f>
        <v>x</v>
      </c>
      <c r="Z616" s="587" t="s">
        <v>1301</v>
      </c>
      <c r="AA616" s="195"/>
      <c r="AB616" s="195"/>
    </row>
    <row r="617" spans="1:28" s="767" customFormat="1" ht="15.75" customHeight="1">
      <c r="A617" s="201" t="str">
        <f>IF(B617&lt;&gt;"",IF(AND(B617&gt;=_TM1,B617&lt;=_TM2,OR(TH!L617="1111",TH!M617="1111")),TH!D617,""),"")</f>
        <v/>
      </c>
      <c r="B617" s="36">
        <f t="shared" si="25"/>
        <v>8</v>
      </c>
      <c r="C617" s="181">
        <f t="shared" si="28"/>
        <v>41510</v>
      </c>
      <c r="D617" s="181" t="s">
        <v>335</v>
      </c>
      <c r="E617" s="181">
        <v>41510</v>
      </c>
      <c r="F617" s="186" t="s">
        <v>365</v>
      </c>
      <c r="G617" s="597" t="s">
        <v>332</v>
      </c>
      <c r="H617" s="7"/>
      <c r="I617" s="249"/>
      <c r="J617" s="249"/>
      <c r="K617" s="595">
        <v>20308</v>
      </c>
      <c r="L617" s="596" t="s">
        <v>24</v>
      </c>
      <c r="M617" s="596" t="s">
        <v>40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52" t="str">
        <f>IF(OR(TH!L617=TH!$U$7,M617=TH!$U$7),"x","")</f>
        <v/>
      </c>
      <c r="V617" s="52" t="str">
        <f>IF(AND(B617&gt;='IN-NX'!$P$3,B617&lt;='IN-NX'!$Q$3,'IN-NX'!$D$7=D617,OR(LEFT(L617,2)="15",AND(LEFT(M617,2)&lt;&gt;"15",LEFT(M617,2)&lt;&gt;"33"))),"x","")</f>
        <v/>
      </c>
      <c r="W617" s="52" t="str">
        <f>IF(AND(OR(LEFT(TH!L617,2)="15",LEFT(TH!M617,2)="15"),'152-CT'!$J$8=TH!F617),"x","")</f>
        <v/>
      </c>
      <c r="X617" s="52" t="str">
        <f>IF(AND(OR(LEFT(TH!L617,2)="15",LEFT(TH!M617,2)="15"),TK!$E$7=TH!F617),"x","")</f>
        <v/>
      </c>
      <c r="Y617" s="52" t="str">
        <f>IF(AND(B617&lt;=NKC!$N$8,B617&gt;=NKC!$M$8),"x","")</f>
        <v>x</v>
      </c>
      <c r="Z617" s="587"/>
      <c r="AA617" s="195"/>
      <c r="AB617" s="195"/>
    </row>
    <row r="618" spans="1:28" s="767" customFormat="1" ht="15.75" customHeight="1">
      <c r="A618" s="201" t="str">
        <f>IF(B618&lt;&gt;"",IF(AND(B618&gt;=_TM1,B618&lt;=_TM2,OR(TH!L618="1111",TH!M618="1111")),TH!D618,""),"")</f>
        <v/>
      </c>
      <c r="B618" s="36">
        <f t="shared" si="25"/>
        <v>8</v>
      </c>
      <c r="C618" s="188">
        <f t="shared" si="28"/>
        <v>41511</v>
      </c>
      <c r="D618" s="181" t="s">
        <v>1047</v>
      </c>
      <c r="E618" s="188">
        <v>41511</v>
      </c>
      <c r="F618" s="189" t="s">
        <v>887</v>
      </c>
      <c r="G618" s="189" t="s">
        <v>888</v>
      </c>
      <c r="H618" s="7" t="s">
        <v>511</v>
      </c>
      <c r="I618" s="249">
        <v>52</v>
      </c>
      <c r="J618" s="249">
        <v>9600</v>
      </c>
      <c r="K618" s="38">
        <f>ROUND(I618*J618,0)</f>
        <v>499200</v>
      </c>
      <c r="L618" s="191" t="s">
        <v>262</v>
      </c>
      <c r="M618" s="191" t="s">
        <v>172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IF(OR(TH!L618=TH!$U$7,M618=TH!$U$7),"x","")</f>
        <v/>
      </c>
      <c r="V618" s="52" t="str">
        <f>IF(AND(B618&gt;='IN-NX'!$P$3,B618&lt;='IN-NX'!$Q$3,'IN-NX'!$D$7=D618,OR(LEFT(L618,2)="15",AND(LEFT(M618,2)&lt;&gt;"15",LEFT(M618,2)&lt;&gt;"33"))),"x","")</f>
        <v/>
      </c>
      <c r="W618" s="52" t="str">
        <f>IF(AND(OR(LEFT(TH!L618,2)="15",LEFT(TH!M618,2)="15"),'152-CT'!$J$8=TH!F618),"x","")</f>
        <v/>
      </c>
      <c r="X618" s="52" t="str">
        <f>IF(AND(OR(LEFT(TH!L618,2)="15",LEFT(TH!M618,2)="15"),TK!$E$7=TH!F618),"x","")</f>
        <v/>
      </c>
      <c r="Y618" s="52" t="str">
        <f>IF(AND(B618&lt;=NKC!$N$8,B618&gt;=NKC!$M$8),"x","")</f>
        <v>x</v>
      </c>
      <c r="Z618" s="208"/>
      <c r="AA618" s="587"/>
      <c r="AB618" s="208"/>
    </row>
    <row r="619" spans="1:28" s="767" customFormat="1" ht="15.75" customHeight="1">
      <c r="A619" s="201" t="str">
        <f>IF(B619&lt;&gt;"",IF(AND(B619&gt;=_TM1,B619&lt;=_TM2,OR(TH!L619="1111",TH!M619="1111")),TH!D619,""),"")</f>
        <v/>
      </c>
      <c r="B619" s="36">
        <f t="shared" si="25"/>
        <v>8</v>
      </c>
      <c r="C619" s="188">
        <f t="shared" si="28"/>
        <v>41511</v>
      </c>
      <c r="D619" s="181" t="s">
        <v>1047</v>
      </c>
      <c r="E619" s="188">
        <v>41511</v>
      </c>
      <c r="F619" s="189" t="s">
        <v>1128</v>
      </c>
      <c r="G619" s="189" t="s">
        <v>888</v>
      </c>
      <c r="H619" s="7" t="s">
        <v>511</v>
      </c>
      <c r="I619" s="249">
        <v>1390</v>
      </c>
      <c r="J619" s="249">
        <v>5950</v>
      </c>
      <c r="K619" s="38">
        <f>ROUND(I619*J619,0)</f>
        <v>8270500</v>
      </c>
      <c r="L619" s="191" t="s">
        <v>262</v>
      </c>
      <c r="M619" s="191" t="s">
        <v>172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IF(OR(TH!L619=TH!$U$7,M619=TH!$U$7),"x","")</f>
        <v/>
      </c>
      <c r="V619" s="52" t="str">
        <f>IF(AND(B619&gt;='IN-NX'!$P$3,B619&lt;='IN-NX'!$Q$3,'IN-NX'!$D$7=D619,OR(LEFT(L619,2)="15",AND(LEFT(M619,2)&lt;&gt;"15",LEFT(M619,2)&lt;&gt;"33"))),"x","")</f>
        <v/>
      </c>
      <c r="W619" s="52" t="str">
        <f>IF(AND(OR(LEFT(TH!L619,2)="15",LEFT(TH!M619,2)="15"),'152-CT'!$J$8=TH!F619),"x","")</f>
        <v/>
      </c>
      <c r="X619" s="52" t="str">
        <f>IF(AND(OR(LEFT(TH!L619,2)="15",LEFT(TH!M619,2)="15"),TK!$E$7=TH!F619),"x","")</f>
        <v/>
      </c>
      <c r="Y619" s="52" t="str">
        <f>IF(AND(B619&lt;=NKC!$N$8,B619&gt;=NKC!$M$8),"x","")</f>
        <v>x</v>
      </c>
      <c r="Z619" s="587"/>
      <c r="AA619" s="587"/>
      <c r="AB619" s="208"/>
    </row>
    <row r="620" spans="1:28" s="767" customFormat="1" ht="15.75" customHeight="1">
      <c r="A620" s="201" t="str">
        <f>IF(B620&lt;&gt;"",IF(AND(B620&gt;=_TM1,B620&lt;=_TM2,OR(TH!L620="1111",TH!M620="1111")),TH!D620,""),"")</f>
        <v/>
      </c>
      <c r="B620" s="36">
        <f t="shared" si="25"/>
        <v>8</v>
      </c>
      <c r="C620" s="188">
        <f t="shared" si="28"/>
        <v>41511</v>
      </c>
      <c r="D620" s="181" t="s">
        <v>1047</v>
      </c>
      <c r="E620" s="188">
        <v>41511</v>
      </c>
      <c r="F620" s="189" t="s">
        <v>889</v>
      </c>
      <c r="G620" s="189" t="s">
        <v>888</v>
      </c>
      <c r="H620" s="7" t="s">
        <v>511</v>
      </c>
      <c r="I620" s="249">
        <v>310</v>
      </c>
      <c r="J620" s="249">
        <v>5860</v>
      </c>
      <c r="K620" s="38">
        <f>ROUND(I620*J620,0)</f>
        <v>1816600</v>
      </c>
      <c r="L620" s="191" t="s">
        <v>262</v>
      </c>
      <c r="M620" s="191" t="s">
        <v>172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IF(OR(TH!L620=TH!$U$7,M620=TH!$U$7),"x","")</f>
        <v/>
      </c>
      <c r="V620" s="52" t="str">
        <f>IF(AND(B620&gt;='IN-NX'!$P$3,B620&lt;='IN-NX'!$Q$3,'IN-NX'!$D$7=D620,OR(LEFT(L620,2)="15",AND(LEFT(M620,2)&lt;&gt;"15",LEFT(M620,2)&lt;&gt;"33"))),"x","")</f>
        <v/>
      </c>
      <c r="W620" s="52" t="str">
        <f>IF(AND(OR(LEFT(TH!L620,2)="15",LEFT(TH!M620,2)="15"),'152-CT'!$J$8=TH!F620),"x","")</f>
        <v/>
      </c>
      <c r="X620" s="52" t="str">
        <f>IF(AND(OR(LEFT(TH!L620,2)="15",LEFT(TH!M620,2)="15"),TK!$E$7=TH!F620),"x","")</f>
        <v/>
      </c>
      <c r="Y620" s="52" t="str">
        <f>IF(AND(B620&lt;=NKC!$N$8,B620&gt;=NKC!$M$8),"x","")</f>
        <v>x</v>
      </c>
      <c r="Z620" s="208"/>
      <c r="AA620" s="587"/>
      <c r="AB620" s="208"/>
    </row>
    <row r="621" spans="1:28" s="767" customFormat="1" ht="15.75" customHeight="1">
      <c r="A621" s="201" t="str">
        <f>IF(B621&lt;&gt;"",IF(AND(B621&gt;=_TM1,B621&lt;=_TM2,OR(TH!L621="1111",TH!M621="1111")),TH!D621,""),"")</f>
        <v/>
      </c>
      <c r="B621" s="36">
        <f t="shared" si="25"/>
        <v>8</v>
      </c>
      <c r="C621" s="188">
        <f t="shared" si="28"/>
        <v>41511</v>
      </c>
      <c r="D621" s="181" t="s">
        <v>1047</v>
      </c>
      <c r="E621" s="188">
        <v>41511</v>
      </c>
      <c r="F621" s="189" t="s">
        <v>887</v>
      </c>
      <c r="G621" s="189" t="s">
        <v>888</v>
      </c>
      <c r="H621" s="7" t="s">
        <v>511</v>
      </c>
      <c r="I621" s="249">
        <v>90</v>
      </c>
      <c r="J621" s="249">
        <v>9120</v>
      </c>
      <c r="K621" s="38">
        <f>ROUND(I621*J621,0)</f>
        <v>820800</v>
      </c>
      <c r="L621" s="191" t="s">
        <v>262</v>
      </c>
      <c r="M621" s="191" t="s">
        <v>172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IF(OR(TH!L621=TH!$U$7,M621=TH!$U$7),"x","")</f>
        <v/>
      </c>
      <c r="V621" s="52" t="str">
        <f>IF(AND(B621&gt;='IN-NX'!$P$3,B621&lt;='IN-NX'!$Q$3,'IN-NX'!$D$7=D621,OR(LEFT(L621,2)="15",AND(LEFT(M621,2)&lt;&gt;"15",LEFT(M621,2)&lt;&gt;"33"))),"x","")</f>
        <v/>
      </c>
      <c r="W621" s="52" t="str">
        <f>IF(AND(OR(LEFT(TH!L621,2)="15",LEFT(TH!M621,2)="15"),'152-CT'!$J$8=TH!F621),"x","")</f>
        <v/>
      </c>
      <c r="X621" s="52" t="str">
        <f>IF(AND(OR(LEFT(TH!L621,2)="15",LEFT(TH!M621,2)="15"),TK!$E$7=TH!F621),"x","")</f>
        <v/>
      </c>
      <c r="Y621" s="52" t="str">
        <f>IF(AND(B621&lt;=NKC!$N$8,B621&gt;=NKC!$M$8),"x","")</f>
        <v>x</v>
      </c>
      <c r="Z621" s="587"/>
      <c r="AA621" s="587"/>
      <c r="AB621" s="208"/>
    </row>
    <row r="622" spans="1:28" s="767" customFormat="1" ht="15.75" customHeight="1">
      <c r="A622" s="201" t="str">
        <f>IF(B622&lt;&gt;"",IF(AND(B622&gt;=_TM1,B622&lt;=_TM2,OR(TH!L622="1111",TH!M622="1111")),TH!D622,""),"")</f>
        <v/>
      </c>
      <c r="B622" s="36">
        <f t="shared" si="25"/>
        <v>8</v>
      </c>
      <c r="C622" s="188">
        <f t="shared" si="28"/>
        <v>41511</v>
      </c>
      <c r="D622" s="181" t="s">
        <v>1047</v>
      </c>
      <c r="E622" s="188">
        <v>41511</v>
      </c>
      <c r="F622" s="189" t="s">
        <v>693</v>
      </c>
      <c r="G622" s="189" t="s">
        <v>888</v>
      </c>
      <c r="H622" s="7" t="s">
        <v>511</v>
      </c>
      <c r="I622" s="249"/>
      <c r="J622" s="249"/>
      <c r="K622" s="38">
        <v>1140710</v>
      </c>
      <c r="L622" s="191" t="s">
        <v>262</v>
      </c>
      <c r="M622" s="191" t="s">
        <v>425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IF(OR(TH!L622=TH!$U$7,M622=TH!$U$7),"x","")</f>
        <v/>
      </c>
      <c r="V622" s="52" t="str">
        <f>IF(AND(B622&gt;='IN-NX'!$P$3,B622&lt;='IN-NX'!$Q$3,'IN-NX'!$D$7=D622,OR(LEFT(L622,2)="15",AND(LEFT(M622,2)&lt;&gt;"15",LEFT(M622,2)&lt;&gt;"33"))),"x","")</f>
        <v/>
      </c>
      <c r="W622" s="52" t="str">
        <f>IF(AND(OR(LEFT(TH!L622,2)="15",LEFT(TH!M622,2)="15"),'152-CT'!$J$8=TH!F622),"x","")</f>
        <v/>
      </c>
      <c r="X622" s="52" t="str">
        <f>IF(AND(OR(LEFT(TH!L622,2)="15",LEFT(TH!M622,2)="15"),TK!$E$7=TH!F622),"x","")</f>
        <v/>
      </c>
      <c r="Y622" s="52" t="str">
        <f>IF(AND(B622&lt;=NKC!$N$8,B622&gt;=NKC!$M$8),"x","")</f>
        <v>x</v>
      </c>
      <c r="Z622" s="208"/>
      <c r="AA622" s="587" t="str">
        <f>IF(VLOOKUP(H622,DS_131,1,0)&lt;&gt;"","","x")</f>
        <v/>
      </c>
      <c r="AB622" s="208"/>
    </row>
    <row r="623" spans="1:28" s="767" customFormat="1" ht="15.75" customHeight="1">
      <c r="A623" s="201" t="str">
        <f>IF(B623&lt;&gt;"",IF(AND(B623&gt;=_TM1,B623&lt;=_TM2,OR(TH!L623="1111",TH!M623="1111")),TH!D623,""),"")</f>
        <v/>
      </c>
      <c r="B623" s="36">
        <f t="shared" si="25"/>
        <v>8</v>
      </c>
      <c r="C623" s="181">
        <f t="shared" si="28"/>
        <v>41512</v>
      </c>
      <c r="D623" s="181" t="s">
        <v>448</v>
      </c>
      <c r="E623" s="188">
        <v>41512</v>
      </c>
      <c r="F623" s="186" t="s">
        <v>469</v>
      </c>
      <c r="G623" s="597" t="s">
        <v>332</v>
      </c>
      <c r="H623" s="7" t="s">
        <v>364</v>
      </c>
      <c r="I623" s="249"/>
      <c r="J623" s="251"/>
      <c r="K623" s="38">
        <v>75500000</v>
      </c>
      <c r="L623" s="596" t="s">
        <v>47</v>
      </c>
      <c r="M623" s="596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>x</v>
      </c>
      <c r="U623" s="52" t="str">
        <f>IF(OR(TH!L623=TH!$U$7,M623=TH!$U$7),"x","")</f>
        <v/>
      </c>
      <c r="V623" s="52" t="str">
        <f>IF(AND(B623&gt;='IN-NX'!$P$3,B623&lt;='IN-NX'!$Q$3,'IN-NX'!$D$7=D623,OR(LEFT(L623,2)="15",AND(LEFT(M623,2)&lt;&gt;"15",LEFT(M623,2)&lt;&gt;"33"))),"x","")</f>
        <v/>
      </c>
      <c r="W623" s="52" t="str">
        <f>IF(AND(OR(LEFT(TH!L623,2)="15",LEFT(TH!M623,2)="15"),'152-CT'!$J$8=TH!F623),"x","")</f>
        <v/>
      </c>
      <c r="X623" s="52" t="str">
        <f>IF(AND(OR(LEFT(TH!L623,2)="15",LEFT(TH!M623,2)="15"),TK!$E$7=TH!F623),"x","")</f>
        <v/>
      </c>
      <c r="Y623" s="52" t="str">
        <f>IF(AND(B623&lt;=NKC!$N$8,B623&gt;=NKC!$M$8),"x","")</f>
        <v>x</v>
      </c>
      <c r="Z623" s="587"/>
      <c r="AA623" s="195"/>
      <c r="AB623" s="195"/>
    </row>
    <row r="624" spans="1:28" s="767" customFormat="1" ht="15.75" customHeight="1">
      <c r="A624" s="201" t="str">
        <f>IF(B624&lt;&gt;"",IF(AND(B624&gt;=_TM1,B624&lt;=_TM2,OR(TH!L624="1111",TH!M624="1111")),TH!D624,""),"")</f>
        <v/>
      </c>
      <c r="B624" s="36">
        <f t="shared" si="25"/>
        <v>8</v>
      </c>
      <c r="C624" s="188">
        <f t="shared" si="28"/>
        <v>41512</v>
      </c>
      <c r="D624" s="181" t="s">
        <v>1048</v>
      </c>
      <c r="E624" s="188">
        <v>41512</v>
      </c>
      <c r="F624" s="189" t="s">
        <v>1117</v>
      </c>
      <c r="G624" s="189" t="s">
        <v>890</v>
      </c>
      <c r="H624" s="190" t="s">
        <v>863</v>
      </c>
      <c r="I624" s="249">
        <v>1400</v>
      </c>
      <c r="J624" s="249">
        <v>4720</v>
      </c>
      <c r="K624" s="38">
        <f>ROUND(I624*J624,0)</f>
        <v>6608000</v>
      </c>
      <c r="L624" s="191" t="s">
        <v>262</v>
      </c>
      <c r="M624" s="191" t="s">
        <v>172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IF(OR(TH!L624=TH!$U$7,M624=TH!$U$7),"x","")</f>
        <v/>
      </c>
      <c r="V624" s="52" t="str">
        <f>IF(AND(B624&gt;='IN-NX'!$P$3,B624&lt;='IN-NX'!$Q$3,'IN-NX'!$D$7=D624,OR(LEFT(L624,2)="15",AND(LEFT(M624,2)&lt;&gt;"15",LEFT(M624,2)&lt;&gt;"33"))),"x","")</f>
        <v/>
      </c>
      <c r="W624" s="52" t="str">
        <f>IF(AND(OR(LEFT(TH!L624,2)="15",LEFT(TH!M624,2)="15"),'152-CT'!$J$8=TH!F624),"x","")</f>
        <v/>
      </c>
      <c r="X624" s="52" t="str">
        <f>IF(AND(OR(LEFT(TH!L624,2)="15",LEFT(TH!M624,2)="15"),TK!$E$7=TH!F624),"x","")</f>
        <v/>
      </c>
      <c r="Y624" s="52" t="str">
        <f>IF(AND(B624&lt;=NKC!$N$8,B624&gt;=NKC!$M$8),"x","")</f>
        <v>x</v>
      </c>
      <c r="Z624" s="208"/>
      <c r="AA624" s="587"/>
      <c r="AB624" s="208"/>
    </row>
    <row r="625" spans="1:28" s="767" customFormat="1" ht="15.75" customHeight="1">
      <c r="A625" s="201" t="str">
        <f>IF(B625&lt;&gt;"",IF(AND(B625&gt;=_TM1,B625&lt;=_TM2,OR(TH!L625="1111",TH!M625="1111")),TH!D625,""),"")</f>
        <v/>
      </c>
      <c r="B625" s="36">
        <f t="shared" si="25"/>
        <v>8</v>
      </c>
      <c r="C625" s="188">
        <f t="shared" si="28"/>
        <v>41512</v>
      </c>
      <c r="D625" s="181" t="s">
        <v>1048</v>
      </c>
      <c r="E625" s="188">
        <v>41512</v>
      </c>
      <c r="F625" s="189" t="s">
        <v>1117</v>
      </c>
      <c r="G625" s="189" t="s">
        <v>890</v>
      </c>
      <c r="H625" s="190" t="s">
        <v>863</v>
      </c>
      <c r="I625" s="249">
        <v>2400</v>
      </c>
      <c r="J625" s="249">
        <v>4720</v>
      </c>
      <c r="K625" s="38">
        <f>ROUND(I625*J625,0)</f>
        <v>11328000</v>
      </c>
      <c r="L625" s="191" t="s">
        <v>262</v>
      </c>
      <c r="M625" s="191" t="s">
        <v>172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IF(OR(TH!L625=TH!$U$7,M625=TH!$U$7),"x","")</f>
        <v/>
      </c>
      <c r="V625" s="52" t="str">
        <f>IF(AND(B625&gt;='IN-NX'!$P$3,B625&lt;='IN-NX'!$Q$3,'IN-NX'!$D$7=D625,OR(LEFT(L625,2)="15",AND(LEFT(M625,2)&lt;&gt;"15",LEFT(M625,2)&lt;&gt;"33"))),"x","")</f>
        <v/>
      </c>
      <c r="W625" s="52" t="str">
        <f>IF(AND(OR(LEFT(TH!L625,2)="15",LEFT(TH!M625,2)="15"),'152-CT'!$J$8=TH!F625),"x","")</f>
        <v/>
      </c>
      <c r="X625" s="52" t="str">
        <f>IF(AND(OR(LEFT(TH!L625,2)="15",LEFT(TH!M625,2)="15"),TK!$E$7=TH!F625),"x","")</f>
        <v/>
      </c>
      <c r="Y625" s="52" t="str">
        <f>IF(AND(B625&lt;=NKC!$N$8,B625&gt;=NKC!$M$8),"x","")</f>
        <v>x</v>
      </c>
      <c r="Z625" s="208"/>
      <c r="AA625" s="587"/>
      <c r="AB625" s="208"/>
    </row>
    <row r="626" spans="1:28" s="767" customFormat="1" ht="15.75" customHeight="1">
      <c r="A626" s="201" t="str">
        <f>IF(B626&lt;&gt;"",IF(AND(B626&gt;=_TM1,B626&lt;=_TM2,OR(TH!L626="1111",TH!M626="1111")),TH!D626,""),"")</f>
        <v/>
      </c>
      <c r="B626" s="36">
        <f t="shared" si="25"/>
        <v>8</v>
      </c>
      <c r="C626" s="188">
        <f t="shared" si="28"/>
        <v>41512</v>
      </c>
      <c r="D626" s="181" t="s">
        <v>1048</v>
      </c>
      <c r="E626" s="188">
        <v>41512</v>
      </c>
      <c r="F626" s="189" t="s">
        <v>693</v>
      </c>
      <c r="G626" s="189" t="s">
        <v>890</v>
      </c>
      <c r="H626" s="190" t="s">
        <v>863</v>
      </c>
      <c r="I626" s="249"/>
      <c r="J626" s="249"/>
      <c r="K626" s="38">
        <v>1793600</v>
      </c>
      <c r="L626" s="191" t="s">
        <v>262</v>
      </c>
      <c r="M626" s="191" t="s">
        <v>425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IF(OR(TH!L626=TH!$U$7,M626=TH!$U$7),"x","")</f>
        <v/>
      </c>
      <c r="V626" s="52" t="str">
        <f>IF(AND(B626&gt;='IN-NX'!$P$3,B626&lt;='IN-NX'!$Q$3,'IN-NX'!$D$7=D626,OR(LEFT(L626,2)="15",AND(LEFT(M626,2)&lt;&gt;"15",LEFT(M626,2)&lt;&gt;"33"))),"x","")</f>
        <v/>
      </c>
      <c r="W626" s="52" t="str">
        <f>IF(AND(OR(LEFT(TH!L626,2)="15",LEFT(TH!M626,2)="15"),'152-CT'!$J$8=TH!F626),"x","")</f>
        <v/>
      </c>
      <c r="X626" s="52" t="str">
        <f>IF(AND(OR(LEFT(TH!L626,2)="15",LEFT(TH!M626,2)="15"),TK!$E$7=TH!F626),"x","")</f>
        <v/>
      </c>
      <c r="Y626" s="52" t="str">
        <f>IF(AND(B626&lt;=NKC!$N$8,B626&gt;=NKC!$M$8),"x","")</f>
        <v>x</v>
      </c>
      <c r="Z626" s="208"/>
      <c r="AA626" s="587" t="str">
        <f>IF(VLOOKUP(H626,DS_131,1,0)&lt;&gt;"","","x")</f>
        <v/>
      </c>
      <c r="AB626" s="208"/>
    </row>
    <row r="627" spans="1:28" s="767" customFormat="1" ht="15.75" customHeight="1">
      <c r="A627" s="201" t="str">
        <f>IF(B627&lt;&gt;"",IF(AND(B627&gt;=_TM1,B627&lt;=_TM2,OR(TH!L627="1111",TH!M627="1111")),TH!D627,""),"")</f>
        <v/>
      </c>
      <c r="B627" s="36">
        <f t="shared" si="25"/>
        <v>8</v>
      </c>
      <c r="C627" s="188">
        <f t="shared" si="28"/>
        <v>41512</v>
      </c>
      <c r="D627" s="181" t="s">
        <v>1049</v>
      </c>
      <c r="E627" s="188">
        <v>41512</v>
      </c>
      <c r="F627" s="186" t="s">
        <v>1108</v>
      </c>
      <c r="G627" s="189" t="s">
        <v>1082</v>
      </c>
      <c r="H627" s="190" t="s">
        <v>757</v>
      </c>
      <c r="I627" s="249">
        <v>1010</v>
      </c>
      <c r="J627" s="249">
        <v>5455</v>
      </c>
      <c r="K627" s="38">
        <f>ROUND(I627*J627,0)</f>
        <v>5509550</v>
      </c>
      <c r="L627" s="191" t="s">
        <v>262</v>
      </c>
      <c r="M627" s="191" t="s">
        <v>172</v>
      </c>
      <c r="N627" s="52" t="str">
        <f>IF(AND('331-CT'!$E$7=TH!H627,OR(L627="331",M627="331")),"331",IF(AND(OR(L627="131",M627="131"),H627='131-CT'!$E$7),"131",""))</f>
        <v>131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IF(OR(TH!L627=TH!$U$7,M627=TH!$U$7),"x","")</f>
        <v/>
      </c>
      <c r="V627" s="52" t="str">
        <f>IF(AND(B627&gt;='IN-NX'!$P$3,B627&lt;='IN-NX'!$Q$3,'IN-NX'!$D$7=D627,OR(LEFT(L627,2)="15",AND(LEFT(M627,2)&lt;&gt;"15",LEFT(M627,2)&lt;&gt;"33"))),"x","")</f>
        <v/>
      </c>
      <c r="W627" s="52" t="str">
        <f>IF(AND(OR(LEFT(TH!L627,2)="15",LEFT(TH!M627,2)="15"),'152-CT'!$J$8=TH!F627),"x","")</f>
        <v/>
      </c>
      <c r="X627" s="52" t="str">
        <f>IF(AND(OR(LEFT(TH!L627,2)="15",LEFT(TH!M627,2)="15"),TK!$E$7=TH!F627),"x","")</f>
        <v/>
      </c>
      <c r="Y627" s="52" t="str">
        <f>IF(AND(B627&lt;=NKC!$N$8,B627&gt;=NKC!$M$8),"x","")</f>
        <v>x</v>
      </c>
      <c r="Z627" s="208"/>
      <c r="AA627" s="587"/>
      <c r="AB627" s="208"/>
    </row>
    <row r="628" spans="1:28" s="767" customFormat="1" ht="15.75" customHeight="1">
      <c r="A628" s="201" t="str">
        <f>IF(B628&lt;&gt;"",IF(AND(B628&gt;=_TM1,B628&lt;=_TM2,OR(TH!L628="1111",TH!M628="1111")),TH!D628,""),"")</f>
        <v/>
      </c>
      <c r="B628" s="36">
        <f t="shared" si="25"/>
        <v>8</v>
      </c>
      <c r="C628" s="188">
        <f t="shared" si="28"/>
        <v>41512</v>
      </c>
      <c r="D628" s="181" t="s">
        <v>1049</v>
      </c>
      <c r="E628" s="188">
        <v>41512</v>
      </c>
      <c r="F628" s="189" t="s">
        <v>1112</v>
      </c>
      <c r="G628" s="189" t="s">
        <v>1082</v>
      </c>
      <c r="H628" s="190" t="s">
        <v>757</v>
      </c>
      <c r="I628" s="249">
        <v>102</v>
      </c>
      <c r="J628" s="249">
        <v>12400</v>
      </c>
      <c r="K628" s="38">
        <f>ROUND(I628*J628,0)</f>
        <v>1264800</v>
      </c>
      <c r="L628" s="191" t="s">
        <v>262</v>
      </c>
      <c r="M628" s="191" t="s">
        <v>172</v>
      </c>
      <c r="N628" s="52" t="str">
        <f>IF(AND('331-CT'!$E$7=TH!H628,OR(L628="331",M628="331")),"331",IF(AND(OR(L628="131",M628="131"),H628='131-CT'!$E$7),"131",""))</f>
        <v>131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IF(OR(TH!L628=TH!$U$7,M628=TH!$U$7),"x","")</f>
        <v/>
      </c>
      <c r="V628" s="52" t="str">
        <f>IF(AND(B628&gt;='IN-NX'!$P$3,B628&lt;='IN-NX'!$Q$3,'IN-NX'!$D$7=D628,OR(LEFT(L628,2)="15",AND(LEFT(M628,2)&lt;&gt;"15",LEFT(M628,2)&lt;&gt;"33"))),"x","")</f>
        <v/>
      </c>
      <c r="W628" s="52" t="str">
        <f>IF(AND(OR(LEFT(TH!L628,2)="15",LEFT(TH!M628,2)="15"),'152-CT'!$J$8=TH!F628),"x","")</f>
        <v/>
      </c>
      <c r="X628" s="52" t="str">
        <f>IF(AND(OR(LEFT(TH!L628,2)="15",LEFT(TH!M628,2)="15"),TK!$E$7=TH!F628),"x","")</f>
        <v/>
      </c>
      <c r="Y628" s="52" t="str">
        <f>IF(AND(B628&lt;=NKC!$N$8,B628&gt;=NKC!$M$8),"x","")</f>
        <v>x</v>
      </c>
      <c r="Z628" s="208"/>
      <c r="AA628" s="587"/>
      <c r="AB628" s="208"/>
    </row>
    <row r="629" spans="1:28" s="767" customFormat="1" ht="15.75" customHeight="1">
      <c r="A629" s="201" t="str">
        <f>IF(B629&lt;&gt;"",IF(AND(B629&gt;=_TM1,B629&lt;=_TM2,OR(TH!L629="1111",TH!M629="1111")),TH!D629,""),"")</f>
        <v/>
      </c>
      <c r="B629" s="36">
        <f t="shared" si="25"/>
        <v>8</v>
      </c>
      <c r="C629" s="188">
        <f t="shared" si="28"/>
        <v>41512</v>
      </c>
      <c r="D629" s="181" t="s">
        <v>1049</v>
      </c>
      <c r="E629" s="188">
        <v>41512</v>
      </c>
      <c r="F629" s="189" t="s">
        <v>693</v>
      </c>
      <c r="G629" s="189" t="s">
        <v>1082</v>
      </c>
      <c r="H629" s="190" t="s">
        <v>757</v>
      </c>
      <c r="I629" s="249"/>
      <c r="J629" s="249"/>
      <c r="K629" s="38">
        <v>677435</v>
      </c>
      <c r="L629" s="191" t="s">
        <v>262</v>
      </c>
      <c r="M629" s="191" t="s">
        <v>425</v>
      </c>
      <c r="N629" s="52" t="str">
        <f>IF(AND('331-CT'!$E$7=TH!H629,OR(L629="331",M629="331")),"331",IF(AND(OR(L629="131",M629="131"),H629='131-CT'!$E$7),"131",""))</f>
        <v>131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IF(OR(TH!L629=TH!$U$7,M629=TH!$U$7),"x","")</f>
        <v/>
      </c>
      <c r="V629" s="52" t="str">
        <f>IF(AND(B629&gt;='IN-NX'!$P$3,B629&lt;='IN-NX'!$Q$3,'IN-NX'!$D$7=D629,OR(LEFT(L629,2)="15",AND(LEFT(M629,2)&lt;&gt;"15",LEFT(M629,2)&lt;&gt;"33"))),"x","")</f>
        <v/>
      </c>
      <c r="W629" s="52" t="str">
        <f>IF(AND(OR(LEFT(TH!L629,2)="15",LEFT(TH!M629,2)="15"),'152-CT'!$J$8=TH!F629),"x","")</f>
        <v/>
      </c>
      <c r="X629" s="52" t="str">
        <f>IF(AND(OR(LEFT(TH!L629,2)="15",LEFT(TH!M629,2)="15"),TK!$E$7=TH!F629),"x","")</f>
        <v/>
      </c>
      <c r="Y629" s="52" t="str">
        <f>IF(AND(B629&lt;=NKC!$N$8,B629&gt;=NKC!$M$8),"x","")</f>
        <v>x</v>
      </c>
      <c r="Z629" s="208"/>
      <c r="AA629" s="587" t="str">
        <f>IF(VLOOKUP(H629,DS_131,1,0)&lt;&gt;"","","x")</f>
        <v/>
      </c>
      <c r="AB629" s="208"/>
    </row>
    <row r="630" spans="1:28" s="767" customFormat="1" ht="15.75" customHeight="1">
      <c r="A630" s="201" t="str">
        <f>IF(B630&lt;&gt;"",IF(AND(B630&gt;=_TM1,B630&lt;=_TM2,OR(TH!L630="1111",TH!M630="1111")),TH!D630,""),"")</f>
        <v/>
      </c>
      <c r="B630" s="36">
        <f t="shared" si="25"/>
        <v>8</v>
      </c>
      <c r="C630" s="188">
        <f t="shared" si="28"/>
        <v>41512</v>
      </c>
      <c r="D630" s="181" t="s">
        <v>543</v>
      </c>
      <c r="E630" s="188">
        <v>41512</v>
      </c>
      <c r="F630" s="186" t="s">
        <v>337</v>
      </c>
      <c r="G630" s="189" t="s">
        <v>1305</v>
      </c>
      <c r="H630" s="190" t="s">
        <v>757</v>
      </c>
      <c r="I630" s="249"/>
      <c r="J630" s="249"/>
      <c r="K630" s="38">
        <v>15124450</v>
      </c>
      <c r="L630" s="191" t="s">
        <v>47</v>
      </c>
      <c r="M630" s="191" t="s">
        <v>262</v>
      </c>
      <c r="N630" s="52" t="str">
        <f>IF(AND('331-CT'!$E$7=TH!H630,OR(L630="331",M630="331")),"331",IF(AND(OR(L630="131",M630="131"),H630='131-CT'!$E$7),"131",""))</f>
        <v>131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IF(OR(TH!L630=TH!$U$7,M630=TH!$U$7),"x","")</f>
        <v/>
      </c>
      <c r="V630" s="52" t="str">
        <f>IF(AND(B630&gt;='IN-NX'!$P$3,B630&lt;='IN-NX'!$Q$3,'IN-NX'!$D$7=D630,OR(LEFT(L630,2)="15",AND(LEFT(M630,2)&lt;&gt;"15",LEFT(M630,2)&lt;&gt;"33"))),"x","")</f>
        <v/>
      </c>
      <c r="W630" s="52" t="str">
        <f>IF(AND(OR(LEFT(TH!L630,2)="15",LEFT(TH!M630,2)="15"),'152-CT'!$J$8=TH!F630),"x","")</f>
        <v/>
      </c>
      <c r="X630" s="52" t="str">
        <f>IF(AND(OR(LEFT(TH!L630,2)="15",LEFT(TH!M630,2)="15"),TK!$E$7=TH!F630),"x","")</f>
        <v/>
      </c>
      <c r="Y630" s="52" t="str">
        <f>IF(AND(B630&lt;=NKC!$N$8,B630&gt;=NKC!$M$8),"x","")</f>
        <v>x</v>
      </c>
      <c r="Z630" s="208"/>
      <c r="AA630" s="587" t="str">
        <f>IF(VLOOKUP(H630,DS_131,1,0)&lt;&gt;"","","x")</f>
        <v/>
      </c>
      <c r="AB630" s="208"/>
    </row>
    <row r="631" spans="1:28" s="767" customFormat="1" ht="15.75" customHeight="1">
      <c r="A631" s="201" t="str">
        <f>IF(B631&lt;&gt;"",IF(AND(B631&gt;=_TM1,B631&lt;=_TM2,OR(TH!L631="1111",TH!M631="1111")),TH!D631,""),"")</f>
        <v/>
      </c>
      <c r="B631" s="36">
        <f t="shared" si="25"/>
        <v>8</v>
      </c>
      <c r="C631" s="188">
        <f t="shared" si="28"/>
        <v>41512</v>
      </c>
      <c r="D631" s="181" t="s">
        <v>1051</v>
      </c>
      <c r="E631" s="188">
        <v>41512</v>
      </c>
      <c r="F631" s="189" t="s">
        <v>907</v>
      </c>
      <c r="G631" s="189" t="s">
        <v>1084</v>
      </c>
      <c r="H631" s="7" t="s">
        <v>517</v>
      </c>
      <c r="I631" s="249">
        <v>585</v>
      </c>
      <c r="J631" s="249">
        <v>18600</v>
      </c>
      <c r="K631" s="38">
        <f>ROUND(I631*J631,0)</f>
        <v>10881000</v>
      </c>
      <c r="L631" s="191" t="s">
        <v>262</v>
      </c>
      <c r="M631" s="191" t="s">
        <v>172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IF(OR(TH!L631=TH!$U$7,M631=TH!$U$7),"x","")</f>
        <v/>
      </c>
      <c r="V631" s="52" t="str">
        <f>IF(AND(B631&gt;='IN-NX'!$P$3,B631&lt;='IN-NX'!$Q$3,'IN-NX'!$D$7=D631,OR(LEFT(L631,2)="15",AND(LEFT(M631,2)&lt;&gt;"15",LEFT(M631,2)&lt;&gt;"33"))),"x","")</f>
        <v/>
      </c>
      <c r="W631" s="52" t="str">
        <f>IF(AND(OR(LEFT(TH!L631,2)="15",LEFT(TH!M631,2)="15"),'152-CT'!$J$8=TH!F631),"x","")</f>
        <v/>
      </c>
      <c r="X631" s="52" t="str">
        <f>IF(AND(OR(LEFT(TH!L631,2)="15",LEFT(TH!M631,2)="15"),TK!$E$7=TH!F631),"x","")</f>
        <v/>
      </c>
      <c r="Y631" s="52" t="str">
        <f>IF(AND(B631&lt;=NKC!$N$8,B631&gt;=NKC!$M$8),"x","")</f>
        <v>x</v>
      </c>
      <c r="Z631" s="208"/>
      <c r="AA631" s="587"/>
      <c r="AB631" s="208"/>
    </row>
    <row r="632" spans="1:28" s="767" customFormat="1" ht="15.75" customHeight="1">
      <c r="A632" s="201" t="str">
        <f>IF(B632&lt;&gt;"",IF(AND(B632&gt;=_TM1,B632&lt;=_TM2,OR(TH!L632="1111",TH!M632="1111")),TH!D632,""),"")</f>
        <v/>
      </c>
      <c r="B632" s="36">
        <f t="shared" si="25"/>
        <v>8</v>
      </c>
      <c r="C632" s="188">
        <f t="shared" si="28"/>
        <v>41512</v>
      </c>
      <c r="D632" s="181" t="s">
        <v>1051</v>
      </c>
      <c r="E632" s="188">
        <v>41512</v>
      </c>
      <c r="F632" s="189" t="s">
        <v>909</v>
      </c>
      <c r="G632" s="189" t="s">
        <v>1084</v>
      </c>
      <c r="H632" s="7" t="s">
        <v>517</v>
      </c>
      <c r="I632" s="249">
        <v>371</v>
      </c>
      <c r="J632" s="249">
        <v>16300</v>
      </c>
      <c r="K632" s="38">
        <f>ROUND(I632*J632,0)</f>
        <v>6047300</v>
      </c>
      <c r="L632" s="191" t="s">
        <v>262</v>
      </c>
      <c r="M632" s="191" t="s">
        <v>172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IF(OR(TH!L632=TH!$U$7,M632=TH!$U$7),"x","")</f>
        <v/>
      </c>
      <c r="V632" s="52" t="str">
        <f>IF(AND(B632&gt;='IN-NX'!$P$3,B632&lt;='IN-NX'!$Q$3,'IN-NX'!$D$7=D632,OR(LEFT(L632,2)="15",AND(LEFT(M632,2)&lt;&gt;"15",LEFT(M632,2)&lt;&gt;"33"))),"x","")</f>
        <v/>
      </c>
      <c r="W632" s="52" t="str">
        <f>IF(AND(OR(LEFT(TH!L632,2)="15",LEFT(TH!M632,2)="15"),'152-CT'!$J$8=TH!F632),"x","")</f>
        <v/>
      </c>
      <c r="X632" s="52" t="str">
        <f>IF(AND(OR(LEFT(TH!L632,2)="15",LEFT(TH!M632,2)="15"),TK!$E$7=TH!F632),"x","")</f>
        <v/>
      </c>
      <c r="Y632" s="52" t="str">
        <f>IF(AND(B632&lt;=NKC!$N$8,B632&gt;=NKC!$M$8),"x","")</f>
        <v>x</v>
      </c>
      <c r="Z632" s="208"/>
      <c r="AA632" s="587"/>
      <c r="AB632" s="208"/>
    </row>
    <row r="633" spans="1:28" s="767" customFormat="1" ht="15.75" customHeight="1">
      <c r="A633" s="201" t="str">
        <f>IF(B633&lt;&gt;"",IF(AND(B633&gt;=_TM1,B633&lt;=_TM2,OR(TH!L633="1111",TH!M633="1111")),TH!D633,""),"")</f>
        <v/>
      </c>
      <c r="B633" s="36">
        <f t="shared" si="25"/>
        <v>8</v>
      </c>
      <c r="C633" s="188">
        <f t="shared" si="28"/>
        <v>41512</v>
      </c>
      <c r="D633" s="181" t="s">
        <v>1051</v>
      </c>
      <c r="E633" s="188">
        <v>41512</v>
      </c>
      <c r="F633" s="189" t="s">
        <v>693</v>
      </c>
      <c r="G633" s="189" t="s">
        <v>1084</v>
      </c>
      <c r="H633" s="7" t="s">
        <v>517</v>
      </c>
      <c r="I633" s="249"/>
      <c r="J633" s="249"/>
      <c r="K633" s="38">
        <v>1692830</v>
      </c>
      <c r="L633" s="191" t="s">
        <v>262</v>
      </c>
      <c r="M633" s="191" t="s">
        <v>425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IF(OR(TH!L633=TH!$U$7,M633=TH!$U$7),"x","")</f>
        <v/>
      </c>
      <c r="V633" s="52" t="str">
        <f>IF(AND(B633&gt;='IN-NX'!$P$3,B633&lt;='IN-NX'!$Q$3,'IN-NX'!$D$7=D633,OR(LEFT(L633,2)="15",AND(LEFT(M633,2)&lt;&gt;"15",LEFT(M633,2)&lt;&gt;"33"))),"x","")</f>
        <v/>
      </c>
      <c r="W633" s="52" t="str">
        <f>IF(AND(OR(LEFT(TH!L633,2)="15",LEFT(TH!M633,2)="15"),'152-CT'!$J$8=TH!F633),"x","")</f>
        <v/>
      </c>
      <c r="X633" s="52" t="str">
        <f>IF(AND(OR(LEFT(TH!L633,2)="15",LEFT(TH!M633,2)="15"),TK!$E$7=TH!F633),"x","")</f>
        <v/>
      </c>
      <c r="Y633" s="52" t="str">
        <f>IF(AND(B633&lt;=NKC!$N$8,B633&gt;=NKC!$M$8),"x","")</f>
        <v>x</v>
      </c>
      <c r="Z633" s="208"/>
      <c r="AA633" s="587" t="str">
        <f>IF(VLOOKUP(H633,DS_131,1,0)&lt;&gt;"","","x")</f>
        <v/>
      </c>
      <c r="AB633" s="208"/>
    </row>
    <row r="634" spans="1:28" s="767" customFormat="1" ht="15.75" customHeight="1">
      <c r="A634" s="201" t="str">
        <f>IF(B634&lt;&gt;"",IF(AND(B634&gt;=_TM1,B634&lt;=_TM2,OR(TH!L634="1111",TH!M634="1111")),TH!D634,""),"")</f>
        <v/>
      </c>
      <c r="B634" s="36">
        <f t="shared" si="25"/>
        <v>8</v>
      </c>
      <c r="C634" s="181">
        <f t="shared" si="28"/>
        <v>41513</v>
      </c>
      <c r="D634" s="181" t="s">
        <v>335</v>
      </c>
      <c r="E634" s="188">
        <v>41513</v>
      </c>
      <c r="F634" s="186" t="s">
        <v>337</v>
      </c>
      <c r="G634" s="597" t="s">
        <v>332</v>
      </c>
      <c r="H634" s="7" t="s">
        <v>503</v>
      </c>
      <c r="I634" s="250"/>
      <c r="J634" s="251"/>
      <c r="K634" s="38">
        <v>16547850</v>
      </c>
      <c r="L634" s="596" t="s">
        <v>24</v>
      </c>
      <c r="M634" s="596" t="s">
        <v>262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52" t="str">
        <f>IF(OR(TH!L634=TH!$U$7,M634=TH!$U$7),"x","")</f>
        <v/>
      </c>
      <c r="V634" s="52" t="str">
        <f>IF(AND(B634&gt;='IN-NX'!$P$3,B634&lt;='IN-NX'!$Q$3,'IN-NX'!$D$7=D634,OR(LEFT(L634,2)="15",AND(LEFT(M634,2)&lt;&gt;"15",LEFT(M634,2)&lt;&gt;"33"))),"x","")</f>
        <v/>
      </c>
      <c r="W634" s="52" t="str">
        <f>IF(AND(OR(LEFT(TH!L634,2)="15",LEFT(TH!M634,2)="15"),'152-CT'!$J$8=TH!F634),"x","")</f>
        <v/>
      </c>
      <c r="X634" s="52" t="str">
        <f>IF(AND(OR(LEFT(TH!L634,2)="15",LEFT(TH!M634,2)="15"),TK!$E$7=TH!F634),"x","")</f>
        <v/>
      </c>
      <c r="Y634" s="52" t="str">
        <f>IF(AND(B634&lt;=NKC!$N$8,B634&gt;=NKC!$M$8),"x","")</f>
        <v>x</v>
      </c>
      <c r="Z634" s="208"/>
      <c r="AA634" s="195"/>
      <c r="AB634" s="195"/>
    </row>
    <row r="635" spans="1:28" s="767" customFormat="1" ht="15.75" customHeight="1">
      <c r="A635" s="201" t="str">
        <f>IF(B635&lt;&gt;"",IF(AND(B635&gt;=_TM1,B635&lt;=_TM2,OR(TH!L635="1111",TH!M635="1111")),TH!D635,""),"")</f>
        <v/>
      </c>
      <c r="B635" s="36">
        <f t="shared" si="25"/>
        <v>8</v>
      </c>
      <c r="C635" s="188">
        <f t="shared" si="28"/>
        <v>41516</v>
      </c>
      <c r="D635" s="181" t="s">
        <v>1050</v>
      </c>
      <c r="E635" s="188">
        <v>41516</v>
      </c>
      <c r="F635" s="189" t="s">
        <v>977</v>
      </c>
      <c r="G635" s="189" t="s">
        <v>1083</v>
      </c>
      <c r="H635" s="190" t="s">
        <v>975</v>
      </c>
      <c r="I635" s="249">
        <v>400</v>
      </c>
      <c r="J635" s="249">
        <v>13000</v>
      </c>
      <c r="K635" s="38">
        <f>ROUND(I635*J635,0)</f>
        <v>5200000</v>
      </c>
      <c r="L635" s="191" t="s">
        <v>262</v>
      </c>
      <c r="M635" s="191" t="s">
        <v>172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IF(OR(TH!L635=TH!$U$7,M635=TH!$U$7),"x","")</f>
        <v/>
      </c>
      <c r="V635" s="52" t="str">
        <f>IF(AND(B635&gt;='IN-NX'!$P$3,B635&lt;='IN-NX'!$Q$3,'IN-NX'!$D$7=D635,OR(LEFT(L635,2)="15",AND(LEFT(M635,2)&lt;&gt;"15",LEFT(M635,2)&lt;&gt;"33"))),"x","")</f>
        <v/>
      </c>
      <c r="W635" s="52" t="str">
        <f>IF(AND(OR(LEFT(TH!L635,2)="15",LEFT(TH!M635,2)="15"),'152-CT'!$J$8=TH!F635),"x","")</f>
        <v/>
      </c>
      <c r="X635" s="52" t="str">
        <f>IF(AND(OR(LEFT(TH!L635,2)="15",LEFT(TH!M635,2)="15"),TK!$E$7=TH!F635),"x","")</f>
        <v/>
      </c>
      <c r="Y635" s="52" t="str">
        <f>IF(AND(B635&lt;=NKC!$N$8,B635&gt;=NKC!$M$8),"x","")</f>
        <v>x</v>
      </c>
      <c r="Z635" s="208"/>
      <c r="AA635" s="587"/>
      <c r="AB635" s="208"/>
    </row>
    <row r="636" spans="1:28" s="767" customFormat="1" ht="15.75" customHeight="1">
      <c r="A636" s="201" t="str">
        <f>IF(B636&lt;&gt;"",IF(AND(B636&gt;=_TM1,B636&lt;=_TM2,OR(TH!L636="1111",TH!M636="1111")),TH!D636,""),"")</f>
        <v/>
      </c>
      <c r="B636" s="36">
        <f t="shared" si="25"/>
        <v>8</v>
      </c>
      <c r="C636" s="188">
        <f t="shared" si="28"/>
        <v>41516</v>
      </c>
      <c r="D636" s="181" t="s">
        <v>1050</v>
      </c>
      <c r="E636" s="188">
        <v>41516</v>
      </c>
      <c r="F636" s="189" t="s">
        <v>976</v>
      </c>
      <c r="G636" s="189" t="s">
        <v>1083</v>
      </c>
      <c r="H636" s="190" t="s">
        <v>975</v>
      </c>
      <c r="I636" s="249">
        <v>210</v>
      </c>
      <c r="J636" s="249">
        <v>14200</v>
      </c>
      <c r="K636" s="38">
        <f>ROUND(I636*J636,0)</f>
        <v>2982000</v>
      </c>
      <c r="L636" s="191" t="s">
        <v>262</v>
      </c>
      <c r="M636" s="191" t="s">
        <v>172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IF(OR(TH!L636=TH!$U$7,M636=TH!$U$7),"x","")</f>
        <v/>
      </c>
      <c r="V636" s="52" t="str">
        <f>IF(AND(B636&gt;='IN-NX'!$P$3,B636&lt;='IN-NX'!$Q$3,'IN-NX'!$D$7=D636,OR(LEFT(L636,2)="15",AND(LEFT(M636,2)&lt;&gt;"15",LEFT(M636,2)&lt;&gt;"33"))),"x","")</f>
        <v/>
      </c>
      <c r="W636" s="52" t="str">
        <f>IF(AND(OR(LEFT(TH!L636,2)="15",LEFT(TH!M636,2)="15"),'152-CT'!$J$8=TH!F636),"x","")</f>
        <v/>
      </c>
      <c r="X636" s="52" t="str">
        <f>IF(AND(OR(LEFT(TH!L636,2)="15",LEFT(TH!M636,2)="15"),TK!$E$7=TH!F636),"x","")</f>
        <v/>
      </c>
      <c r="Y636" s="52" t="str">
        <f>IF(AND(B636&lt;=NKC!$N$8,B636&gt;=NKC!$M$8),"x","")</f>
        <v>x</v>
      </c>
      <c r="Z636" s="208"/>
      <c r="AA636" s="587"/>
      <c r="AB636" s="208"/>
    </row>
    <row r="637" spans="1:28" s="767" customFormat="1" ht="15.75" customHeight="1">
      <c r="A637" s="201" t="str">
        <f>IF(B637&lt;&gt;"",IF(AND(B637&gt;=_TM1,B637&lt;=_TM2,OR(TH!L637="1111",TH!M637="1111")),TH!D637,""),"")</f>
        <v/>
      </c>
      <c r="B637" s="36">
        <f t="shared" ref="B637:B697" si="29">IF(C637&lt;&gt;"",MONTH(C637),"")</f>
        <v>8</v>
      </c>
      <c r="C637" s="188">
        <f t="shared" si="28"/>
        <v>41516</v>
      </c>
      <c r="D637" s="181" t="s">
        <v>1050</v>
      </c>
      <c r="E637" s="188">
        <v>41516</v>
      </c>
      <c r="F637" s="189" t="s">
        <v>973</v>
      </c>
      <c r="G637" s="189" t="s">
        <v>1083</v>
      </c>
      <c r="H637" s="190" t="s">
        <v>975</v>
      </c>
      <c r="I637" s="249">
        <v>150</v>
      </c>
      <c r="J637" s="249">
        <v>8000</v>
      </c>
      <c r="K637" s="38">
        <f>ROUND(I637*J637,0)</f>
        <v>1200000</v>
      </c>
      <c r="L637" s="191" t="s">
        <v>262</v>
      </c>
      <c r="M637" s="191" t="s">
        <v>172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IF(OR(TH!L637=TH!$U$7,M637=TH!$U$7),"x","")</f>
        <v/>
      </c>
      <c r="V637" s="52" t="str">
        <f>IF(AND(B637&gt;='IN-NX'!$P$3,B637&lt;='IN-NX'!$Q$3,'IN-NX'!$D$7=D637,OR(LEFT(L637,2)="15",AND(LEFT(M637,2)&lt;&gt;"15",LEFT(M637,2)&lt;&gt;"33"))),"x","")</f>
        <v/>
      </c>
      <c r="W637" s="52" t="str">
        <f>IF(AND(OR(LEFT(TH!L637,2)="15",LEFT(TH!M637,2)="15"),'152-CT'!$J$8=TH!F637),"x","")</f>
        <v/>
      </c>
      <c r="X637" s="52" t="str">
        <f>IF(AND(OR(LEFT(TH!L637,2)="15",LEFT(TH!M637,2)="15"),TK!$E$7=TH!F637),"x","")</f>
        <v/>
      </c>
      <c r="Y637" s="52" t="str">
        <f>IF(AND(B637&lt;=NKC!$N$8,B637&gt;=NKC!$M$8),"x","")</f>
        <v>x</v>
      </c>
      <c r="Z637" s="208"/>
      <c r="AA637" s="587"/>
      <c r="AB637" s="208"/>
    </row>
    <row r="638" spans="1:28" s="767" customFormat="1" ht="15.75" customHeight="1">
      <c r="A638" s="201" t="str">
        <f>IF(B638&lt;&gt;"",IF(AND(B638&gt;=_TM1,B638&lt;=_TM2,OR(TH!L638="1111",TH!M638="1111")),TH!D638,""),"")</f>
        <v/>
      </c>
      <c r="B638" s="36">
        <f t="shared" si="29"/>
        <v>8</v>
      </c>
      <c r="C638" s="188">
        <f t="shared" si="28"/>
        <v>41516</v>
      </c>
      <c r="D638" s="181" t="s">
        <v>1050</v>
      </c>
      <c r="E638" s="188">
        <v>41516</v>
      </c>
      <c r="F638" s="189" t="s">
        <v>693</v>
      </c>
      <c r="G638" s="189" t="s">
        <v>1083</v>
      </c>
      <c r="H638" s="190" t="s">
        <v>975</v>
      </c>
      <c r="I638" s="249"/>
      <c r="J638" s="249"/>
      <c r="K638" s="38">
        <v>938200</v>
      </c>
      <c r="L638" s="191" t="s">
        <v>262</v>
      </c>
      <c r="M638" s="191" t="s">
        <v>425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IF(OR(TH!L638=TH!$U$7,M638=TH!$U$7),"x","")</f>
        <v/>
      </c>
      <c r="V638" s="52" t="str">
        <f>IF(AND(B638&gt;='IN-NX'!$P$3,B638&lt;='IN-NX'!$Q$3,'IN-NX'!$D$7=D638,OR(LEFT(L638,2)="15",AND(LEFT(M638,2)&lt;&gt;"15",LEFT(M638,2)&lt;&gt;"33"))),"x","")</f>
        <v/>
      </c>
      <c r="W638" s="52" t="str">
        <f>IF(AND(OR(LEFT(TH!L638,2)="15",LEFT(TH!M638,2)="15"),'152-CT'!$J$8=TH!F638),"x","")</f>
        <v/>
      </c>
      <c r="X638" s="52" t="str">
        <f>IF(AND(OR(LEFT(TH!L638,2)="15",LEFT(TH!M638,2)="15"),TK!$E$7=TH!F638),"x","")</f>
        <v/>
      </c>
      <c r="Y638" s="52" t="str">
        <f>IF(AND(B638&lt;=NKC!$N$8,B638&gt;=NKC!$M$8),"x","")</f>
        <v>x</v>
      </c>
      <c r="Z638" s="208"/>
      <c r="AA638" s="587" t="str">
        <f>IF(VLOOKUP(H638,DS_131,1,0)&lt;&gt;"","","x")</f>
        <v/>
      </c>
      <c r="AB638" s="208"/>
    </row>
    <row r="639" spans="1:28" s="767" customFormat="1" ht="15.75" customHeight="1">
      <c r="A639" s="201" t="str">
        <f>IF(B639&lt;&gt;"",IF(AND(B639&gt;=_TM1,B639&lt;=_TM2,OR(TH!L639="1111",TH!M639="1111")),TH!D639,""),"")</f>
        <v/>
      </c>
      <c r="B639" s="36">
        <f t="shared" si="29"/>
        <v>8</v>
      </c>
      <c r="C639" s="188">
        <f t="shared" si="28"/>
        <v>41516</v>
      </c>
      <c r="D639" s="181" t="s">
        <v>544</v>
      </c>
      <c r="E639" s="188">
        <v>41516</v>
      </c>
      <c r="F639" s="186" t="s">
        <v>337</v>
      </c>
      <c r="G639" s="189" t="s">
        <v>1083</v>
      </c>
      <c r="H639" s="190" t="s">
        <v>975</v>
      </c>
      <c r="I639" s="249"/>
      <c r="J639" s="249"/>
      <c r="K639" s="38">
        <v>10320200</v>
      </c>
      <c r="L639" s="191" t="s">
        <v>47</v>
      </c>
      <c r="M639" s="191" t="s">
        <v>262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IF(OR(TH!L639=TH!$U$7,M639=TH!$U$7),"x","")</f>
        <v/>
      </c>
      <c r="V639" s="52" t="str">
        <f>IF(AND(B639&gt;='IN-NX'!$P$3,B639&lt;='IN-NX'!$Q$3,'IN-NX'!$D$7=D639,OR(LEFT(L639,2)="15",AND(LEFT(M639,2)&lt;&gt;"15",LEFT(M639,2)&lt;&gt;"33"))),"x","")</f>
        <v/>
      </c>
      <c r="W639" s="52" t="str">
        <f>IF(AND(OR(LEFT(TH!L639,2)="15",LEFT(TH!M639,2)="15"),'152-CT'!$J$8=TH!F639),"x","")</f>
        <v/>
      </c>
      <c r="X639" s="52" t="str">
        <f>IF(AND(OR(LEFT(TH!L639,2)="15",LEFT(TH!M639,2)="15"),TK!$E$7=TH!F639),"x","")</f>
        <v/>
      </c>
      <c r="Y639" s="52" t="str">
        <f>IF(AND(B639&lt;=NKC!$N$8,B639&gt;=NKC!$M$8),"x","")</f>
        <v>x</v>
      </c>
      <c r="Z639" s="208"/>
      <c r="AA639" s="587" t="str">
        <f>IF(VLOOKUP(H639,DS_131,1,0)&lt;&gt;"","","x")</f>
        <v/>
      </c>
      <c r="AB639" s="208"/>
    </row>
    <row r="640" spans="1:28" s="767" customFormat="1" ht="15.75" customHeight="1">
      <c r="A640" s="201" t="str">
        <f>IF(B640&lt;&gt;"",IF(AND(B640&gt;=_TM1,B640&lt;=_TM2,OR(TH!L640="1111",TH!M640="1111")),TH!D640,""),"")</f>
        <v/>
      </c>
      <c r="B640" s="36">
        <f t="shared" si="29"/>
        <v>8</v>
      </c>
      <c r="C640" s="771">
        <f t="shared" si="28"/>
        <v>41517</v>
      </c>
      <c r="D640" s="771" t="s">
        <v>339</v>
      </c>
      <c r="E640" s="771">
        <v>41517</v>
      </c>
      <c r="F640" s="696" t="s">
        <v>1255</v>
      </c>
      <c r="G640" s="697"/>
      <c r="H640" s="609"/>
      <c r="I640" s="477"/>
      <c r="J640" s="477"/>
      <c r="K640" s="698">
        <v>5910000</v>
      </c>
      <c r="L640" s="699" t="s">
        <v>83</v>
      </c>
      <c r="M640" s="699" t="s">
        <v>265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IF(OR(TH!L640=TH!$U$7,M640=TH!$U$7),"x","")</f>
        <v>x</v>
      </c>
      <c r="V640" s="52" t="str">
        <f>IF(AND(B640&gt;='IN-NX'!$P$3,B640&lt;='IN-NX'!$Q$3,'IN-NX'!$D$7=D640,OR(LEFT(L640,2)="15",AND(LEFT(M640,2)&lt;&gt;"15",LEFT(M640,2)&lt;&gt;"33"))),"x","")</f>
        <v/>
      </c>
      <c r="W640" s="52" t="str">
        <f>IF(AND(OR(LEFT(TH!L640,2)="15",LEFT(TH!M640,2)="15"),'152-CT'!$J$8=TH!F640),"x","")</f>
        <v/>
      </c>
      <c r="X640" s="52" t="str">
        <f>IF(AND(OR(LEFT(TH!L640,2)="15",LEFT(TH!M640,2)="15"),TK!$E$7=TH!F640),"x","")</f>
        <v/>
      </c>
      <c r="Y640" s="52" t="str">
        <f>IF(AND(B640&lt;=NKC!$N$8,B640&gt;=NKC!$M$8),"x","")</f>
        <v>x</v>
      </c>
      <c r="Z640" s="195"/>
      <c r="AA640" s="195"/>
      <c r="AB640" s="195"/>
    </row>
    <row r="641" spans="1:28" s="767" customFormat="1" ht="15.75" customHeight="1">
      <c r="A641" s="201" t="str">
        <f>IF(B641&lt;&gt;"",IF(AND(B641&gt;=_TM1,B641&lt;=_TM2,OR(TH!L641="1111",TH!M641="1111")),TH!D641,""),"")</f>
        <v/>
      </c>
      <c r="B641" s="36">
        <f t="shared" si="29"/>
        <v>8</v>
      </c>
      <c r="C641" s="771">
        <f t="shared" ref="C641:C701" si="30">E641</f>
        <v>41517</v>
      </c>
      <c r="D641" s="771" t="s">
        <v>339</v>
      </c>
      <c r="E641" s="771">
        <v>41517</v>
      </c>
      <c r="F641" s="696" t="s">
        <v>1256</v>
      </c>
      <c r="G641" s="697"/>
      <c r="H641" s="609"/>
      <c r="I641" s="477"/>
      <c r="J641" s="477"/>
      <c r="K641" s="698">
        <v>7615000</v>
      </c>
      <c r="L641" s="699" t="s">
        <v>162</v>
      </c>
      <c r="M641" s="699" t="s">
        <v>265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IF(OR(TH!L641=TH!$U$7,M641=TH!$U$7),"x","")</f>
        <v/>
      </c>
      <c r="V641" s="52" t="str">
        <f>IF(AND(B641&gt;='IN-NX'!$P$3,B641&lt;='IN-NX'!$Q$3,'IN-NX'!$D$7=D641,OR(LEFT(L641,2)="15",AND(LEFT(M641,2)&lt;&gt;"15",LEFT(M641,2)&lt;&gt;"33"))),"x","")</f>
        <v/>
      </c>
      <c r="W641" s="52" t="str">
        <f>IF(AND(OR(LEFT(TH!L641,2)="15",LEFT(TH!M641,2)="15"),'152-CT'!$J$8=TH!F641),"x","")</f>
        <v/>
      </c>
      <c r="X641" s="52" t="str">
        <f>IF(AND(OR(LEFT(TH!L641,2)="15",LEFT(TH!M641,2)="15"),TK!$E$7=TH!F641),"x","")</f>
        <v/>
      </c>
      <c r="Y641" s="52" t="str">
        <f>IF(AND(B641&lt;=NKC!$N$8,B641&gt;=NKC!$M$8),"x","")</f>
        <v>x</v>
      </c>
      <c r="Z641" s="195"/>
      <c r="AA641" s="195"/>
      <c r="AB641" s="195"/>
    </row>
    <row r="642" spans="1:28" s="767" customFormat="1" ht="15.75" customHeight="1">
      <c r="A642" s="201" t="str">
        <f>IF(B642&lt;&gt;"",IF(AND(B642&gt;=_TM1,B642&lt;=_TM2,OR(TH!L642="1111",TH!M642="1111")),TH!D642,""),"")</f>
        <v/>
      </c>
      <c r="B642" s="36">
        <f t="shared" si="29"/>
        <v>8</v>
      </c>
      <c r="C642" s="771">
        <f t="shared" si="30"/>
        <v>41517</v>
      </c>
      <c r="D642" s="771" t="s">
        <v>396</v>
      </c>
      <c r="E642" s="771">
        <v>41517</v>
      </c>
      <c r="F642" s="696" t="str">
        <f>"Thanh toán tiền lương tháng "&amp;MONTH(E642)&amp;"/"&amp;YEAR(E642)</f>
        <v>Thanh toán tiền lương tháng 8/2013</v>
      </c>
      <c r="G642" s="697"/>
      <c r="H642" s="609" t="s">
        <v>364</v>
      </c>
      <c r="I642" s="477"/>
      <c r="J642" s="477"/>
      <c r="K642" s="698">
        <f>K640+K641</f>
        <v>13525000</v>
      </c>
      <c r="L642" s="699" t="s">
        <v>265</v>
      </c>
      <c r="M642" s="699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IF(OR(TH!L642=TH!$U$7,M642=TH!$U$7),"x","")</f>
        <v/>
      </c>
      <c r="V642" s="52" t="str">
        <f>IF(AND(B642&gt;='IN-NX'!$P$3,B642&lt;='IN-NX'!$Q$3,'IN-NX'!$D$7=D642,OR(LEFT(L642,2)="15",AND(LEFT(M642,2)&lt;&gt;"15",LEFT(M642,2)&lt;&gt;"33"))),"x","")</f>
        <v/>
      </c>
      <c r="W642" s="52" t="str">
        <f>IF(AND(OR(LEFT(TH!L642,2)="15",LEFT(TH!M642,2)="15"),'152-CT'!$J$8=TH!F642),"x","")</f>
        <v/>
      </c>
      <c r="X642" s="52" t="str">
        <f>IF(AND(OR(LEFT(TH!L642,2)="15",LEFT(TH!M642,2)="15"),TK!$E$7=TH!F642),"x","")</f>
        <v/>
      </c>
      <c r="Y642" s="52" t="str">
        <f>IF(AND(B642&lt;=NKC!$N$8,B642&gt;=NKC!$M$8),"x","")</f>
        <v>x</v>
      </c>
      <c r="Z642" s="195"/>
      <c r="AA642" s="195"/>
      <c r="AB642" s="195"/>
    </row>
    <row r="643" spans="1:28" s="767" customFormat="1" ht="15.75" customHeight="1">
      <c r="A643" s="201" t="str">
        <f>IF(B643&lt;&gt;"",IF(AND(B643&gt;=_TM1,B643&lt;=_TM2,OR(TH!L643="1111",TH!M643="1111")),TH!D643,""),"")</f>
        <v/>
      </c>
      <c r="B643" s="36">
        <f t="shared" si="29"/>
        <v>8</v>
      </c>
      <c r="C643" s="181">
        <f t="shared" si="30"/>
        <v>41517</v>
      </c>
      <c r="D643" s="181" t="s">
        <v>550</v>
      </c>
      <c r="E643" s="188">
        <v>41517</v>
      </c>
      <c r="F643" s="186" t="s">
        <v>469</v>
      </c>
      <c r="G643" s="597" t="s">
        <v>332</v>
      </c>
      <c r="H643" s="7" t="s">
        <v>364</v>
      </c>
      <c r="I643" s="250"/>
      <c r="J643" s="251"/>
      <c r="K643" s="38">
        <v>16700000</v>
      </c>
      <c r="L643" s="596" t="s">
        <v>47</v>
      </c>
      <c r="M643" s="5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>x</v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52" t="str">
        <f>IF(OR(TH!L643=TH!$U$7,M643=TH!$U$7),"x","")</f>
        <v/>
      </c>
      <c r="V643" s="52" t="str">
        <f>IF(AND(B643&gt;='IN-NX'!$P$3,B643&lt;='IN-NX'!$Q$3,'IN-NX'!$D$7=D643,OR(LEFT(L643,2)="15",AND(LEFT(M643,2)&lt;&gt;"15",LEFT(M643,2)&lt;&gt;"33"))),"x","")</f>
        <v/>
      </c>
      <c r="W643" s="52" t="str">
        <f>IF(AND(OR(LEFT(TH!L643,2)="15",LEFT(TH!M643,2)="15"),'152-CT'!$J$8=TH!F643),"x","")</f>
        <v/>
      </c>
      <c r="X643" s="52" t="str">
        <f>IF(AND(OR(LEFT(TH!L643,2)="15",LEFT(TH!M643,2)="15"),TK!$E$7=TH!F643),"x","")</f>
        <v/>
      </c>
      <c r="Y643" s="52" t="str">
        <f>IF(AND(B643&lt;=NKC!$N$8,B643&gt;=NKC!$M$8),"x","")</f>
        <v>x</v>
      </c>
      <c r="Z643" s="587"/>
      <c r="AA643" s="195"/>
      <c r="AB643" s="195"/>
    </row>
    <row r="644" spans="1:28" s="767" customFormat="1" ht="15.75" customHeight="1">
      <c r="A644" s="201" t="str">
        <f>IF(B644&lt;&gt;"",IF(AND(B644&gt;=_TM1,B644&lt;=_TM2,OR(TH!L644="1111",TH!M644="1111")),TH!D644,""),"")</f>
        <v/>
      </c>
      <c r="B644" s="36">
        <f t="shared" si="29"/>
        <v>8</v>
      </c>
      <c r="C644" s="188">
        <f t="shared" si="30"/>
        <v>41517</v>
      </c>
      <c r="D644" s="181" t="s">
        <v>398</v>
      </c>
      <c r="E644" s="181">
        <v>41517</v>
      </c>
      <c r="F644" s="189" t="s">
        <v>367</v>
      </c>
      <c r="G644" s="480"/>
      <c r="H644" s="190" t="s">
        <v>554</v>
      </c>
      <c r="I644" s="249"/>
      <c r="J644" s="249"/>
      <c r="K644" s="38">
        <v>18066091</v>
      </c>
      <c r="L644" s="191" t="s">
        <v>8</v>
      </c>
      <c r="M644" s="191" t="s">
        <v>47</v>
      </c>
      <c r="N644" s="52" t="str">
        <f>IF(AND('331-CT'!$E$7=TH!H644,OR(L644="331",M644="331")),"331",IF(AND(OR(L644="131",M644="131"),H644='131-CT'!$E$7),"131",""))</f>
        <v>331</v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IF(OR(TH!L644=TH!$U$7,M644=TH!$U$7),"x","")</f>
        <v/>
      </c>
      <c r="V644" s="52" t="str">
        <f>IF(AND(B644&gt;='IN-NX'!$P$3,B644&lt;='IN-NX'!$Q$3,'IN-NX'!$D$7=D644,OR(LEFT(L644,2)="15",AND(LEFT(M644,2)&lt;&gt;"15",LEFT(M644,2)&lt;&gt;"33"))),"x","")</f>
        <v/>
      </c>
      <c r="W644" s="52" t="str">
        <f>IF(AND(OR(LEFT(TH!L644,2)="15",LEFT(TH!M644,2)="15"),'152-CT'!$J$8=TH!F644),"x","")</f>
        <v/>
      </c>
      <c r="X644" s="52" t="str">
        <f>IF(AND(OR(LEFT(TH!L644,2)="15",LEFT(TH!M644,2)="15"),TK!$E$7=TH!F644),"x","")</f>
        <v/>
      </c>
      <c r="Y644" s="52" t="str">
        <f>IF(AND(B644&lt;=NKC!$N$8,B644&gt;=NKC!$M$8),"x","")</f>
        <v>x</v>
      </c>
      <c r="Z644" s="208"/>
      <c r="AA644" s="195"/>
      <c r="AB644" s="195"/>
    </row>
    <row r="645" spans="1:28" s="767" customFormat="1" ht="15.75" customHeight="1">
      <c r="A645" s="201" t="str">
        <f>IF(B645&lt;&gt;"",IF(AND(B645&gt;=_TM1,B645&lt;=_TM2,OR(TH!L645="1111",TH!M645="1111")),TH!D645,""),"")</f>
        <v/>
      </c>
      <c r="B645" s="36">
        <f t="shared" si="29"/>
        <v>9</v>
      </c>
      <c r="C645" s="181">
        <f t="shared" si="30"/>
        <v>41522</v>
      </c>
      <c r="D645" s="181" t="s">
        <v>1262</v>
      </c>
      <c r="E645" s="188">
        <v>41522</v>
      </c>
      <c r="F645" s="186" t="s">
        <v>490</v>
      </c>
      <c r="G645" s="657" t="s">
        <v>509</v>
      </c>
      <c r="H645" s="7" t="s">
        <v>492</v>
      </c>
      <c r="I645" s="250"/>
      <c r="J645" s="251"/>
      <c r="K645" s="38">
        <f>103476+347925</f>
        <v>451401</v>
      </c>
      <c r="L645" s="596" t="s">
        <v>83</v>
      </c>
      <c r="M645" s="596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IF(OR(TH!L645=TH!$U$7,M645=TH!$U$7),"x","")</f>
        <v>x</v>
      </c>
      <c r="V645" s="52" t="str">
        <f>IF(AND(B645&gt;='IN-NX'!$P$3,B645&lt;='IN-NX'!$Q$3,'IN-NX'!$D$7=D645,OR(LEFT(L645,2)="15",AND(LEFT(M645,2)&lt;&gt;"15",LEFT(M645,2)&lt;&gt;"33"))),"x","")</f>
        <v/>
      </c>
      <c r="W645" s="52" t="str">
        <f>IF(AND(OR(LEFT(TH!L645,2)="15",LEFT(TH!M645,2)="15"),'152-CT'!$J$8=TH!F645),"x","")</f>
        <v/>
      </c>
      <c r="X645" s="52" t="str">
        <f>IF(AND(OR(LEFT(TH!L645,2)="15",LEFT(TH!M645,2)="15"),TK!$E$7=TH!F645),"x","")</f>
        <v/>
      </c>
      <c r="Y645" s="52" t="str">
        <f>IF(AND(B645&lt;=NKC!$N$8,B645&gt;=NKC!$M$8),"x","")</f>
        <v>x</v>
      </c>
      <c r="Z645" s="587" t="s">
        <v>1336</v>
      </c>
      <c r="AA645" s="208"/>
      <c r="AB645" s="208"/>
    </row>
    <row r="646" spans="1:28" s="767" customFormat="1" ht="15.75" customHeight="1">
      <c r="A646" s="201" t="str">
        <f>IF(B646&lt;&gt;"",IF(AND(B646&gt;=_TM1,B646&lt;=_TM2,OR(TH!L646="1111",TH!M646="1111")),TH!D646,""),"")</f>
        <v/>
      </c>
      <c r="B646" s="36">
        <f t="shared" si="29"/>
        <v>9</v>
      </c>
      <c r="C646" s="181">
        <f t="shared" si="30"/>
        <v>41522</v>
      </c>
      <c r="D646" s="181" t="s">
        <v>1262</v>
      </c>
      <c r="E646" s="188">
        <v>41522</v>
      </c>
      <c r="F646" s="186" t="s">
        <v>493</v>
      </c>
      <c r="G646" s="657" t="s">
        <v>509</v>
      </c>
      <c r="H646" s="7" t="s">
        <v>492</v>
      </c>
      <c r="I646" s="250"/>
      <c r="J646" s="251"/>
      <c r="K646" s="38">
        <f>10347+34792</f>
        <v>45139</v>
      </c>
      <c r="L646" s="596" t="s">
        <v>9</v>
      </c>
      <c r="M646" s="596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IF(OR(TH!L646=TH!$U$7,M646=TH!$U$7),"x","")</f>
        <v/>
      </c>
      <c r="V646" s="52" t="str">
        <f>IF(AND(B646&gt;='IN-NX'!$P$3,B646&lt;='IN-NX'!$Q$3,'IN-NX'!$D$7=D646,OR(LEFT(L646,2)="15",AND(LEFT(M646,2)&lt;&gt;"15",LEFT(M646,2)&lt;&gt;"33"))),"x","")</f>
        <v/>
      </c>
      <c r="W646" s="52" t="str">
        <f>IF(AND(OR(LEFT(TH!L646,2)="15",LEFT(TH!M646,2)="15"),'152-CT'!$J$8=TH!F646),"x","")</f>
        <v/>
      </c>
      <c r="X646" s="52" t="str">
        <f>IF(AND(OR(LEFT(TH!L646,2)="15",LEFT(TH!M646,2)="15"),TK!$E$7=TH!F646),"x","")</f>
        <v/>
      </c>
      <c r="Y646" s="52" t="str">
        <f>IF(AND(B646&lt;=NKC!$N$8,B646&gt;=NKC!$M$8),"x","")</f>
        <v>x</v>
      </c>
      <c r="Z646" s="587" t="s">
        <v>1336</v>
      </c>
      <c r="AA646" s="208"/>
      <c r="AB646" s="208"/>
    </row>
    <row r="647" spans="1:28" s="767" customFormat="1" ht="15.75" customHeight="1">
      <c r="A647" s="201" t="str">
        <f>IF(B647&lt;&gt;"",IF(AND(B647&gt;=_TM1,B647&lt;=_TM2,OR(TH!L647="1111",TH!M647="1111")),TH!D647,""),"")</f>
        <v/>
      </c>
      <c r="B647" s="36">
        <f t="shared" si="29"/>
        <v>9</v>
      </c>
      <c r="C647" s="188">
        <f t="shared" si="30"/>
        <v>41522</v>
      </c>
      <c r="D647" s="181" t="s">
        <v>1052</v>
      </c>
      <c r="E647" s="188">
        <v>41522</v>
      </c>
      <c r="F647" s="189" t="s">
        <v>1116</v>
      </c>
      <c r="G647" s="189" t="s">
        <v>1085</v>
      </c>
      <c r="H647" s="7" t="s">
        <v>863</v>
      </c>
      <c r="I647" s="249">
        <v>2700</v>
      </c>
      <c r="J647" s="249">
        <v>4700</v>
      </c>
      <c r="K647" s="38">
        <f>ROUND(I647*J647,0)</f>
        <v>12690000</v>
      </c>
      <c r="L647" s="191" t="s">
        <v>262</v>
      </c>
      <c r="M647" s="191" t="s">
        <v>172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IF(OR(TH!L647=TH!$U$7,M647=TH!$U$7),"x","")</f>
        <v/>
      </c>
      <c r="V647" s="52" t="str">
        <f>IF(AND(B647&gt;='IN-NX'!$P$3,B647&lt;='IN-NX'!$Q$3,'IN-NX'!$D$7=D647,OR(LEFT(L647,2)="15",AND(LEFT(M647,2)&lt;&gt;"15",LEFT(M647,2)&lt;&gt;"33"))),"x","")</f>
        <v/>
      </c>
      <c r="W647" s="52" t="str">
        <f>IF(AND(OR(LEFT(TH!L647,2)="15",LEFT(TH!M647,2)="15"),'152-CT'!$J$8=TH!F647),"x","")</f>
        <v/>
      </c>
      <c r="X647" s="52" t="str">
        <f>IF(AND(OR(LEFT(TH!L647,2)="15",LEFT(TH!M647,2)="15"),TK!$E$7=TH!F647),"x","")</f>
        <v/>
      </c>
      <c r="Y647" s="52" t="str">
        <f>IF(AND(B647&lt;=NKC!$N$8,B647&gt;=NKC!$M$8),"x","")</f>
        <v>x</v>
      </c>
      <c r="Z647" s="208"/>
      <c r="AA647" s="587"/>
      <c r="AB647" s="208"/>
    </row>
    <row r="648" spans="1:28" s="767" customFormat="1" ht="15.75" customHeight="1">
      <c r="A648" s="201" t="str">
        <f>IF(B648&lt;&gt;"",IF(AND(B648&gt;=_TM1,B648&lt;=_TM2,OR(TH!L648="1111",TH!M648="1111")),TH!D648,""),"")</f>
        <v/>
      </c>
      <c r="B648" s="36">
        <f t="shared" si="29"/>
        <v>9</v>
      </c>
      <c r="C648" s="188">
        <f t="shared" si="30"/>
        <v>41522</v>
      </c>
      <c r="D648" s="181" t="s">
        <v>1052</v>
      </c>
      <c r="E648" s="188">
        <v>41522</v>
      </c>
      <c r="F648" s="189" t="s">
        <v>693</v>
      </c>
      <c r="G648" s="189" t="s">
        <v>1085</v>
      </c>
      <c r="H648" s="7" t="s">
        <v>863</v>
      </c>
      <c r="I648" s="249"/>
      <c r="J648" s="249"/>
      <c r="K648" s="38">
        <v>1269000</v>
      </c>
      <c r="L648" s="191" t="s">
        <v>262</v>
      </c>
      <c r="M648" s="191" t="s">
        <v>425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IF(OR(TH!L648=TH!$U$7,M648=TH!$U$7),"x","")</f>
        <v/>
      </c>
      <c r="V648" s="52" t="str">
        <f>IF(AND(B648&gt;='IN-NX'!$P$3,B648&lt;='IN-NX'!$Q$3,'IN-NX'!$D$7=D648,OR(LEFT(L648,2)="15",AND(LEFT(M648,2)&lt;&gt;"15",LEFT(M648,2)&lt;&gt;"33"))),"x","")</f>
        <v/>
      </c>
      <c r="W648" s="52" t="str">
        <f>IF(AND(OR(LEFT(TH!L648,2)="15",LEFT(TH!M648,2)="15"),'152-CT'!$J$8=TH!F648),"x","")</f>
        <v/>
      </c>
      <c r="X648" s="52" t="str">
        <f>IF(AND(OR(LEFT(TH!L648,2)="15",LEFT(TH!M648,2)="15"),TK!$E$7=TH!F648),"x","")</f>
        <v/>
      </c>
      <c r="Y648" s="52" t="str">
        <f>IF(AND(B648&lt;=NKC!$N$8,B648&gt;=NKC!$M$8),"x","")</f>
        <v>x</v>
      </c>
      <c r="Z648" s="208"/>
      <c r="AA648" s="587" t="str">
        <f>IF(VLOOKUP(H648,DS_131,1,0)&lt;&gt;"","","x")</f>
        <v/>
      </c>
      <c r="AB648" s="208"/>
    </row>
    <row r="649" spans="1:28" s="767" customFormat="1" ht="15.75" customHeight="1">
      <c r="A649" s="201" t="str">
        <f>IF(B649&lt;&gt;"",IF(AND(B649&gt;=_TM1,B649&lt;=_TM2,OR(TH!L649="1111",TH!M649="1111")),TH!D649,""),"")</f>
        <v/>
      </c>
      <c r="B649" s="36">
        <f t="shared" si="29"/>
        <v>9</v>
      </c>
      <c r="C649" s="188">
        <f t="shared" si="30"/>
        <v>41523</v>
      </c>
      <c r="D649" s="181" t="s">
        <v>1053</v>
      </c>
      <c r="E649" s="188">
        <v>41523</v>
      </c>
      <c r="F649" s="189" t="s">
        <v>1087</v>
      </c>
      <c r="G649" s="189" t="s">
        <v>1086</v>
      </c>
      <c r="H649" s="770" t="s">
        <v>503</v>
      </c>
      <c r="I649" s="249">
        <v>1010</v>
      </c>
      <c r="J649" s="249">
        <v>7500</v>
      </c>
      <c r="K649" s="38">
        <f>ROUND(I649*J649,0)</f>
        <v>7575000</v>
      </c>
      <c r="L649" s="191" t="s">
        <v>262</v>
      </c>
      <c r="M649" s="191" t="s">
        <v>172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IF(OR(TH!L649=TH!$U$7,M649=TH!$U$7),"x","")</f>
        <v/>
      </c>
      <c r="V649" s="52" t="str">
        <f>IF(AND(B649&gt;='IN-NX'!$P$3,B649&lt;='IN-NX'!$Q$3,'IN-NX'!$D$7=D649,OR(LEFT(L649,2)="15",AND(LEFT(M649,2)&lt;&gt;"15",LEFT(M649,2)&lt;&gt;"33"))),"x","")</f>
        <v/>
      </c>
      <c r="W649" s="52" t="str">
        <f>IF(AND(OR(LEFT(TH!L649,2)="15",LEFT(TH!M649,2)="15"),'152-CT'!$J$8=TH!F649),"x","")</f>
        <v/>
      </c>
      <c r="X649" s="52" t="str">
        <f>IF(AND(OR(LEFT(TH!L649,2)="15",LEFT(TH!M649,2)="15"),TK!$E$7=TH!F649),"x","")</f>
        <v/>
      </c>
      <c r="Y649" s="52" t="str">
        <f>IF(AND(B649&lt;=NKC!$N$8,B649&gt;=NKC!$M$8),"x","")</f>
        <v>x</v>
      </c>
      <c r="Z649" s="208"/>
      <c r="AA649" s="587"/>
      <c r="AB649" s="208"/>
    </row>
    <row r="650" spans="1:28" s="767" customFormat="1" ht="15.75" customHeight="1">
      <c r="A650" s="201" t="str">
        <f>IF(B650&lt;&gt;"",IF(AND(B650&gt;=_TM1,B650&lt;=_TM2,OR(TH!L650="1111",TH!M650="1111")),TH!D650,""),"")</f>
        <v/>
      </c>
      <c r="B650" s="36">
        <f t="shared" si="29"/>
        <v>9</v>
      </c>
      <c r="C650" s="188">
        <f t="shared" si="30"/>
        <v>41523</v>
      </c>
      <c r="D650" s="181" t="s">
        <v>1053</v>
      </c>
      <c r="E650" s="188">
        <v>41523</v>
      </c>
      <c r="F650" s="189" t="s">
        <v>1088</v>
      </c>
      <c r="G650" s="189" t="s">
        <v>1086</v>
      </c>
      <c r="H650" s="770" t="s">
        <v>503</v>
      </c>
      <c r="I650" s="249">
        <v>1000</v>
      </c>
      <c r="J650" s="249">
        <v>6400</v>
      </c>
      <c r="K650" s="38">
        <f>ROUND(I650*J650,0)</f>
        <v>6400000</v>
      </c>
      <c r="L650" s="191" t="s">
        <v>262</v>
      </c>
      <c r="M650" s="191" t="s">
        <v>172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IF(OR(TH!L650=TH!$U$7,M650=TH!$U$7),"x","")</f>
        <v/>
      </c>
      <c r="V650" s="52" t="str">
        <f>IF(AND(B650&gt;='IN-NX'!$P$3,B650&lt;='IN-NX'!$Q$3,'IN-NX'!$D$7=D650,OR(LEFT(L650,2)="15",AND(LEFT(M650,2)&lt;&gt;"15",LEFT(M650,2)&lt;&gt;"33"))),"x","")</f>
        <v/>
      </c>
      <c r="W650" s="52" t="str">
        <f>IF(AND(OR(LEFT(TH!L650,2)="15",LEFT(TH!M650,2)="15"),'152-CT'!$J$8=TH!F650),"x","")</f>
        <v/>
      </c>
      <c r="X650" s="52" t="str">
        <f>IF(AND(OR(LEFT(TH!L650,2)="15",LEFT(TH!M650,2)="15"),TK!$E$7=TH!F650),"x","")</f>
        <v/>
      </c>
      <c r="Y650" s="52" t="str">
        <f>IF(AND(B650&lt;=NKC!$N$8,B650&gt;=NKC!$M$8),"x","")</f>
        <v>x</v>
      </c>
      <c r="Z650" s="208"/>
      <c r="AA650" s="587"/>
      <c r="AB650" s="208"/>
    </row>
    <row r="651" spans="1:28" s="767" customFormat="1" ht="15.75" customHeight="1">
      <c r="A651" s="201" t="str">
        <f>IF(B651&lt;&gt;"",IF(AND(B651&gt;=_TM1,B651&lt;=_TM2,OR(TH!L651="1111",TH!M651="1111")),TH!D651,""),"")</f>
        <v/>
      </c>
      <c r="B651" s="36">
        <f t="shared" si="29"/>
        <v>9</v>
      </c>
      <c r="C651" s="188">
        <f t="shared" si="30"/>
        <v>41523</v>
      </c>
      <c r="D651" s="181" t="s">
        <v>1053</v>
      </c>
      <c r="E651" s="188">
        <v>41523</v>
      </c>
      <c r="F651" s="189" t="s">
        <v>693</v>
      </c>
      <c r="G651" s="189" t="s">
        <v>1086</v>
      </c>
      <c r="H651" s="770" t="s">
        <v>503</v>
      </c>
      <c r="I651" s="249"/>
      <c r="J651" s="249"/>
      <c r="K651" s="38">
        <v>1397500</v>
      </c>
      <c r="L651" s="191" t="s">
        <v>262</v>
      </c>
      <c r="M651" s="191" t="s">
        <v>425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IF(OR(TH!L651=TH!$U$7,M651=TH!$U$7),"x","")</f>
        <v/>
      </c>
      <c r="V651" s="52" t="str">
        <f>IF(AND(B651&gt;='IN-NX'!$P$3,B651&lt;='IN-NX'!$Q$3,'IN-NX'!$D$7=D651,OR(LEFT(L651,2)="15",AND(LEFT(M651,2)&lt;&gt;"15",LEFT(M651,2)&lt;&gt;"33"))),"x","")</f>
        <v/>
      </c>
      <c r="W651" s="52" t="str">
        <f>IF(AND(OR(LEFT(TH!L651,2)="15",LEFT(TH!M651,2)="15"),'152-CT'!$J$8=TH!F651),"x","")</f>
        <v/>
      </c>
      <c r="X651" s="52" t="str">
        <f>IF(AND(OR(LEFT(TH!L651,2)="15",LEFT(TH!M651,2)="15"),TK!$E$7=TH!F651),"x","")</f>
        <v/>
      </c>
      <c r="Y651" s="52" t="str">
        <f>IF(AND(B651&lt;=NKC!$N$8,B651&gt;=NKC!$M$8),"x","")</f>
        <v>x</v>
      </c>
      <c r="Z651" s="208"/>
      <c r="AA651" s="587" t="str">
        <f>IF(VLOOKUP(H651,DS_131,1,0)&lt;&gt;"","","x")</f>
        <v/>
      </c>
      <c r="AB651" s="208"/>
    </row>
    <row r="652" spans="1:28" s="767" customFormat="1" ht="15.75" customHeight="1">
      <c r="A652" s="201" t="str">
        <f>IF(B652&lt;&gt;"",IF(AND(B652&gt;=_TM1,B652&lt;=_TM2,OR(TH!L652="1111",TH!M652="1111")),TH!D652,""),"")</f>
        <v/>
      </c>
      <c r="B652" s="36">
        <f t="shared" si="29"/>
        <v>9</v>
      </c>
      <c r="C652" s="181">
        <f t="shared" si="30"/>
        <v>41526</v>
      </c>
      <c r="D652" s="181" t="s">
        <v>335</v>
      </c>
      <c r="E652" s="188">
        <v>41526</v>
      </c>
      <c r="F652" s="186" t="s">
        <v>337</v>
      </c>
      <c r="G652" s="597" t="s">
        <v>332</v>
      </c>
      <c r="H652" s="7" t="s">
        <v>503</v>
      </c>
      <c r="I652" s="250"/>
      <c r="J652" s="251"/>
      <c r="K652" s="38">
        <v>17307400</v>
      </c>
      <c r="L652" s="596" t="s">
        <v>24</v>
      </c>
      <c r="M652" s="596" t="s">
        <v>262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>x</v>
      </c>
      <c r="T652" s="52" t="str">
        <f>IF(ISERROR(FIND('112'!$M$9,G652,1)),"",IF((AND(RIGHT(G652,2)=RIGHT('112'!$M$9,2),B652&lt;'112'!$N$8,$M652='112'!$I$6)),"x",""))</f>
        <v/>
      </c>
      <c r="U652" s="52" t="str">
        <f>IF(OR(TH!L652=TH!$U$7,M652=TH!$U$7),"x","")</f>
        <v/>
      </c>
      <c r="V652" s="52" t="str">
        <f>IF(AND(B652&gt;='IN-NX'!$P$3,B652&lt;='IN-NX'!$Q$3,'IN-NX'!$D$7=D652,OR(LEFT(L652,2)="15",AND(LEFT(M652,2)&lt;&gt;"15",LEFT(M652,2)&lt;&gt;"33"))),"x","")</f>
        <v/>
      </c>
      <c r="W652" s="52" t="str">
        <f>IF(AND(OR(LEFT(TH!L652,2)="15",LEFT(TH!M652,2)="15"),'152-CT'!$J$8=TH!F652),"x","")</f>
        <v/>
      </c>
      <c r="X652" s="52" t="str">
        <f>IF(AND(OR(LEFT(TH!L652,2)="15",LEFT(TH!M652,2)="15"),TK!$E$7=TH!F652),"x","")</f>
        <v/>
      </c>
      <c r="Y652" s="52" t="str">
        <f>IF(AND(B652&lt;=NKC!$N$8,B652&gt;=NKC!$M$8),"x","")</f>
        <v>x</v>
      </c>
      <c r="Z652" s="208"/>
      <c r="AA652" s="208"/>
      <c r="AB652" s="208"/>
    </row>
    <row r="653" spans="1:28" s="767" customFormat="1" ht="15.75" customHeight="1">
      <c r="A653" s="201" t="str">
        <f>IF(B653&lt;&gt;"",IF(AND(B653&gt;=_TM1,B653&lt;=_TM2,OR(TH!L653="1111",TH!M653="1111")),TH!D653,""),"")</f>
        <v/>
      </c>
      <c r="B653" s="36">
        <f t="shared" si="29"/>
        <v>9</v>
      </c>
      <c r="C653" s="188">
        <f t="shared" si="30"/>
        <v>41526</v>
      </c>
      <c r="D653" s="181" t="s">
        <v>1054</v>
      </c>
      <c r="E653" s="188">
        <v>41526</v>
      </c>
      <c r="F653" s="189" t="s">
        <v>1103</v>
      </c>
      <c r="G653" s="189" t="s">
        <v>1089</v>
      </c>
      <c r="H653" s="7" t="s">
        <v>427</v>
      </c>
      <c r="I653" s="249">
        <v>990</v>
      </c>
      <c r="J653" s="249">
        <v>6250</v>
      </c>
      <c r="K653" s="38">
        <f>ROUND(I653*J653,0)</f>
        <v>6187500</v>
      </c>
      <c r="L653" s="191" t="s">
        <v>262</v>
      </c>
      <c r="M653" s="191" t="s">
        <v>172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IF(OR(TH!L653=TH!$U$7,M653=TH!$U$7),"x","")</f>
        <v/>
      </c>
      <c r="V653" s="52" t="str">
        <f>IF(AND(B653&gt;='IN-NX'!$P$3,B653&lt;='IN-NX'!$Q$3,'IN-NX'!$D$7=D653,OR(LEFT(L653,2)="15",AND(LEFT(M653,2)&lt;&gt;"15",LEFT(M653,2)&lt;&gt;"33"))),"x","")</f>
        <v/>
      </c>
      <c r="W653" s="52" t="str">
        <f>IF(AND(OR(LEFT(TH!L653,2)="15",LEFT(TH!M653,2)="15"),'152-CT'!$J$8=TH!F653),"x","")</f>
        <v/>
      </c>
      <c r="X653" s="52" t="str">
        <f>IF(AND(OR(LEFT(TH!L653,2)="15",LEFT(TH!M653,2)="15"),TK!$E$7=TH!F653),"x","")</f>
        <v/>
      </c>
      <c r="Y653" s="52" t="str">
        <f>IF(AND(B653&lt;=NKC!$N$8,B653&gt;=NKC!$M$8),"x","")</f>
        <v>x</v>
      </c>
      <c r="Z653" s="208"/>
      <c r="AA653" s="587"/>
      <c r="AB653" s="208"/>
    </row>
    <row r="654" spans="1:28" s="767" customFormat="1" ht="15.75" customHeight="1">
      <c r="A654" s="201" t="str">
        <f>IF(B654&lt;&gt;"",IF(AND(B654&gt;=_TM1,B654&lt;=_TM2,OR(TH!L654="1111",TH!M654="1111")),TH!D654,""),"")</f>
        <v/>
      </c>
      <c r="B654" s="36">
        <f t="shared" si="29"/>
        <v>9</v>
      </c>
      <c r="C654" s="188">
        <f t="shared" si="30"/>
        <v>41526</v>
      </c>
      <c r="D654" s="181" t="s">
        <v>1054</v>
      </c>
      <c r="E654" s="188">
        <v>41526</v>
      </c>
      <c r="F654" s="189" t="s">
        <v>693</v>
      </c>
      <c r="G654" s="189" t="s">
        <v>1089</v>
      </c>
      <c r="H654" s="7" t="s">
        <v>427</v>
      </c>
      <c r="I654" s="249"/>
      <c r="J654" s="249"/>
      <c r="K654" s="38">
        <v>618750</v>
      </c>
      <c r="L654" s="191" t="s">
        <v>262</v>
      </c>
      <c r="M654" s="191" t="s">
        <v>425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IF(OR(TH!L654=TH!$U$7,M654=TH!$U$7),"x","")</f>
        <v/>
      </c>
      <c r="V654" s="52" t="str">
        <f>IF(AND(B654&gt;='IN-NX'!$P$3,B654&lt;='IN-NX'!$Q$3,'IN-NX'!$D$7=D654,OR(LEFT(L654,2)="15",AND(LEFT(M654,2)&lt;&gt;"15",LEFT(M654,2)&lt;&gt;"33"))),"x","")</f>
        <v/>
      </c>
      <c r="W654" s="52" t="str">
        <f>IF(AND(OR(LEFT(TH!L654,2)="15",LEFT(TH!M654,2)="15"),'152-CT'!$J$8=TH!F654),"x","")</f>
        <v/>
      </c>
      <c r="X654" s="52" t="str">
        <f>IF(AND(OR(LEFT(TH!L654,2)="15",LEFT(TH!M654,2)="15"),TK!$E$7=TH!F654),"x","")</f>
        <v/>
      </c>
      <c r="Y654" s="52" t="str">
        <f>IF(AND(B654&lt;=NKC!$N$8,B654&gt;=NKC!$M$8),"x","")</f>
        <v>x</v>
      </c>
      <c r="Z654" s="208"/>
      <c r="AA654" s="587" t="str">
        <f>IF(VLOOKUP(H654,DS_131,1,0)&lt;&gt;"","","x")</f>
        <v/>
      </c>
      <c r="AB654" s="208"/>
    </row>
    <row r="655" spans="1:28" s="767" customFormat="1" ht="15.75" customHeight="1">
      <c r="A655" s="201" t="str">
        <f>IF(B655&lt;&gt;"",IF(AND(B655&gt;=_TM1,B655&lt;=_TM2,OR(TH!L655="1111",TH!M655="1111")),TH!D655,""),"")</f>
        <v/>
      </c>
      <c r="B655" s="36">
        <f t="shared" si="29"/>
        <v>9</v>
      </c>
      <c r="C655" s="188">
        <f t="shared" si="30"/>
        <v>41526</v>
      </c>
      <c r="D655" s="181" t="s">
        <v>1055</v>
      </c>
      <c r="E655" s="188">
        <v>41526</v>
      </c>
      <c r="F655" s="189" t="s">
        <v>834</v>
      </c>
      <c r="G655" s="189" t="s">
        <v>1090</v>
      </c>
      <c r="H655" s="7" t="s">
        <v>549</v>
      </c>
      <c r="I655" s="249">
        <v>505</v>
      </c>
      <c r="J655" s="249">
        <v>20300</v>
      </c>
      <c r="K655" s="38">
        <f>ROUND(I655*J655,0)</f>
        <v>10251500</v>
      </c>
      <c r="L655" s="191" t="s">
        <v>262</v>
      </c>
      <c r="M655" s="191" t="s">
        <v>172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IF(OR(TH!L655=TH!$U$7,M655=TH!$U$7),"x","")</f>
        <v/>
      </c>
      <c r="V655" s="52" t="str">
        <f>IF(AND(B655&gt;='IN-NX'!$P$3,B655&lt;='IN-NX'!$Q$3,'IN-NX'!$D$7=D655,OR(LEFT(L655,2)="15",AND(LEFT(M655,2)&lt;&gt;"15",LEFT(M655,2)&lt;&gt;"33"))),"x","")</f>
        <v/>
      </c>
      <c r="W655" s="52" t="str">
        <f>IF(AND(OR(LEFT(TH!L655,2)="15",LEFT(TH!M655,2)="15"),'152-CT'!$J$8=TH!F655),"x","")</f>
        <v/>
      </c>
      <c r="X655" s="52" t="str">
        <f>IF(AND(OR(LEFT(TH!L655,2)="15",LEFT(TH!M655,2)="15"),TK!$E$7=TH!F655),"x","")</f>
        <v/>
      </c>
      <c r="Y655" s="52" t="str">
        <f>IF(AND(B655&lt;=NKC!$N$8,B655&gt;=NKC!$M$8),"x","")</f>
        <v>x</v>
      </c>
      <c r="Z655" s="208"/>
      <c r="AA655" s="587"/>
      <c r="AB655" s="208"/>
    </row>
    <row r="656" spans="1:28" s="767" customFormat="1" ht="15.75" customHeight="1">
      <c r="A656" s="201" t="str">
        <f>IF(B656&lt;&gt;"",IF(AND(B656&gt;=_TM1,B656&lt;=_TM2,OR(TH!L656="1111",TH!M656="1111")),TH!D656,""),"")</f>
        <v/>
      </c>
      <c r="B656" s="36">
        <f t="shared" si="29"/>
        <v>9</v>
      </c>
      <c r="C656" s="188">
        <f t="shared" si="30"/>
        <v>41526</v>
      </c>
      <c r="D656" s="181" t="s">
        <v>1055</v>
      </c>
      <c r="E656" s="188">
        <v>41526</v>
      </c>
      <c r="F656" s="189" t="s">
        <v>693</v>
      </c>
      <c r="G656" s="189" t="s">
        <v>1090</v>
      </c>
      <c r="H656" s="7" t="s">
        <v>549</v>
      </c>
      <c r="I656" s="249"/>
      <c r="J656" s="249"/>
      <c r="K656" s="38">
        <v>1025150</v>
      </c>
      <c r="L656" s="191" t="s">
        <v>262</v>
      </c>
      <c r="M656" s="191" t="s">
        <v>425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IF(OR(TH!L656=TH!$U$7,M656=TH!$U$7),"x","")</f>
        <v/>
      </c>
      <c r="V656" s="52" t="str">
        <f>IF(AND(B656&gt;='IN-NX'!$P$3,B656&lt;='IN-NX'!$Q$3,'IN-NX'!$D$7=D656,OR(LEFT(L656,2)="15",AND(LEFT(M656,2)&lt;&gt;"15",LEFT(M656,2)&lt;&gt;"33"))),"x","")</f>
        <v/>
      </c>
      <c r="W656" s="52" t="str">
        <f>IF(AND(OR(LEFT(TH!L656,2)="15",LEFT(TH!M656,2)="15"),'152-CT'!$J$8=TH!F656),"x","")</f>
        <v/>
      </c>
      <c r="X656" s="52" t="str">
        <f>IF(AND(OR(LEFT(TH!L656,2)="15",LEFT(TH!M656,2)="15"),TK!$E$7=TH!F656),"x","")</f>
        <v/>
      </c>
      <c r="Y656" s="52" t="str">
        <f>IF(AND(B656&lt;=NKC!$N$8,B656&gt;=NKC!$M$8),"x","")</f>
        <v>x</v>
      </c>
      <c r="Z656" s="208"/>
      <c r="AA656" s="587" t="str">
        <f>IF(VLOOKUP(H656,DS_131,1,0)&lt;&gt;"","","x")</f>
        <v/>
      </c>
      <c r="AB656" s="208"/>
    </row>
    <row r="657" spans="1:28" s="767" customFormat="1" ht="15.75" customHeight="1">
      <c r="A657" s="201" t="str">
        <f>IF(B657&lt;&gt;"",IF(AND(B657&gt;=_TM1,B657&lt;=_TM2,OR(TH!L657="1111",TH!M657="1111")),TH!D657,""),"")</f>
        <v/>
      </c>
      <c r="B657" s="36">
        <f t="shared" si="29"/>
        <v>9</v>
      </c>
      <c r="C657" s="188">
        <f t="shared" si="30"/>
        <v>41526</v>
      </c>
      <c r="D657" s="181" t="s">
        <v>1056</v>
      </c>
      <c r="E657" s="188">
        <v>41526</v>
      </c>
      <c r="F657" s="189" t="s">
        <v>907</v>
      </c>
      <c r="G657" s="189" t="s">
        <v>1091</v>
      </c>
      <c r="H657" s="7" t="s">
        <v>517</v>
      </c>
      <c r="I657" s="249">
        <v>585</v>
      </c>
      <c r="J657" s="249">
        <v>18600</v>
      </c>
      <c r="K657" s="38">
        <f>ROUND(I657*J657,0)</f>
        <v>10881000</v>
      </c>
      <c r="L657" s="191" t="s">
        <v>262</v>
      </c>
      <c r="M657" s="191" t="s">
        <v>172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IF(OR(TH!L657=TH!$U$7,M657=TH!$U$7),"x","")</f>
        <v/>
      </c>
      <c r="V657" s="52" t="str">
        <f>IF(AND(B657&gt;='IN-NX'!$P$3,B657&lt;='IN-NX'!$Q$3,'IN-NX'!$D$7=D657,OR(LEFT(L657,2)="15",AND(LEFT(M657,2)&lt;&gt;"15",LEFT(M657,2)&lt;&gt;"33"))),"x","")</f>
        <v/>
      </c>
      <c r="W657" s="52" t="str">
        <f>IF(AND(OR(LEFT(TH!L657,2)="15",LEFT(TH!M657,2)="15"),'152-CT'!$J$8=TH!F657),"x","")</f>
        <v/>
      </c>
      <c r="X657" s="52" t="str">
        <f>IF(AND(OR(LEFT(TH!L657,2)="15",LEFT(TH!M657,2)="15"),TK!$E$7=TH!F657),"x","")</f>
        <v/>
      </c>
      <c r="Y657" s="52" t="str">
        <f>IF(AND(B657&lt;=NKC!$N$8,B657&gt;=NKC!$M$8),"x","")</f>
        <v>x</v>
      </c>
      <c r="Z657" s="208"/>
      <c r="AA657" s="587"/>
      <c r="AB657" s="208"/>
    </row>
    <row r="658" spans="1:28" s="767" customFormat="1" ht="15.75" customHeight="1">
      <c r="A658" s="201" t="str">
        <f>IF(B658&lt;&gt;"",IF(AND(B658&gt;=_TM1,B658&lt;=_TM2,OR(TH!L658="1111",TH!M658="1111")),TH!D658,""),"")</f>
        <v/>
      </c>
      <c r="B658" s="36">
        <f t="shared" si="29"/>
        <v>9</v>
      </c>
      <c r="C658" s="188">
        <f t="shared" si="30"/>
        <v>41526</v>
      </c>
      <c r="D658" s="181" t="s">
        <v>1056</v>
      </c>
      <c r="E658" s="188">
        <v>41526</v>
      </c>
      <c r="F658" s="189" t="s">
        <v>909</v>
      </c>
      <c r="G658" s="189" t="s">
        <v>1091</v>
      </c>
      <c r="H658" s="7" t="s">
        <v>517</v>
      </c>
      <c r="I658" s="249">
        <v>300</v>
      </c>
      <c r="J658" s="249">
        <v>16300</v>
      </c>
      <c r="K658" s="38">
        <f>ROUND(I658*J658,0)</f>
        <v>4890000</v>
      </c>
      <c r="L658" s="191" t="s">
        <v>262</v>
      </c>
      <c r="M658" s="191" t="s">
        <v>172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IF(OR(TH!L658=TH!$U$7,M658=TH!$U$7),"x","")</f>
        <v/>
      </c>
      <c r="V658" s="52" t="str">
        <f>IF(AND(B658&gt;='IN-NX'!$P$3,B658&lt;='IN-NX'!$Q$3,'IN-NX'!$D$7=D658,OR(LEFT(L658,2)="15",AND(LEFT(M658,2)&lt;&gt;"15",LEFT(M658,2)&lt;&gt;"33"))),"x","")</f>
        <v/>
      </c>
      <c r="W658" s="52" t="str">
        <f>IF(AND(OR(LEFT(TH!L658,2)="15",LEFT(TH!M658,2)="15"),'152-CT'!$J$8=TH!F658),"x","")</f>
        <v/>
      </c>
      <c r="X658" s="52" t="str">
        <f>IF(AND(OR(LEFT(TH!L658,2)="15",LEFT(TH!M658,2)="15"),TK!$E$7=TH!F658),"x","")</f>
        <v/>
      </c>
      <c r="Y658" s="52" t="str">
        <f>IF(AND(B658&lt;=NKC!$N$8,B658&gt;=NKC!$M$8),"x","")</f>
        <v>x</v>
      </c>
      <c r="Z658" s="208"/>
      <c r="AA658" s="587"/>
      <c r="AB658" s="208"/>
    </row>
    <row r="659" spans="1:28" s="767" customFormat="1" ht="15.75" customHeight="1">
      <c r="A659" s="201" t="str">
        <f>IF(B659&lt;&gt;"",IF(AND(B659&gt;=_TM1,B659&lt;=_TM2,OR(TH!L659="1111",TH!M659="1111")),TH!D659,""),"")</f>
        <v/>
      </c>
      <c r="B659" s="36">
        <f t="shared" si="29"/>
        <v>9</v>
      </c>
      <c r="C659" s="188">
        <f t="shared" si="30"/>
        <v>41526</v>
      </c>
      <c r="D659" s="181" t="s">
        <v>1056</v>
      </c>
      <c r="E659" s="188">
        <v>41526</v>
      </c>
      <c r="F659" s="189" t="s">
        <v>693</v>
      </c>
      <c r="G659" s="189" t="s">
        <v>1091</v>
      </c>
      <c r="H659" s="7" t="s">
        <v>517</v>
      </c>
      <c r="I659" s="249"/>
      <c r="J659" s="249"/>
      <c r="K659" s="38">
        <v>1577100</v>
      </c>
      <c r="L659" s="191" t="s">
        <v>262</v>
      </c>
      <c r="M659" s="191" t="s">
        <v>425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IF(OR(TH!L659=TH!$U$7,M659=TH!$U$7),"x","")</f>
        <v/>
      </c>
      <c r="V659" s="52" t="str">
        <f>IF(AND(B659&gt;='IN-NX'!$P$3,B659&lt;='IN-NX'!$Q$3,'IN-NX'!$D$7=D659,OR(LEFT(L659,2)="15",AND(LEFT(M659,2)&lt;&gt;"15",LEFT(M659,2)&lt;&gt;"33"))),"x","")</f>
        <v/>
      </c>
      <c r="W659" s="52" t="str">
        <f>IF(AND(OR(LEFT(TH!L659,2)="15",LEFT(TH!M659,2)="15"),'152-CT'!$J$8=TH!F659),"x","")</f>
        <v/>
      </c>
      <c r="X659" s="52" t="str">
        <f>IF(AND(OR(LEFT(TH!L659,2)="15",LEFT(TH!M659,2)="15"),TK!$E$7=TH!F659),"x","")</f>
        <v/>
      </c>
      <c r="Y659" s="52" t="str">
        <f>IF(AND(B659&lt;=NKC!$N$8,B659&gt;=NKC!$M$8),"x","")</f>
        <v>x</v>
      </c>
      <c r="Z659" s="208"/>
      <c r="AA659" s="587" t="str">
        <f>IF(VLOOKUP(H659,DS_131,1,0)&lt;&gt;"","","x")</f>
        <v/>
      </c>
      <c r="AB659" s="208"/>
    </row>
    <row r="660" spans="1:28" s="767" customFormat="1" ht="15.75" customHeight="1">
      <c r="A660" s="201" t="str">
        <f>IF(B660&lt;&gt;"",IF(AND(B660&gt;=_TM1,B660&lt;=_TM2,OR(TH!L660="1111",TH!M660="1111")),TH!D660,""),"")</f>
        <v/>
      </c>
      <c r="B660" s="36">
        <f t="shared" si="29"/>
        <v>9</v>
      </c>
      <c r="C660" s="188">
        <f t="shared" si="30"/>
        <v>41526</v>
      </c>
      <c r="D660" s="181" t="s">
        <v>1057</v>
      </c>
      <c r="E660" s="188">
        <v>41526</v>
      </c>
      <c r="F660" s="189" t="s">
        <v>1116</v>
      </c>
      <c r="G660" s="189" t="s">
        <v>891</v>
      </c>
      <c r="H660" s="7" t="s">
        <v>863</v>
      </c>
      <c r="I660" s="249">
        <v>2680</v>
      </c>
      <c r="J660" s="249">
        <v>4700</v>
      </c>
      <c r="K660" s="38">
        <f>ROUND(I660*J660,0)</f>
        <v>12596000</v>
      </c>
      <c r="L660" s="191" t="s">
        <v>262</v>
      </c>
      <c r="M660" s="191" t="s">
        <v>172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IF(OR(TH!L660=TH!$U$7,M660=TH!$U$7),"x","")</f>
        <v/>
      </c>
      <c r="V660" s="52" t="str">
        <f>IF(AND(B660&gt;='IN-NX'!$P$3,B660&lt;='IN-NX'!$Q$3,'IN-NX'!$D$7=D660,OR(LEFT(L660,2)="15",AND(LEFT(M660,2)&lt;&gt;"15",LEFT(M660,2)&lt;&gt;"33"))),"x","")</f>
        <v/>
      </c>
      <c r="W660" s="52" t="str">
        <f>IF(AND(OR(LEFT(TH!L660,2)="15",LEFT(TH!M660,2)="15"),'152-CT'!$J$8=TH!F660),"x","")</f>
        <v/>
      </c>
      <c r="X660" s="52" t="str">
        <f>IF(AND(OR(LEFT(TH!L660,2)="15",LEFT(TH!M660,2)="15"),TK!$E$7=TH!F660),"x","")</f>
        <v/>
      </c>
      <c r="Y660" s="52" t="str">
        <f>IF(AND(B660&lt;=NKC!$N$8,B660&gt;=NKC!$M$8),"x","")</f>
        <v>x</v>
      </c>
      <c r="Z660" s="208"/>
      <c r="AA660" s="587"/>
      <c r="AB660" s="208"/>
    </row>
    <row r="661" spans="1:28" s="767" customFormat="1" ht="15.75" customHeight="1">
      <c r="A661" s="201" t="str">
        <f>IF(B661&lt;&gt;"",IF(AND(B661&gt;=_TM1,B661&lt;=_TM2,OR(TH!L661="1111",TH!M661="1111")),TH!D661,""),"")</f>
        <v/>
      </c>
      <c r="B661" s="36">
        <f t="shared" si="29"/>
        <v>9</v>
      </c>
      <c r="C661" s="188">
        <f t="shared" si="30"/>
        <v>41526</v>
      </c>
      <c r="D661" s="181" t="s">
        <v>1057</v>
      </c>
      <c r="E661" s="188">
        <v>41526</v>
      </c>
      <c r="F661" s="189" t="s">
        <v>693</v>
      </c>
      <c r="G661" s="189" t="s">
        <v>891</v>
      </c>
      <c r="H661" s="7" t="s">
        <v>863</v>
      </c>
      <c r="I661" s="249"/>
      <c r="J661" s="249"/>
      <c r="K661" s="38">
        <v>1259600</v>
      </c>
      <c r="L661" s="191" t="s">
        <v>262</v>
      </c>
      <c r="M661" s="191" t="s">
        <v>425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IF(OR(TH!L661=TH!$U$7,M661=TH!$U$7),"x","")</f>
        <v/>
      </c>
      <c r="V661" s="52" t="str">
        <f>IF(AND(B661&gt;='IN-NX'!$P$3,B661&lt;='IN-NX'!$Q$3,'IN-NX'!$D$7=D661,OR(LEFT(L661,2)="15",AND(LEFT(M661,2)&lt;&gt;"15",LEFT(M661,2)&lt;&gt;"33"))),"x","")</f>
        <v/>
      </c>
      <c r="W661" s="52" t="str">
        <f>IF(AND(OR(LEFT(TH!L661,2)="15",LEFT(TH!M661,2)="15"),'152-CT'!$J$8=TH!F661),"x","")</f>
        <v/>
      </c>
      <c r="X661" s="52" t="str">
        <f>IF(AND(OR(LEFT(TH!L661,2)="15",LEFT(TH!M661,2)="15"),TK!$E$7=TH!F661),"x","")</f>
        <v/>
      </c>
      <c r="Y661" s="52" t="str">
        <f>IF(AND(B661&lt;=NKC!$N$8,B661&gt;=NKC!$M$8),"x","")</f>
        <v>x</v>
      </c>
      <c r="Z661" s="208"/>
      <c r="AA661" s="587" t="str">
        <f>IF(VLOOKUP(H661,DS_131,1,0)&lt;&gt;"","","x")</f>
        <v/>
      </c>
      <c r="AB661" s="208"/>
    </row>
    <row r="662" spans="1:28" s="767" customFormat="1" ht="15.75" customHeight="1">
      <c r="A662" s="201" t="str">
        <f>IF(B662&lt;&gt;"",IF(AND(B662&gt;=_TM1,B662&lt;=_TM2,OR(TH!L662="1111",TH!M662="1111")),TH!D662,""),"")</f>
        <v/>
      </c>
      <c r="B662" s="36">
        <f t="shared" si="29"/>
        <v>9</v>
      </c>
      <c r="C662" s="181">
        <f t="shared" si="30"/>
        <v>41528</v>
      </c>
      <c r="D662" s="181" t="s">
        <v>335</v>
      </c>
      <c r="E662" s="181">
        <v>41528</v>
      </c>
      <c r="F662" s="186" t="s">
        <v>337</v>
      </c>
      <c r="G662" s="597" t="s">
        <v>332</v>
      </c>
      <c r="H662" s="7" t="s">
        <v>506</v>
      </c>
      <c r="I662" s="249"/>
      <c r="J662" s="249"/>
      <c r="K662" s="595">
        <v>11550000</v>
      </c>
      <c r="L662" s="596" t="s">
        <v>24</v>
      </c>
      <c r="M662" s="596" t="s">
        <v>262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>x</v>
      </c>
      <c r="T662" s="52" t="str">
        <f>IF(ISERROR(FIND('112'!$M$9,G662,1)),"",IF((AND(RIGHT(G662,2)=RIGHT('112'!$M$9,2),B662&lt;'112'!$N$8,$M662='112'!$I$6)),"x",""))</f>
        <v/>
      </c>
      <c r="U662" s="52" t="str">
        <f>IF(OR(TH!L662=TH!$U$7,M662=TH!$U$7),"x","")</f>
        <v/>
      </c>
      <c r="V662" s="52" t="str">
        <f>IF(AND(B662&gt;='IN-NX'!$P$3,B662&lt;='IN-NX'!$Q$3,'IN-NX'!$D$7=D662,OR(LEFT(L662,2)="15",AND(LEFT(M662,2)&lt;&gt;"15",LEFT(M662,2)&lt;&gt;"33"))),"x","")</f>
        <v/>
      </c>
      <c r="W662" s="52" t="str">
        <f>IF(AND(OR(LEFT(TH!L662,2)="15",LEFT(TH!M662,2)="15"),'152-CT'!$J$8=TH!F662),"x","")</f>
        <v/>
      </c>
      <c r="X662" s="52" t="str">
        <f>IF(AND(OR(LEFT(TH!L662,2)="15",LEFT(TH!M662,2)="15"),TK!$E$7=TH!F662),"x","")</f>
        <v/>
      </c>
      <c r="Y662" s="52" t="str">
        <f>IF(AND(B662&lt;=NKC!$N$8,B662&gt;=NKC!$M$8),"x","")</f>
        <v>x</v>
      </c>
      <c r="Z662" s="694"/>
      <c r="AA662" s="195"/>
      <c r="AB662" s="195"/>
    </row>
    <row r="663" spans="1:28" s="767" customFormat="1" ht="15.75" customHeight="1">
      <c r="A663" s="201" t="str">
        <f>IF(B663&lt;&gt;"",IF(AND(B663&gt;=_TM1,B663&lt;=_TM2,OR(TH!L663="1111",TH!M663="1111")),TH!D663,""),"")</f>
        <v/>
      </c>
      <c r="B663" s="36">
        <f t="shared" si="29"/>
        <v>9</v>
      </c>
      <c r="C663" s="181">
        <f t="shared" si="30"/>
        <v>41528</v>
      </c>
      <c r="D663" s="181" t="s">
        <v>1267</v>
      </c>
      <c r="E663" s="188">
        <v>41528</v>
      </c>
      <c r="F663" s="186" t="s">
        <v>469</v>
      </c>
      <c r="G663" s="597" t="s">
        <v>332</v>
      </c>
      <c r="H663" s="7" t="s">
        <v>364</v>
      </c>
      <c r="I663" s="250"/>
      <c r="J663" s="251"/>
      <c r="K663" s="38">
        <v>28800000</v>
      </c>
      <c r="L663" s="596" t="s">
        <v>47</v>
      </c>
      <c r="M663" s="5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52" t="str">
        <f>IF(OR(TH!L663=TH!$U$7,M663=TH!$U$7),"x","")</f>
        <v/>
      </c>
      <c r="V663" s="52" t="str">
        <f>IF(AND(B663&gt;='IN-NX'!$P$3,B663&lt;='IN-NX'!$Q$3,'IN-NX'!$D$7=D663,OR(LEFT(L663,2)="15",AND(LEFT(M663,2)&lt;&gt;"15",LEFT(M663,2)&lt;&gt;"33"))),"x","")</f>
        <v/>
      </c>
      <c r="W663" s="52" t="str">
        <f>IF(AND(OR(LEFT(TH!L663,2)="15",LEFT(TH!M663,2)="15"),'152-CT'!$J$8=TH!F663),"x","")</f>
        <v/>
      </c>
      <c r="X663" s="52" t="str">
        <f>IF(AND(OR(LEFT(TH!L663,2)="15",LEFT(TH!M663,2)="15"),TK!$E$7=TH!F663),"x","")</f>
        <v/>
      </c>
      <c r="Y663" s="52" t="str">
        <f>IF(AND(B663&lt;=NKC!$N$8,B663&gt;=NKC!$M$8),"x","")</f>
        <v>x</v>
      </c>
      <c r="Z663" s="587"/>
      <c r="AA663" s="195"/>
      <c r="AB663" s="195"/>
    </row>
    <row r="664" spans="1:28" s="767" customFormat="1" ht="15.75" customHeight="1">
      <c r="A664" s="201" t="str">
        <f>IF(B664&lt;&gt;"",IF(AND(B664&gt;=_TM1,B664&lt;=_TM2,OR(TH!L664="1111",TH!M664="1111")),TH!D664,""),"")</f>
        <v/>
      </c>
      <c r="B664" s="36">
        <f t="shared" si="29"/>
        <v>9</v>
      </c>
      <c r="C664" s="188">
        <f t="shared" si="30"/>
        <v>41528</v>
      </c>
      <c r="D664" s="181" t="s">
        <v>1058</v>
      </c>
      <c r="E664" s="188">
        <v>41528</v>
      </c>
      <c r="F664" s="189" t="s">
        <v>892</v>
      </c>
      <c r="G664" s="189" t="s">
        <v>893</v>
      </c>
      <c r="H664" s="7" t="s">
        <v>894</v>
      </c>
      <c r="I664" s="249">
        <v>100</v>
      </c>
      <c r="J664" s="249">
        <v>13000</v>
      </c>
      <c r="K664" s="38">
        <f>ROUND(I664*J664,0)</f>
        <v>1300000</v>
      </c>
      <c r="L664" s="191" t="s">
        <v>262</v>
      </c>
      <c r="M664" s="191" t="s">
        <v>172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IF(OR(TH!L664=TH!$U$7,M664=TH!$U$7),"x","")</f>
        <v/>
      </c>
      <c r="V664" s="52" t="str">
        <f>IF(AND(B664&gt;='IN-NX'!$P$3,B664&lt;='IN-NX'!$Q$3,'IN-NX'!$D$7=D664,OR(LEFT(L664,2)="15",AND(LEFT(M664,2)&lt;&gt;"15",LEFT(M664,2)&lt;&gt;"33"))),"x","")</f>
        <v/>
      </c>
      <c r="W664" s="52" t="str">
        <f>IF(AND(OR(LEFT(TH!L664,2)="15",LEFT(TH!M664,2)="15"),'152-CT'!$J$8=TH!F664),"x","")</f>
        <v/>
      </c>
      <c r="X664" s="52" t="str">
        <f>IF(AND(OR(LEFT(TH!L664,2)="15",LEFT(TH!M664,2)="15"),TK!$E$7=TH!F664),"x","")</f>
        <v/>
      </c>
      <c r="Y664" s="52" t="str">
        <f>IF(AND(B664&lt;=NKC!$N$8,B664&gt;=NKC!$M$8),"x","")</f>
        <v>x</v>
      </c>
      <c r="Z664" s="587"/>
      <c r="AA664" s="587"/>
      <c r="AB664" s="587"/>
    </row>
    <row r="665" spans="1:28" s="767" customFormat="1" ht="15.75" customHeight="1">
      <c r="A665" s="201" t="str">
        <f>IF(B665&lt;&gt;"",IF(AND(B665&gt;=_TM1,B665&lt;=_TM2,OR(TH!L665="1111",TH!M665="1111")),TH!D665,""),"")</f>
        <v/>
      </c>
      <c r="B665" s="36">
        <f t="shared" si="29"/>
        <v>9</v>
      </c>
      <c r="C665" s="188">
        <f t="shared" si="30"/>
        <v>41528</v>
      </c>
      <c r="D665" s="181" t="s">
        <v>1058</v>
      </c>
      <c r="E665" s="188">
        <v>41528</v>
      </c>
      <c r="F665" s="189" t="s">
        <v>895</v>
      </c>
      <c r="G665" s="189" t="s">
        <v>893</v>
      </c>
      <c r="H665" s="7" t="s">
        <v>894</v>
      </c>
      <c r="I665" s="249">
        <v>102</v>
      </c>
      <c r="J665" s="249">
        <v>14600</v>
      </c>
      <c r="K665" s="38">
        <f>ROUND(I665*J665,0)</f>
        <v>1489200</v>
      </c>
      <c r="L665" s="191" t="s">
        <v>262</v>
      </c>
      <c r="M665" s="191" t="s">
        <v>172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IF(OR(TH!L665=TH!$U$7,M665=TH!$U$7),"x","")</f>
        <v/>
      </c>
      <c r="V665" s="52" t="str">
        <f>IF(AND(B665&gt;='IN-NX'!$P$3,B665&lt;='IN-NX'!$Q$3,'IN-NX'!$D$7=D665,OR(LEFT(L665,2)="15",AND(LEFT(M665,2)&lt;&gt;"15",LEFT(M665,2)&lt;&gt;"33"))),"x","")</f>
        <v/>
      </c>
      <c r="W665" s="52" t="str">
        <f>IF(AND(OR(LEFT(TH!L665,2)="15",LEFT(TH!M665,2)="15"),'152-CT'!$J$8=TH!F665),"x","")</f>
        <v/>
      </c>
      <c r="X665" s="52" t="str">
        <f>IF(AND(OR(LEFT(TH!L665,2)="15",LEFT(TH!M665,2)="15"),TK!$E$7=TH!F665),"x","")</f>
        <v/>
      </c>
      <c r="Y665" s="52" t="str">
        <f>IF(AND(B665&lt;=NKC!$N$8,B665&gt;=NKC!$M$8),"x","")</f>
        <v>x</v>
      </c>
      <c r="Z665" s="208"/>
      <c r="AA665" s="587"/>
      <c r="AB665" s="208"/>
    </row>
    <row r="666" spans="1:28" s="767" customFormat="1" ht="15.75" customHeight="1">
      <c r="A666" s="201" t="str">
        <f>IF(B666&lt;&gt;"",IF(AND(B666&gt;=_TM1,B666&lt;=_TM2,OR(TH!L666="1111",TH!M666="1111")),TH!D666,""),"")</f>
        <v/>
      </c>
      <c r="B666" s="36">
        <f t="shared" si="29"/>
        <v>9</v>
      </c>
      <c r="C666" s="188">
        <f t="shared" si="30"/>
        <v>41528</v>
      </c>
      <c r="D666" s="181" t="s">
        <v>1058</v>
      </c>
      <c r="E666" s="188">
        <v>41528</v>
      </c>
      <c r="F666" s="189" t="s">
        <v>693</v>
      </c>
      <c r="G666" s="189" t="s">
        <v>893</v>
      </c>
      <c r="H666" s="190" t="s">
        <v>894</v>
      </c>
      <c r="I666" s="249"/>
      <c r="J666" s="249"/>
      <c r="K666" s="38">
        <v>278920</v>
      </c>
      <c r="L666" s="191" t="s">
        <v>262</v>
      </c>
      <c r="M666" s="191" t="s">
        <v>425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IF(OR(TH!L666=TH!$U$7,M666=TH!$U$7),"x","")</f>
        <v/>
      </c>
      <c r="V666" s="52" t="str">
        <f>IF(AND(B666&gt;='IN-NX'!$P$3,B666&lt;='IN-NX'!$Q$3,'IN-NX'!$D$7=D666,OR(LEFT(L666,2)="15",AND(LEFT(M666,2)&lt;&gt;"15",LEFT(M666,2)&lt;&gt;"33"))),"x","")</f>
        <v/>
      </c>
      <c r="W666" s="52" t="str">
        <f>IF(AND(OR(LEFT(TH!L666,2)="15",LEFT(TH!M666,2)="15"),'152-CT'!$J$8=TH!F666),"x","")</f>
        <v/>
      </c>
      <c r="X666" s="52" t="str">
        <f>IF(AND(OR(LEFT(TH!L666,2)="15",LEFT(TH!M666,2)="15"),TK!$E$7=TH!F666),"x","")</f>
        <v/>
      </c>
      <c r="Y666" s="52" t="str">
        <f>IF(AND(B666&lt;=NKC!$N$8,B666&gt;=NKC!$M$8),"x","")</f>
        <v>x</v>
      </c>
      <c r="Z666" s="587"/>
      <c r="AA666" s="587" t="str">
        <f>IF(VLOOKUP(H666,DS_131,1,0)&lt;&gt;"","","x")</f>
        <v/>
      </c>
      <c r="AB666" s="208"/>
    </row>
    <row r="667" spans="1:28" s="767" customFormat="1" ht="15.75" customHeight="1">
      <c r="A667" s="201" t="str">
        <f>IF(B667&lt;&gt;"",IF(AND(B667&gt;=_TM1,B667&lt;=_TM2,OR(TH!L667="1111",TH!M667="1111")),TH!D667,""),"")</f>
        <v/>
      </c>
      <c r="B667" s="36">
        <f t="shared" si="29"/>
        <v>9</v>
      </c>
      <c r="C667" s="181">
        <f t="shared" si="30"/>
        <v>41533</v>
      </c>
      <c r="D667" s="181" t="s">
        <v>335</v>
      </c>
      <c r="E667" s="181">
        <v>41533</v>
      </c>
      <c r="F667" s="186" t="s">
        <v>337</v>
      </c>
      <c r="G667" s="597" t="s">
        <v>332</v>
      </c>
      <c r="H667" s="7" t="s">
        <v>426</v>
      </c>
      <c r="I667" s="249"/>
      <c r="J667" s="249"/>
      <c r="K667" s="595">
        <v>3068120</v>
      </c>
      <c r="L667" s="596" t="s">
        <v>24</v>
      </c>
      <c r="M667" s="596" t="s">
        <v>262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52" t="str">
        <f>IF(OR(TH!L667=TH!$U$7,M667=TH!$U$7),"x","")</f>
        <v/>
      </c>
      <c r="V667" s="52" t="str">
        <f>IF(AND(B667&gt;='IN-NX'!$P$3,B667&lt;='IN-NX'!$Q$3,'IN-NX'!$D$7=D667,OR(LEFT(L667,2)="15",AND(LEFT(M667,2)&lt;&gt;"15",LEFT(M667,2)&lt;&gt;"33"))),"x","")</f>
        <v/>
      </c>
      <c r="W667" s="52" t="str">
        <f>IF(AND(OR(LEFT(TH!L667,2)="15",LEFT(TH!M667,2)="15"),'152-CT'!$J$8=TH!F667),"x","")</f>
        <v/>
      </c>
      <c r="X667" s="52" t="str">
        <f>IF(AND(OR(LEFT(TH!L667,2)="15",LEFT(TH!M667,2)="15"),TK!$E$7=TH!F667),"x","")</f>
        <v/>
      </c>
      <c r="Y667" s="52" t="str">
        <f>IF(AND(B667&lt;=NKC!$N$8,B667&gt;=NKC!$M$8),"x","")</f>
        <v>x</v>
      </c>
      <c r="Z667" s="587"/>
      <c r="AA667" s="195"/>
      <c r="AB667" s="195"/>
    </row>
    <row r="668" spans="1:28" s="767" customFormat="1" ht="15.75" customHeight="1">
      <c r="A668" s="201" t="str">
        <f>IF(B668&lt;&gt;"",IF(AND(B668&gt;=_TM1,B668&lt;=_TM2,OR(TH!L668="1111",TH!M668="1111")),TH!D668,""),"")</f>
        <v/>
      </c>
      <c r="B668" s="36">
        <f t="shared" si="29"/>
        <v>9</v>
      </c>
      <c r="C668" s="188">
        <f t="shared" si="30"/>
        <v>41533</v>
      </c>
      <c r="D668" s="181" t="s">
        <v>1059</v>
      </c>
      <c r="E668" s="188">
        <v>41533</v>
      </c>
      <c r="F668" s="189" t="s">
        <v>805</v>
      </c>
      <c r="G668" s="189" t="s">
        <v>896</v>
      </c>
      <c r="H668" s="190" t="s">
        <v>710</v>
      </c>
      <c r="I668" s="249">
        <v>992</v>
      </c>
      <c r="J668" s="249">
        <v>10500</v>
      </c>
      <c r="K668" s="38">
        <f>ROUND(I668*J668,0)</f>
        <v>10416000</v>
      </c>
      <c r="L668" s="191" t="s">
        <v>262</v>
      </c>
      <c r="M668" s="191" t="s">
        <v>172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IF(OR(TH!L668=TH!$U$7,M668=TH!$U$7),"x","")</f>
        <v/>
      </c>
      <c r="V668" s="52" t="str">
        <f>IF(AND(B668&gt;='IN-NX'!$P$3,B668&lt;='IN-NX'!$Q$3,'IN-NX'!$D$7=D668,OR(LEFT(L668,2)="15",AND(LEFT(M668,2)&lt;&gt;"15",LEFT(M668,2)&lt;&gt;"33"))),"x","")</f>
        <v/>
      </c>
      <c r="W668" s="52" t="str">
        <f>IF(AND(OR(LEFT(TH!L668,2)="15",LEFT(TH!M668,2)="15"),'152-CT'!$J$8=TH!F668),"x","")</f>
        <v/>
      </c>
      <c r="X668" s="52" t="str">
        <f>IF(AND(OR(LEFT(TH!L668,2)="15",LEFT(TH!M668,2)="15"),TK!$E$7=TH!F668),"x","")</f>
        <v/>
      </c>
      <c r="Y668" s="52" t="str">
        <f>IF(AND(B668&lt;=NKC!$N$8,B668&gt;=NKC!$M$8),"x","")</f>
        <v>x</v>
      </c>
      <c r="Z668" s="208"/>
      <c r="AA668" s="587"/>
      <c r="AB668" s="208"/>
    </row>
    <row r="669" spans="1:28" s="767" customFormat="1" ht="15.75" customHeight="1">
      <c r="A669" s="201" t="str">
        <f>IF(B669&lt;&gt;"",IF(AND(B669&gt;=_TM1,B669&lt;=_TM2,OR(TH!L669="1111",TH!M669="1111")),TH!D669,""),"")</f>
        <v/>
      </c>
      <c r="B669" s="36">
        <f t="shared" si="29"/>
        <v>9</v>
      </c>
      <c r="C669" s="188">
        <f t="shared" si="30"/>
        <v>41533</v>
      </c>
      <c r="D669" s="181" t="s">
        <v>1059</v>
      </c>
      <c r="E669" s="188">
        <v>41533</v>
      </c>
      <c r="F669" s="189" t="s">
        <v>693</v>
      </c>
      <c r="G669" s="480" t="s">
        <v>896</v>
      </c>
      <c r="H669" s="190" t="s">
        <v>710</v>
      </c>
      <c r="I669" s="249"/>
      <c r="J669" s="249"/>
      <c r="K669" s="38">
        <v>1041600</v>
      </c>
      <c r="L669" s="191" t="s">
        <v>262</v>
      </c>
      <c r="M669" s="191" t="s">
        <v>425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IF(OR(TH!L669=TH!$U$7,M669=TH!$U$7),"x","")</f>
        <v/>
      </c>
      <c r="V669" s="52" t="str">
        <f>IF(AND(B669&gt;='IN-NX'!$P$3,B669&lt;='IN-NX'!$Q$3,'IN-NX'!$D$7=D669,OR(LEFT(L669,2)="15",AND(LEFT(M669,2)&lt;&gt;"15",LEFT(M669,2)&lt;&gt;"33"))),"x","")</f>
        <v/>
      </c>
      <c r="W669" s="52" t="str">
        <f>IF(AND(OR(LEFT(TH!L669,2)="15",LEFT(TH!M669,2)="15"),'152-CT'!$J$8=TH!F669),"x","")</f>
        <v/>
      </c>
      <c r="X669" s="52" t="str">
        <f>IF(AND(OR(LEFT(TH!L669,2)="15",LEFT(TH!M669,2)="15"),TK!$E$7=TH!F669),"x","")</f>
        <v/>
      </c>
      <c r="Y669" s="52" t="str">
        <f>IF(AND(B669&lt;=NKC!$N$8,B669&gt;=NKC!$M$8),"x","")</f>
        <v>x</v>
      </c>
      <c r="Z669" s="587"/>
      <c r="AA669" s="587" t="str">
        <f>IF(VLOOKUP(H669,DS_131,1,0)&lt;&gt;"","","x")</f>
        <v/>
      </c>
      <c r="AB669" s="208"/>
    </row>
    <row r="670" spans="1:28" ht="15.75" customHeight="1">
      <c r="A670" s="201" t="str">
        <f>IF(B670&lt;&gt;"",IF(AND(B670&gt;=_TM1,B670&lt;=_TM2,OR(TH!L670="1111",TH!M670="1111")),TH!D670,""),"")</f>
        <v/>
      </c>
      <c r="B670" s="36">
        <f t="shared" si="29"/>
        <v>9</v>
      </c>
      <c r="C670" s="181">
        <f t="shared" si="30"/>
        <v>41534</v>
      </c>
      <c r="D670" s="181" t="s">
        <v>335</v>
      </c>
      <c r="E670" s="181">
        <v>41534</v>
      </c>
      <c r="F670" s="186" t="s">
        <v>337</v>
      </c>
      <c r="G670" s="597" t="s">
        <v>332</v>
      </c>
      <c r="H670" s="7" t="s">
        <v>510</v>
      </c>
      <c r="I670" s="249"/>
      <c r="J670" s="249"/>
      <c r="K670" s="595">
        <v>18409413</v>
      </c>
      <c r="L670" s="596" t="s">
        <v>24</v>
      </c>
      <c r="M670" s="596" t="s">
        <v>262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>x</v>
      </c>
      <c r="T670" s="52" t="str">
        <f>IF(ISERROR(FIND('112'!$M$9,G670,1)),"",IF((AND(RIGHT(G670,2)=RIGHT('112'!$M$9,2),B670&lt;'112'!$N$8,$M670='112'!$I$6)),"x",""))</f>
        <v/>
      </c>
      <c r="U670" s="52" t="str">
        <f>IF(OR(TH!L670=TH!$U$7,M670=TH!$U$7),"x","")</f>
        <v/>
      </c>
      <c r="V670" s="52" t="str">
        <f>IF(AND(B670&gt;='IN-NX'!$P$3,B670&lt;='IN-NX'!$Q$3,'IN-NX'!$D$7=D670,OR(LEFT(L670,2)="15",AND(LEFT(M670,2)&lt;&gt;"15",LEFT(M670,2)&lt;&gt;"33"))),"x","")</f>
        <v/>
      </c>
      <c r="W670" s="52" t="str">
        <f>IF(AND(OR(LEFT(TH!L670,2)="15",LEFT(TH!M670,2)="15"),'152-CT'!$J$8=TH!F670),"x","")</f>
        <v/>
      </c>
      <c r="X670" s="52" t="str">
        <f>IF(AND(OR(LEFT(TH!L670,2)="15",LEFT(TH!M670,2)="15"),TK!$E$7=TH!F670),"x","")</f>
        <v/>
      </c>
      <c r="Y670" s="52" t="str">
        <f>IF(AND(B670&lt;=NKC!$N$8,B670&gt;=NKC!$M$8),"x","")</f>
        <v>x</v>
      </c>
      <c r="Z670" s="587"/>
    </row>
    <row r="671" spans="1:28" ht="15.75" customHeight="1">
      <c r="A671" s="201" t="str">
        <f>IF(B671&lt;&gt;"",IF(AND(B671&gt;=_TM1,B671&lt;=_TM2,OR(TH!L671="1111",TH!M671="1111")),TH!D671,""),"")</f>
        <v/>
      </c>
      <c r="B671" s="36">
        <f t="shared" si="29"/>
        <v>9</v>
      </c>
      <c r="C671" s="181">
        <f t="shared" si="30"/>
        <v>41535</v>
      </c>
      <c r="D671" s="181" t="s">
        <v>335</v>
      </c>
      <c r="E671" s="181">
        <v>41535</v>
      </c>
      <c r="F671" s="186" t="s">
        <v>337</v>
      </c>
      <c r="G671" s="597" t="s">
        <v>332</v>
      </c>
      <c r="H671" s="7" t="s">
        <v>427</v>
      </c>
      <c r="I671" s="249"/>
      <c r="J671" s="249"/>
      <c r="K671" s="595">
        <v>13681250</v>
      </c>
      <c r="L671" s="596" t="s">
        <v>24</v>
      </c>
      <c r="M671" s="596" t="s">
        <v>262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52" t="str">
        <f>IF(OR(TH!L671=TH!$U$7,M671=TH!$U$7),"x","")</f>
        <v/>
      </c>
      <c r="V671" s="52" t="str">
        <f>IF(AND(B671&gt;='IN-NX'!$P$3,B671&lt;='IN-NX'!$Q$3,'IN-NX'!$D$7=D671,OR(LEFT(L671,2)="15",AND(LEFT(M671,2)&lt;&gt;"15",LEFT(M671,2)&lt;&gt;"33"))),"x","")</f>
        <v/>
      </c>
      <c r="W671" s="52" t="str">
        <f>IF(AND(OR(LEFT(TH!L671,2)="15",LEFT(TH!M671,2)="15"),'152-CT'!$J$8=TH!F671),"x","")</f>
        <v/>
      </c>
      <c r="X671" s="52" t="str">
        <f>IF(AND(OR(LEFT(TH!L671,2)="15",LEFT(TH!M671,2)="15"),TK!$E$7=TH!F671),"x","")</f>
        <v/>
      </c>
      <c r="Y671" s="52" t="str">
        <f>IF(AND(B671&lt;=NKC!$N$8,B671&gt;=NKC!$M$8),"x","")</f>
        <v>x</v>
      </c>
      <c r="Z671" s="587"/>
    </row>
    <row r="672" spans="1:28" ht="15.75" customHeight="1">
      <c r="A672" s="201" t="str">
        <f>IF(B672&lt;&gt;"",IF(AND(B672&gt;=_TM1,B672&lt;=_TM2,OR(TH!L672="1111",TH!M672="1111")),TH!D672,""),"")</f>
        <v/>
      </c>
      <c r="B672" s="36">
        <f t="shared" si="29"/>
        <v>9</v>
      </c>
      <c r="C672" s="181">
        <f t="shared" si="30"/>
        <v>41535</v>
      </c>
      <c r="D672" s="181" t="s">
        <v>1269</v>
      </c>
      <c r="E672" s="188">
        <v>41535</v>
      </c>
      <c r="F672" s="186" t="s">
        <v>469</v>
      </c>
      <c r="G672" s="597" t="s">
        <v>332</v>
      </c>
      <c r="H672" s="7" t="s">
        <v>364</v>
      </c>
      <c r="I672" s="249"/>
      <c r="J672" s="251"/>
      <c r="K672" s="595">
        <v>21500000</v>
      </c>
      <c r="L672" s="596" t="s">
        <v>47</v>
      </c>
      <c r="M672" s="5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52" t="str">
        <f>IF(OR(TH!L672=TH!$U$7,M672=TH!$U$7),"x","")</f>
        <v/>
      </c>
      <c r="V672" s="52" t="str">
        <f>IF(AND(B672&gt;='IN-NX'!$P$3,B672&lt;='IN-NX'!$Q$3,'IN-NX'!$D$7=D672,OR(LEFT(L672,2)="15",AND(LEFT(M672,2)&lt;&gt;"15",LEFT(M672,2)&lt;&gt;"33"))),"x","")</f>
        <v/>
      </c>
      <c r="W672" s="52" t="str">
        <f>IF(AND(OR(LEFT(TH!L672,2)="15",LEFT(TH!M672,2)="15"),'152-CT'!$J$8=TH!F672),"x","")</f>
        <v/>
      </c>
      <c r="X672" s="52" t="str">
        <f>IF(AND(OR(LEFT(TH!L672,2)="15",LEFT(TH!M672,2)="15"),TK!$E$7=TH!F672),"x","")</f>
        <v/>
      </c>
      <c r="Y672" s="52" t="str">
        <f>IF(AND(B672&lt;=NKC!$N$8,B672&gt;=NKC!$M$8),"x","")</f>
        <v>x</v>
      </c>
      <c r="Z672" s="587"/>
    </row>
    <row r="673" spans="1:28" ht="15.75" customHeight="1">
      <c r="A673" s="201" t="str">
        <f>IF(B673&lt;&gt;"",IF(AND(B673&gt;=_TM1,B673&lt;=_TM2,OR(TH!L673="1111",TH!M673="1111")),TH!D673,""),"")</f>
        <v/>
      </c>
      <c r="B673" s="36">
        <f t="shared" si="29"/>
        <v>9</v>
      </c>
      <c r="C673" s="188">
        <f t="shared" si="30"/>
        <v>41535</v>
      </c>
      <c r="D673" s="181" t="s">
        <v>1060</v>
      </c>
      <c r="E673" s="188">
        <v>41535</v>
      </c>
      <c r="F673" s="189" t="s">
        <v>834</v>
      </c>
      <c r="G673" s="480" t="s">
        <v>897</v>
      </c>
      <c r="H673" s="7" t="s">
        <v>549</v>
      </c>
      <c r="I673" s="249">
        <v>496</v>
      </c>
      <c r="J673" s="249">
        <v>20300</v>
      </c>
      <c r="K673" s="38">
        <f>ROUND(I673*J673,0)</f>
        <v>10068800</v>
      </c>
      <c r="L673" s="191" t="s">
        <v>262</v>
      </c>
      <c r="M673" s="191" t="s">
        <v>172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IF(OR(TH!L673=TH!$U$7,M673=TH!$U$7),"x","")</f>
        <v/>
      </c>
      <c r="V673" s="52" t="str">
        <f>IF(AND(B673&gt;='IN-NX'!$P$3,B673&lt;='IN-NX'!$Q$3,'IN-NX'!$D$7=D673,OR(LEFT(L673,2)="15",AND(LEFT(M673,2)&lt;&gt;"15",LEFT(M673,2)&lt;&gt;"33"))),"x","")</f>
        <v/>
      </c>
      <c r="W673" s="52" t="str">
        <f>IF(AND(OR(LEFT(TH!L673,2)="15",LEFT(TH!M673,2)="15"),'152-CT'!$J$8=TH!F673),"x","")</f>
        <v/>
      </c>
      <c r="X673" s="52" t="str">
        <f>IF(AND(OR(LEFT(TH!L673,2)="15",LEFT(TH!M673,2)="15"),TK!$E$7=TH!F673),"x","")</f>
        <v/>
      </c>
      <c r="Y673" s="52" t="str">
        <f>IF(AND(B673&lt;=NKC!$N$8,B673&gt;=NKC!$M$8),"x","")</f>
        <v>x</v>
      </c>
      <c r="Z673" s="208"/>
      <c r="AA673" s="587"/>
      <c r="AB673" s="208"/>
    </row>
    <row r="674" spans="1:28" ht="15.75" customHeight="1">
      <c r="A674" s="201" t="str">
        <f>IF(B674&lt;&gt;"",IF(AND(B674&gt;=_TM1,B674&lt;=_TM2,OR(TH!L674="1111",TH!M674="1111")),TH!D674,""),"")</f>
        <v/>
      </c>
      <c r="B674" s="36">
        <f t="shared" si="29"/>
        <v>9</v>
      </c>
      <c r="C674" s="188">
        <f t="shared" si="30"/>
        <v>41535</v>
      </c>
      <c r="D674" s="181" t="s">
        <v>1060</v>
      </c>
      <c r="E674" s="188">
        <v>41535</v>
      </c>
      <c r="F674" s="189" t="s">
        <v>693</v>
      </c>
      <c r="G674" s="189" t="s">
        <v>897</v>
      </c>
      <c r="H674" s="7" t="s">
        <v>549</v>
      </c>
      <c r="I674" s="249"/>
      <c r="J674" s="249"/>
      <c r="K674" s="38">
        <v>1006880</v>
      </c>
      <c r="L674" s="191" t="s">
        <v>262</v>
      </c>
      <c r="M674" s="191" t="s">
        <v>425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IF(OR(TH!L674=TH!$U$7,M674=TH!$U$7),"x","")</f>
        <v/>
      </c>
      <c r="V674" s="52" t="str">
        <f>IF(AND(B674&gt;='IN-NX'!$P$3,B674&lt;='IN-NX'!$Q$3,'IN-NX'!$D$7=D674,OR(LEFT(L674,2)="15",AND(LEFT(M674,2)&lt;&gt;"15",LEFT(M674,2)&lt;&gt;"33"))),"x","")</f>
        <v/>
      </c>
      <c r="W674" s="52" t="str">
        <f>IF(AND(OR(LEFT(TH!L674,2)="15",LEFT(TH!M674,2)="15"),'152-CT'!$J$8=TH!F674),"x","")</f>
        <v/>
      </c>
      <c r="X674" s="52" t="str">
        <f>IF(AND(OR(LEFT(TH!L674,2)="15",LEFT(TH!M674,2)="15"),TK!$E$7=TH!F674),"x","")</f>
        <v/>
      </c>
      <c r="Y674" s="52" t="str">
        <f>IF(AND(B674&lt;=NKC!$N$8,B674&gt;=NKC!$M$8),"x","")</f>
        <v>x</v>
      </c>
      <c r="Z674" s="587"/>
      <c r="AA674" s="587" t="str">
        <f>IF(VLOOKUP(H674,DS_131,1,0)&lt;&gt;"","","x")</f>
        <v/>
      </c>
      <c r="AB674" s="208"/>
    </row>
    <row r="675" spans="1:28" ht="15.75" customHeight="1">
      <c r="A675" s="201" t="str">
        <f>IF(B675&lt;&gt;"",IF(AND(B675&gt;=_TM1,B675&lt;=_TM2,OR(TH!L675="1111",TH!M675="1111")),TH!D675,""),"")</f>
        <v/>
      </c>
      <c r="B675" s="36">
        <f t="shared" si="29"/>
        <v>9</v>
      </c>
      <c r="C675" s="188">
        <f t="shared" si="30"/>
        <v>41535</v>
      </c>
      <c r="D675" s="181" t="s">
        <v>1270</v>
      </c>
      <c r="E675" s="188">
        <v>41535</v>
      </c>
      <c r="F675" s="186" t="s">
        <v>337</v>
      </c>
      <c r="G675" s="189" t="s">
        <v>1335</v>
      </c>
      <c r="H675" s="7" t="s">
        <v>549</v>
      </c>
      <c r="I675" s="249"/>
      <c r="J675" s="249"/>
      <c r="K675" s="38">
        <v>22352330</v>
      </c>
      <c r="L675" s="191" t="s">
        <v>47</v>
      </c>
      <c r="M675" s="191" t="s">
        <v>262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>x</v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IF(OR(TH!L675=TH!$U$7,M675=TH!$U$7),"x","")</f>
        <v/>
      </c>
      <c r="V675" s="52" t="str">
        <f>IF(AND(B675&gt;='IN-NX'!$P$3,B675&lt;='IN-NX'!$Q$3,'IN-NX'!$D$7=D675,OR(LEFT(L675,2)="15",AND(LEFT(M675,2)&lt;&gt;"15",LEFT(M675,2)&lt;&gt;"33"))),"x","")</f>
        <v/>
      </c>
      <c r="W675" s="52" t="str">
        <f>IF(AND(OR(LEFT(TH!L675,2)="15",LEFT(TH!M675,2)="15"),'152-CT'!$J$8=TH!F675),"x","")</f>
        <v/>
      </c>
      <c r="X675" s="52" t="str">
        <f>IF(AND(OR(LEFT(TH!L675,2)="15",LEFT(TH!M675,2)="15"),TK!$E$7=TH!F675),"x","")</f>
        <v/>
      </c>
      <c r="Y675" s="52" t="str">
        <f>IF(AND(B675&lt;=NKC!$N$8,B675&gt;=NKC!$M$8),"x","")</f>
        <v>x</v>
      </c>
      <c r="Z675" s="587"/>
      <c r="AA675" s="587" t="str">
        <f>IF(VLOOKUP(H675,DS_131,1,0)&lt;&gt;"","","x")</f>
        <v/>
      </c>
      <c r="AB675" s="208"/>
    </row>
    <row r="676" spans="1:28" ht="15.75" customHeight="1">
      <c r="A676" s="201" t="str">
        <f>IF(B676&lt;&gt;"",IF(AND(B676&gt;=_TM1,B676&lt;=_TM2,OR(TH!L676="1111",TH!M676="1111")),TH!D676,""),"")</f>
        <v/>
      </c>
      <c r="B676" s="36">
        <f t="shared" si="29"/>
        <v>9</v>
      </c>
      <c r="C676" s="181">
        <f t="shared" si="30"/>
        <v>41536</v>
      </c>
      <c r="D676" s="181" t="s">
        <v>335</v>
      </c>
      <c r="E676" s="188">
        <v>41536</v>
      </c>
      <c r="F676" s="186" t="s">
        <v>337</v>
      </c>
      <c r="G676" s="597" t="s">
        <v>332</v>
      </c>
      <c r="H676" s="7" t="s">
        <v>511</v>
      </c>
      <c r="I676" s="250"/>
      <c r="J676" s="251"/>
      <c r="K676" s="38">
        <v>12547810</v>
      </c>
      <c r="L676" s="596" t="s">
        <v>24</v>
      </c>
      <c r="M676" s="596" t="s">
        <v>262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>x</v>
      </c>
      <c r="T676" s="52" t="str">
        <f>IF(ISERROR(FIND('112'!$M$9,G676,1)),"",IF((AND(RIGHT(G676,2)=RIGHT('112'!$M$9,2),B676&lt;'112'!$N$8,$M676='112'!$I$6)),"x",""))</f>
        <v/>
      </c>
      <c r="U676" s="52" t="str">
        <f>IF(OR(TH!L676=TH!$U$7,M676=TH!$U$7),"x","")</f>
        <v/>
      </c>
      <c r="V676" s="52" t="str">
        <f>IF(AND(B676&gt;='IN-NX'!$P$3,B676&lt;='IN-NX'!$Q$3,'IN-NX'!$D$7=D676,OR(LEFT(L676,2)="15",AND(LEFT(M676,2)&lt;&gt;"15",LEFT(M676,2)&lt;&gt;"33"))),"x","")</f>
        <v/>
      </c>
      <c r="W676" s="52" t="str">
        <f>IF(AND(OR(LEFT(TH!L676,2)="15",LEFT(TH!M676,2)="15"),'152-CT'!$J$8=TH!F676),"x","")</f>
        <v/>
      </c>
      <c r="X676" s="52" t="str">
        <f>IF(AND(OR(LEFT(TH!L676,2)="15",LEFT(TH!M676,2)="15"),TK!$E$7=TH!F676),"x","")</f>
        <v/>
      </c>
      <c r="Y676" s="52" t="str">
        <f>IF(AND(B676&lt;=NKC!$N$8,B676&gt;=NKC!$M$8),"x","")</f>
        <v>x</v>
      </c>
      <c r="Z676" s="208"/>
    </row>
    <row r="677" spans="1:28" ht="15.75" customHeight="1">
      <c r="A677" s="201" t="str">
        <f>IF(B677&lt;&gt;"",IF(AND(B677&gt;=_TM1,B677&lt;=_TM2,OR(TH!L677="1111",TH!M677="1111")),TH!D677,""),"")</f>
        <v/>
      </c>
      <c r="B677" s="36">
        <f t="shared" si="29"/>
        <v>9</v>
      </c>
      <c r="C677" s="188">
        <f t="shared" si="30"/>
        <v>41536</v>
      </c>
      <c r="D677" s="181" t="s">
        <v>1061</v>
      </c>
      <c r="E677" s="188">
        <v>41536</v>
      </c>
      <c r="F677" s="189" t="s">
        <v>898</v>
      </c>
      <c r="G677" s="189" t="s">
        <v>899</v>
      </c>
      <c r="H677" s="7" t="s">
        <v>511</v>
      </c>
      <c r="I677" s="249">
        <v>294</v>
      </c>
      <c r="J677" s="249">
        <v>4870</v>
      </c>
      <c r="K677" s="38">
        <f>ROUND(I677*J677,0)</f>
        <v>1431780</v>
      </c>
      <c r="L677" s="191" t="s">
        <v>262</v>
      </c>
      <c r="M677" s="191" t="s">
        <v>172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IF(OR(TH!L677=TH!$U$7,M677=TH!$U$7),"x","")</f>
        <v/>
      </c>
      <c r="V677" s="52" t="str">
        <f>IF(AND(B677&gt;='IN-NX'!$P$3,B677&lt;='IN-NX'!$Q$3,'IN-NX'!$D$7=D677,OR(LEFT(L677,2)="15",AND(LEFT(M677,2)&lt;&gt;"15",LEFT(M677,2)&lt;&gt;"33"))),"x","")</f>
        <v/>
      </c>
      <c r="W677" s="52" t="str">
        <f>IF(AND(OR(LEFT(TH!L677,2)="15",LEFT(TH!M677,2)="15"),'152-CT'!$J$8=TH!F677),"x","")</f>
        <v/>
      </c>
      <c r="X677" s="52" t="str">
        <f>IF(AND(OR(LEFT(TH!L677,2)="15",LEFT(TH!M677,2)="15"),TK!$E$7=TH!F677),"x","")</f>
        <v/>
      </c>
      <c r="Y677" s="52" t="str">
        <f>IF(AND(B677&lt;=NKC!$N$8,B677&gt;=NKC!$M$8),"x","")</f>
        <v>x</v>
      </c>
      <c r="Z677" s="208"/>
      <c r="AA677" s="587"/>
      <c r="AB677" s="208"/>
    </row>
    <row r="678" spans="1:28" ht="15.75" customHeight="1">
      <c r="A678" s="201" t="str">
        <f>IF(B678&lt;&gt;"",IF(AND(B678&gt;=_TM1,B678&lt;=_TM2,OR(TH!L678="1111",TH!M678="1111")),TH!D678,""),"")</f>
        <v/>
      </c>
      <c r="B678" s="36">
        <f t="shared" si="29"/>
        <v>9</v>
      </c>
      <c r="C678" s="188">
        <f t="shared" si="30"/>
        <v>41536</v>
      </c>
      <c r="D678" s="181" t="s">
        <v>1061</v>
      </c>
      <c r="E678" s="188">
        <v>41536</v>
      </c>
      <c r="F678" s="189" t="s">
        <v>693</v>
      </c>
      <c r="G678" s="189" t="s">
        <v>899</v>
      </c>
      <c r="H678" s="190" t="s">
        <v>511</v>
      </c>
      <c r="I678" s="249"/>
      <c r="J678" s="249"/>
      <c r="K678" s="38">
        <v>143178</v>
      </c>
      <c r="L678" s="191" t="s">
        <v>262</v>
      </c>
      <c r="M678" s="191" t="s">
        <v>425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IF(OR(TH!L678=TH!$U$7,M678=TH!$U$7),"x","")</f>
        <v/>
      </c>
      <c r="V678" s="52" t="str">
        <f>IF(AND(B678&gt;='IN-NX'!$P$3,B678&lt;='IN-NX'!$Q$3,'IN-NX'!$D$7=D678,OR(LEFT(L678,2)="15",AND(LEFT(M678,2)&lt;&gt;"15",LEFT(M678,2)&lt;&gt;"33"))),"x","")</f>
        <v/>
      </c>
      <c r="W678" s="52" t="str">
        <f>IF(AND(OR(LEFT(TH!L678,2)="15",LEFT(TH!M678,2)="15"),'152-CT'!$J$8=TH!F678),"x","")</f>
        <v/>
      </c>
      <c r="X678" s="52" t="str">
        <f>IF(AND(OR(LEFT(TH!L678,2)="15",LEFT(TH!M678,2)="15"),TK!$E$7=TH!F678),"x","")</f>
        <v/>
      </c>
      <c r="Y678" s="52" t="str">
        <f>IF(AND(B678&lt;=NKC!$N$8,B678&gt;=NKC!$M$8),"x","")</f>
        <v>x</v>
      </c>
      <c r="Z678" s="587"/>
      <c r="AA678" s="587" t="str">
        <f>IF(VLOOKUP(H678,DS_131,1,0)&lt;&gt;"","","x")</f>
        <v/>
      </c>
      <c r="AB678" s="208"/>
    </row>
    <row r="679" spans="1:28" ht="15.75" customHeight="1">
      <c r="A679" s="201" t="str">
        <f>IF(B679&lt;&gt;"",IF(AND(B679&gt;=_TM1,B679&lt;=_TM2,OR(TH!L679="1111",TH!M679="1111")),TH!D679,""),"")</f>
        <v/>
      </c>
      <c r="B679" s="36">
        <f t="shared" si="29"/>
        <v>9</v>
      </c>
      <c r="C679" s="181">
        <f t="shared" si="30"/>
        <v>41537</v>
      </c>
      <c r="D679" s="181" t="s">
        <v>1271</v>
      </c>
      <c r="E679" s="188">
        <v>41537</v>
      </c>
      <c r="F679" s="186" t="s">
        <v>469</v>
      </c>
      <c r="G679" s="597" t="s">
        <v>332</v>
      </c>
      <c r="H679" s="7" t="s">
        <v>364</v>
      </c>
      <c r="I679" s="249"/>
      <c r="J679" s="251"/>
      <c r="K679" s="595">
        <v>26000000</v>
      </c>
      <c r="L679" s="596" t="s">
        <v>47</v>
      </c>
      <c r="M679" s="596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>x</v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52" t="str">
        <f>IF(OR(TH!L679=TH!$U$7,M679=TH!$U$7),"x","")</f>
        <v/>
      </c>
      <c r="V679" s="52" t="str">
        <f>IF(AND(B679&gt;='IN-NX'!$P$3,B679&lt;='IN-NX'!$Q$3,'IN-NX'!$D$7=D679,OR(LEFT(L679,2)="15",AND(LEFT(M679,2)&lt;&gt;"15",LEFT(M679,2)&lt;&gt;"33"))),"x","")</f>
        <v/>
      </c>
      <c r="W679" s="52" t="str">
        <f>IF(AND(OR(LEFT(TH!L679,2)="15",LEFT(TH!M679,2)="15"),'152-CT'!$J$8=TH!F679),"x","")</f>
        <v/>
      </c>
      <c r="X679" s="52" t="str">
        <f>IF(AND(OR(LEFT(TH!L679,2)="15",LEFT(TH!M679,2)="15"),TK!$E$7=TH!F679),"x","")</f>
        <v/>
      </c>
      <c r="Y679" s="52" t="str">
        <f>IF(AND(B679&lt;=NKC!$N$8,B679&gt;=NKC!$M$8),"x","")</f>
        <v>x</v>
      </c>
      <c r="Z679" s="587"/>
    </row>
    <row r="680" spans="1:28" ht="15.75" customHeight="1">
      <c r="A680" s="201" t="str">
        <f>IF(B680&lt;&gt;"",IF(AND(B680&gt;=_TM1,B680&lt;=_TM2,OR(TH!L680="1111",TH!M680="1111")),TH!D680,""),"")</f>
        <v/>
      </c>
      <c r="B680" s="36">
        <f t="shared" si="29"/>
        <v>9</v>
      </c>
      <c r="C680" s="188">
        <f t="shared" si="30"/>
        <v>41537</v>
      </c>
      <c r="D680" s="181" t="s">
        <v>1062</v>
      </c>
      <c r="E680" s="188">
        <v>41537</v>
      </c>
      <c r="F680" s="189" t="s">
        <v>854</v>
      </c>
      <c r="G680" s="480" t="s">
        <v>900</v>
      </c>
      <c r="H680" s="190" t="s">
        <v>832</v>
      </c>
      <c r="I680" s="249">
        <v>510</v>
      </c>
      <c r="J680" s="249">
        <v>8200</v>
      </c>
      <c r="K680" s="38">
        <f>ROUND(I680*J680,0)</f>
        <v>4182000</v>
      </c>
      <c r="L680" s="191" t="s">
        <v>262</v>
      </c>
      <c r="M680" s="191" t="s">
        <v>172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IF(OR(TH!L680=TH!$U$7,M680=TH!$U$7),"x","")</f>
        <v/>
      </c>
      <c r="V680" s="52" t="str">
        <f>IF(AND(B680&gt;='IN-NX'!$P$3,B680&lt;='IN-NX'!$Q$3,'IN-NX'!$D$7=D680,OR(LEFT(L680,2)="15",AND(LEFT(M680,2)&lt;&gt;"15",LEFT(M680,2)&lt;&gt;"33"))),"x","")</f>
        <v/>
      </c>
      <c r="W680" s="52" t="str">
        <f>IF(AND(OR(LEFT(TH!L680,2)="15",LEFT(TH!M680,2)="15"),'152-CT'!$J$8=TH!F680),"x","")</f>
        <v/>
      </c>
      <c r="X680" s="52" t="str">
        <f>IF(AND(OR(LEFT(TH!L680,2)="15",LEFT(TH!M680,2)="15"),TK!$E$7=TH!F680),"x","")</f>
        <v/>
      </c>
      <c r="Y680" s="52" t="str">
        <f>IF(AND(B680&lt;=NKC!$N$8,B680&gt;=NKC!$M$8),"x","")</f>
        <v>x</v>
      </c>
      <c r="Z680" s="208"/>
      <c r="AA680" s="587"/>
      <c r="AB680" s="208"/>
    </row>
    <row r="681" spans="1:28" ht="15.75" customHeight="1">
      <c r="A681" s="201" t="str">
        <f>IF(B681&lt;&gt;"",IF(AND(B681&gt;=_TM1,B681&lt;=_TM2,OR(TH!L681="1111",TH!M681="1111")),TH!D681,""),"")</f>
        <v/>
      </c>
      <c r="B681" s="36">
        <f t="shared" si="29"/>
        <v>9</v>
      </c>
      <c r="C681" s="188">
        <f t="shared" si="30"/>
        <v>41537</v>
      </c>
      <c r="D681" s="181" t="s">
        <v>1062</v>
      </c>
      <c r="E681" s="188">
        <v>41537</v>
      </c>
      <c r="F681" s="189" t="s">
        <v>693</v>
      </c>
      <c r="G681" s="480" t="s">
        <v>900</v>
      </c>
      <c r="H681" s="190" t="s">
        <v>832</v>
      </c>
      <c r="I681" s="249"/>
      <c r="J681" s="249"/>
      <c r="K681" s="38">
        <v>418200</v>
      </c>
      <c r="L681" s="191" t="s">
        <v>262</v>
      </c>
      <c r="M681" s="191" t="s">
        <v>425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IF(OR(TH!L681=TH!$U$7,M681=TH!$U$7),"x","")</f>
        <v/>
      </c>
      <c r="V681" s="52" t="str">
        <f>IF(AND(B681&gt;='IN-NX'!$P$3,B681&lt;='IN-NX'!$Q$3,'IN-NX'!$D$7=D681,OR(LEFT(L681,2)="15",AND(LEFT(M681,2)&lt;&gt;"15",LEFT(M681,2)&lt;&gt;"33"))),"x","")</f>
        <v/>
      </c>
      <c r="W681" s="52" t="str">
        <f>IF(AND(OR(LEFT(TH!L681,2)="15",LEFT(TH!M681,2)="15"),'152-CT'!$J$8=TH!F681),"x","")</f>
        <v/>
      </c>
      <c r="X681" s="52" t="str">
        <f>IF(AND(OR(LEFT(TH!L681,2)="15",LEFT(TH!M681,2)="15"),TK!$E$7=TH!F681),"x","")</f>
        <v/>
      </c>
      <c r="Y681" s="52" t="str">
        <f>IF(AND(B681&lt;=NKC!$N$8,B681&gt;=NKC!$M$8),"x","")</f>
        <v>x</v>
      </c>
      <c r="Z681" s="208"/>
      <c r="AA681" s="587" t="str">
        <f>IF(VLOOKUP(H681,DS_131,1,0)&lt;&gt;"","","x")</f>
        <v/>
      </c>
      <c r="AB681" s="208"/>
    </row>
    <row r="682" spans="1:28" ht="15.75" customHeight="1">
      <c r="A682" s="201" t="str">
        <f>IF(B682&lt;&gt;"",IF(AND(B682&gt;=_TM1,B682&lt;=_TM2,OR(TH!L682="1111",TH!M682="1111")),TH!D682,""),"")</f>
        <v/>
      </c>
      <c r="B682" s="36">
        <f t="shared" si="29"/>
        <v>9</v>
      </c>
      <c r="C682" s="188">
        <f t="shared" si="30"/>
        <v>41538</v>
      </c>
      <c r="D682" s="181" t="s">
        <v>1063</v>
      </c>
      <c r="E682" s="188">
        <v>41538</v>
      </c>
      <c r="F682" s="189" t="s">
        <v>711</v>
      </c>
      <c r="G682" s="480" t="s">
        <v>901</v>
      </c>
      <c r="H682" s="190" t="s">
        <v>713</v>
      </c>
      <c r="I682" s="249">
        <v>331</v>
      </c>
      <c r="J682" s="249">
        <v>25000</v>
      </c>
      <c r="K682" s="38">
        <f>ROUND(I682*J682,0)</f>
        <v>8275000</v>
      </c>
      <c r="L682" s="191" t="s">
        <v>262</v>
      </c>
      <c r="M682" s="191" t="s">
        <v>172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IF(OR(TH!L682=TH!$U$7,M682=TH!$U$7),"x","")</f>
        <v/>
      </c>
      <c r="V682" s="52" t="str">
        <f>IF(AND(B682&gt;='IN-NX'!$P$3,B682&lt;='IN-NX'!$Q$3,'IN-NX'!$D$7=D682,OR(LEFT(L682,2)="15",AND(LEFT(M682,2)&lt;&gt;"15",LEFT(M682,2)&lt;&gt;"33"))),"x","")</f>
        <v/>
      </c>
      <c r="W682" s="52" t="str">
        <f>IF(AND(OR(LEFT(TH!L682,2)="15",LEFT(TH!M682,2)="15"),'152-CT'!$J$8=TH!F682),"x","")</f>
        <v/>
      </c>
      <c r="X682" s="52" t="str">
        <f>IF(AND(OR(LEFT(TH!L682,2)="15",LEFT(TH!M682,2)="15"),TK!$E$7=TH!F682),"x","")</f>
        <v/>
      </c>
      <c r="Y682" s="52" t="str">
        <f>IF(AND(B682&lt;=NKC!$N$8,B682&gt;=NKC!$M$8),"x","")</f>
        <v>x</v>
      </c>
      <c r="AA682" s="587"/>
    </row>
    <row r="683" spans="1:28" ht="15.75" customHeight="1">
      <c r="A683" s="201" t="str">
        <f>IF(B683&lt;&gt;"",IF(AND(B683&gt;=_TM1,B683&lt;=_TM2,OR(TH!L683="1111",TH!M683="1111")),TH!D683,""),"")</f>
        <v/>
      </c>
      <c r="B683" s="36">
        <f t="shared" si="29"/>
        <v>9</v>
      </c>
      <c r="C683" s="188">
        <f t="shared" si="30"/>
        <v>41538</v>
      </c>
      <c r="D683" s="181" t="s">
        <v>1063</v>
      </c>
      <c r="E683" s="188">
        <v>41538</v>
      </c>
      <c r="F683" s="189" t="s">
        <v>693</v>
      </c>
      <c r="G683" s="480" t="s">
        <v>901</v>
      </c>
      <c r="H683" s="190" t="s">
        <v>713</v>
      </c>
      <c r="I683" s="249"/>
      <c r="J683" s="249"/>
      <c r="K683" s="38">
        <v>827500</v>
      </c>
      <c r="L683" s="191" t="s">
        <v>262</v>
      </c>
      <c r="M683" s="191" t="s">
        <v>425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IF(OR(TH!L683=TH!$U$7,M683=TH!$U$7),"x","")</f>
        <v/>
      </c>
      <c r="V683" s="52" t="str">
        <f>IF(AND(B683&gt;='IN-NX'!$P$3,B683&lt;='IN-NX'!$Q$3,'IN-NX'!$D$7=D683,OR(LEFT(L683,2)="15",AND(LEFT(M683,2)&lt;&gt;"15",LEFT(M683,2)&lt;&gt;"33"))),"x","")</f>
        <v/>
      </c>
      <c r="W683" s="52" t="str">
        <f>IF(AND(OR(LEFT(TH!L683,2)="15",LEFT(TH!M683,2)="15"),'152-CT'!$J$8=TH!F683),"x","")</f>
        <v/>
      </c>
      <c r="X683" s="52" t="str">
        <f>IF(AND(OR(LEFT(TH!L683,2)="15",LEFT(TH!M683,2)="15"),TK!$E$7=TH!F683),"x","")</f>
        <v/>
      </c>
      <c r="Y683" s="52" t="str">
        <f>IF(AND(B683&lt;=NKC!$N$8,B683&gt;=NKC!$M$8),"x","")</f>
        <v>x</v>
      </c>
      <c r="AA683" s="587" t="str">
        <f>IF(VLOOKUP(H683,DS_131,1,0)&lt;&gt;"","","x")</f>
        <v/>
      </c>
    </row>
    <row r="684" spans="1:28" ht="15.75" customHeight="1">
      <c r="A684" s="201" t="str">
        <f>IF(B684&lt;&gt;"",IF(AND(B684&gt;=_TM1,B684&lt;=_TM2,OR(TH!L684="1111",TH!M684="1111")),TH!D684,""),"")</f>
        <v/>
      </c>
      <c r="B684" s="36">
        <f t="shared" si="29"/>
        <v>9</v>
      </c>
      <c r="C684" s="188">
        <f t="shared" si="30"/>
        <v>41538</v>
      </c>
      <c r="D684" s="181" t="s">
        <v>1272</v>
      </c>
      <c r="E684" s="188">
        <v>41538</v>
      </c>
      <c r="F684" s="186" t="s">
        <v>337</v>
      </c>
      <c r="G684" s="480" t="s">
        <v>1313</v>
      </c>
      <c r="H684" s="190" t="s">
        <v>713</v>
      </c>
      <c r="I684" s="249"/>
      <c r="J684" s="249"/>
      <c r="K684" s="38">
        <v>16940000</v>
      </c>
      <c r="L684" s="191" t="s">
        <v>47</v>
      </c>
      <c r="M684" s="191" t="s">
        <v>262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>x</v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IF(OR(TH!L684=TH!$U$7,M684=TH!$U$7),"x","")</f>
        <v/>
      </c>
      <c r="V684" s="52" t="str">
        <f>IF(AND(B684&gt;='IN-NX'!$P$3,B684&lt;='IN-NX'!$Q$3,'IN-NX'!$D$7=D684,OR(LEFT(L684,2)="15",AND(LEFT(M684,2)&lt;&gt;"15",LEFT(M684,2)&lt;&gt;"33"))),"x","")</f>
        <v/>
      </c>
      <c r="W684" s="52" t="str">
        <f>IF(AND(OR(LEFT(TH!L684,2)="15",LEFT(TH!M684,2)="15"),'152-CT'!$J$8=TH!F684),"x","")</f>
        <v/>
      </c>
      <c r="X684" s="52" t="str">
        <f>IF(AND(OR(LEFT(TH!L684,2)="15",LEFT(TH!M684,2)="15"),TK!$E$7=TH!F684),"x","")</f>
        <v/>
      </c>
      <c r="Y684" s="52" t="str">
        <f>IF(AND(B684&lt;=NKC!$N$8,B684&gt;=NKC!$M$8),"x","")</f>
        <v>x</v>
      </c>
      <c r="AA684" s="587" t="str">
        <f>IF(VLOOKUP(H684,DS_131,1,0)&lt;&gt;"","","x")</f>
        <v/>
      </c>
    </row>
    <row r="685" spans="1:28" ht="15.75" customHeight="1">
      <c r="A685" s="201" t="str">
        <f>IF(B685&lt;&gt;"",IF(AND(B685&gt;=_TM1,B685&lt;=_TM2,OR(TH!L685="1111",TH!M685="1111")),TH!D685,""),"")</f>
        <v/>
      </c>
      <c r="B685" s="36">
        <f t="shared" si="29"/>
        <v>9</v>
      </c>
      <c r="C685" s="188">
        <f t="shared" si="30"/>
        <v>41540</v>
      </c>
      <c r="D685" s="181" t="s">
        <v>1263</v>
      </c>
      <c r="E685" s="188">
        <v>41540</v>
      </c>
      <c r="F685" s="186" t="s">
        <v>431</v>
      </c>
      <c r="G685" s="480" t="s">
        <v>512</v>
      </c>
      <c r="H685" s="7" t="s">
        <v>368</v>
      </c>
      <c r="I685" s="249"/>
      <c r="J685" s="249"/>
      <c r="K685" s="595">
        <v>1680000</v>
      </c>
      <c r="L685" s="596" t="s">
        <v>162</v>
      </c>
      <c r="M685" s="596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IF(OR(TH!L685=TH!$U$7,M685=TH!$U$7),"x","")</f>
        <v/>
      </c>
      <c r="V685" s="52" t="str">
        <f>IF(AND(B685&gt;='IN-NX'!$P$3,B685&lt;='IN-NX'!$Q$3,'IN-NX'!$D$7=D685,OR(LEFT(L685,2)="15",AND(LEFT(M685,2)&lt;&gt;"15",LEFT(M685,2)&lt;&gt;"33"))),"x","")</f>
        <v/>
      </c>
      <c r="W685" s="52" t="str">
        <f>IF(AND(OR(LEFT(TH!L685,2)="15",LEFT(TH!M685,2)="15"),'152-CT'!$J$8=TH!F685),"x","")</f>
        <v/>
      </c>
      <c r="X685" s="52" t="str">
        <f>IF(AND(OR(LEFT(TH!L685,2)="15",LEFT(TH!M685,2)="15"),TK!$E$7=TH!F685),"x","")</f>
        <v/>
      </c>
      <c r="Y685" s="52" t="str">
        <f>IF(AND(B685&lt;=NKC!$N$8,B685&gt;=NKC!$M$8),"x","")</f>
        <v>x</v>
      </c>
      <c r="Z685" s="208" t="s">
        <v>1301</v>
      </c>
      <c r="AA685" s="587"/>
      <c r="AB685" s="587"/>
    </row>
    <row r="686" spans="1:28" ht="15.75" customHeight="1">
      <c r="A686" s="201" t="str">
        <f>IF(B686&lt;&gt;"",IF(AND(B686&gt;=_TM1,B686&lt;=_TM2,OR(TH!L686="1111",TH!M686="1111")),TH!D686,""),"")</f>
        <v/>
      </c>
      <c r="B686" s="36">
        <f t="shared" si="29"/>
        <v>9</v>
      </c>
      <c r="C686" s="188">
        <f t="shared" si="30"/>
        <v>41540</v>
      </c>
      <c r="D686" s="181" t="s">
        <v>1263</v>
      </c>
      <c r="E686" s="188">
        <v>41540</v>
      </c>
      <c r="F686" s="186" t="s">
        <v>344</v>
      </c>
      <c r="G686" s="480" t="s">
        <v>512</v>
      </c>
      <c r="H686" s="7" t="s">
        <v>368</v>
      </c>
      <c r="I686" s="250"/>
      <c r="J686" s="250"/>
      <c r="K686" s="595">
        <v>168000</v>
      </c>
      <c r="L686" s="596" t="s">
        <v>9</v>
      </c>
      <c r="M686" s="596" t="s">
        <v>47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IF(OR(TH!L686=TH!$U$7,M686=TH!$U$7),"x","")</f>
        <v/>
      </c>
      <c r="V686" s="52" t="str">
        <f>IF(AND(B686&gt;='IN-NX'!$P$3,B686&lt;='IN-NX'!$Q$3,'IN-NX'!$D$7=D686,OR(LEFT(L686,2)="15",AND(LEFT(M686,2)&lt;&gt;"15",LEFT(M686,2)&lt;&gt;"33"))),"x","")</f>
        <v/>
      </c>
      <c r="W686" s="52" t="str">
        <f>IF(AND(OR(LEFT(TH!L686,2)="15",LEFT(TH!M686,2)="15"),'152-CT'!$J$8=TH!F686),"x","")</f>
        <v/>
      </c>
      <c r="X686" s="52" t="str">
        <f>IF(AND(OR(LEFT(TH!L686,2)="15",LEFT(TH!M686,2)="15"),TK!$E$7=TH!F686),"x","")</f>
        <v/>
      </c>
      <c r="Y686" s="52" t="str">
        <f>IF(AND(B686&lt;=NKC!$N$8,B686&gt;=NKC!$M$8),"x","")</f>
        <v>x</v>
      </c>
      <c r="Z686" s="208" t="s">
        <v>1301</v>
      </c>
      <c r="AA686" s="587"/>
      <c r="AB686" s="208"/>
    </row>
    <row r="687" spans="1:28" ht="15.75" customHeight="1">
      <c r="A687" s="201" t="str">
        <f>IF(B687&lt;&gt;"",IF(AND(B687&gt;=_TM1,B687&lt;=_TM2,OR(TH!L687="1111",TH!M687="1111")),TH!D687,""),"")</f>
        <v/>
      </c>
      <c r="B687" s="36">
        <f t="shared" si="29"/>
        <v>9</v>
      </c>
      <c r="C687" s="188">
        <f t="shared" si="30"/>
        <v>41540</v>
      </c>
      <c r="D687" s="181" t="s">
        <v>1064</v>
      </c>
      <c r="E687" s="188">
        <v>41540</v>
      </c>
      <c r="F687" s="189" t="s">
        <v>852</v>
      </c>
      <c r="G687" s="480" t="s">
        <v>1092</v>
      </c>
      <c r="H687" s="7" t="s">
        <v>510</v>
      </c>
      <c r="I687" s="249">
        <v>430</v>
      </c>
      <c r="J687" s="249">
        <v>8600</v>
      </c>
      <c r="K687" s="38">
        <f>ROUND(I687*J687,0)</f>
        <v>3698000</v>
      </c>
      <c r="L687" s="191" t="s">
        <v>262</v>
      </c>
      <c r="M687" s="191" t="s">
        <v>172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IF(OR(TH!L687=TH!$U$7,M687=TH!$U$7),"x","")</f>
        <v/>
      </c>
      <c r="V687" s="52" t="str">
        <f>IF(AND(B687&gt;='IN-NX'!$P$3,B687&lt;='IN-NX'!$Q$3,'IN-NX'!$D$7=D687,OR(LEFT(L687,2)="15",AND(LEFT(M687,2)&lt;&gt;"15",LEFT(M687,2)&lt;&gt;"33"))),"x","")</f>
        <v/>
      </c>
      <c r="W687" s="52" t="str">
        <f>IF(AND(OR(LEFT(TH!L687,2)="15",LEFT(TH!M687,2)="15"),'152-CT'!$J$8=TH!F687),"x","")</f>
        <v/>
      </c>
      <c r="X687" s="52" t="str">
        <f>IF(AND(OR(LEFT(TH!L687,2)="15",LEFT(TH!M687,2)="15"),TK!$E$7=TH!F687),"x","")</f>
        <v/>
      </c>
      <c r="Y687" s="52" t="str">
        <f>IF(AND(B687&lt;=NKC!$N$8,B687&gt;=NKC!$M$8),"x","")</f>
        <v>x</v>
      </c>
      <c r="AA687" s="587"/>
    </row>
    <row r="688" spans="1:28" ht="15.75" customHeight="1">
      <c r="A688" s="201" t="str">
        <f>IF(B688&lt;&gt;"",IF(AND(B688&gt;=_TM1,B688&lt;=_TM2,OR(TH!L688="1111",TH!M688="1111")),TH!D688,""),"")</f>
        <v/>
      </c>
      <c r="B688" s="36">
        <f t="shared" si="29"/>
        <v>9</v>
      </c>
      <c r="C688" s="188">
        <f t="shared" si="30"/>
        <v>41540</v>
      </c>
      <c r="D688" s="181" t="s">
        <v>1064</v>
      </c>
      <c r="E688" s="188">
        <v>41540</v>
      </c>
      <c r="F688" s="189" t="s">
        <v>1100</v>
      </c>
      <c r="G688" s="480" t="s">
        <v>1092</v>
      </c>
      <c r="H688" s="7" t="s">
        <v>510</v>
      </c>
      <c r="I688" s="249">
        <v>200</v>
      </c>
      <c r="J688" s="249">
        <v>12900</v>
      </c>
      <c r="K688" s="38">
        <f>ROUND(I688*J688,0)</f>
        <v>2580000</v>
      </c>
      <c r="L688" s="191" t="s">
        <v>262</v>
      </c>
      <c r="M688" s="191" t="s">
        <v>172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IF(OR(TH!L688=TH!$U$7,M688=TH!$U$7),"x","")</f>
        <v/>
      </c>
      <c r="V688" s="52" t="str">
        <f>IF(AND(B688&gt;='IN-NX'!$P$3,B688&lt;='IN-NX'!$Q$3,'IN-NX'!$D$7=D688,OR(LEFT(L688,2)="15",AND(LEFT(M688,2)&lt;&gt;"15",LEFT(M688,2)&lt;&gt;"33"))),"x","")</f>
        <v/>
      </c>
      <c r="W688" s="52" t="str">
        <f>IF(AND(OR(LEFT(TH!L688,2)="15",LEFT(TH!M688,2)="15"),'152-CT'!$J$8=TH!F688),"x","")</f>
        <v/>
      </c>
      <c r="X688" s="52" t="str">
        <f>IF(AND(OR(LEFT(TH!L688,2)="15",LEFT(TH!M688,2)="15"),TK!$E$7=TH!F688),"x","")</f>
        <v/>
      </c>
      <c r="Y688" s="52" t="str">
        <f>IF(AND(B688&lt;=NKC!$N$8,B688&gt;=NKC!$M$8),"x","")</f>
        <v>x</v>
      </c>
      <c r="AA688" s="587"/>
    </row>
    <row r="689" spans="1:28" ht="15.75" customHeight="1">
      <c r="A689" s="201" t="str">
        <f>IF(B689&lt;&gt;"",IF(AND(B689&gt;=_TM1,B689&lt;=_TM2,OR(TH!L689="1111",TH!M689="1111")),TH!D689,""),"")</f>
        <v/>
      </c>
      <c r="B689" s="36">
        <f t="shared" si="29"/>
        <v>9</v>
      </c>
      <c r="C689" s="188">
        <f t="shared" si="30"/>
        <v>41540</v>
      </c>
      <c r="D689" s="181" t="s">
        <v>1064</v>
      </c>
      <c r="E689" s="188">
        <v>41540</v>
      </c>
      <c r="F689" s="189" t="s">
        <v>1098</v>
      </c>
      <c r="G689" s="480" t="s">
        <v>1092</v>
      </c>
      <c r="H689" s="7" t="s">
        <v>510</v>
      </c>
      <c r="I689" s="249">
        <v>108</v>
      </c>
      <c r="J689" s="249">
        <v>13500</v>
      </c>
      <c r="K689" s="38">
        <f>ROUND(I689*J689,0)</f>
        <v>1458000</v>
      </c>
      <c r="L689" s="191" t="s">
        <v>262</v>
      </c>
      <c r="M689" s="191" t="s">
        <v>172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IF(OR(TH!L689=TH!$U$7,M689=TH!$U$7),"x","")</f>
        <v/>
      </c>
      <c r="V689" s="52" t="str">
        <f>IF(AND(B689&gt;='IN-NX'!$P$3,B689&lt;='IN-NX'!$Q$3,'IN-NX'!$D$7=D689,OR(LEFT(L689,2)="15",AND(LEFT(M689,2)&lt;&gt;"15",LEFT(M689,2)&lt;&gt;"33"))),"x","")</f>
        <v/>
      </c>
      <c r="W689" s="52" t="str">
        <f>IF(AND(OR(LEFT(TH!L689,2)="15",LEFT(TH!M689,2)="15"),'152-CT'!$J$8=TH!F689),"x","")</f>
        <v/>
      </c>
      <c r="X689" s="52" t="str">
        <f>IF(AND(OR(LEFT(TH!L689,2)="15",LEFT(TH!M689,2)="15"),TK!$E$7=TH!F689),"x","")</f>
        <v/>
      </c>
      <c r="Y689" s="52" t="str">
        <f>IF(AND(B689&lt;=NKC!$N$8,B689&gt;=NKC!$M$8),"x","")</f>
        <v>x</v>
      </c>
      <c r="AA689" s="587"/>
    </row>
    <row r="690" spans="1:28" ht="15.75" customHeight="1">
      <c r="A690" s="201" t="str">
        <f>IF(B690&lt;&gt;"",IF(AND(B690&gt;=_TM1,B690&lt;=_TM2,OR(TH!L690="1111",TH!M690="1111")),TH!D690,""),"")</f>
        <v/>
      </c>
      <c r="B690" s="36">
        <f t="shared" si="29"/>
        <v>9</v>
      </c>
      <c r="C690" s="188">
        <f t="shared" si="30"/>
        <v>41540</v>
      </c>
      <c r="D690" s="181" t="s">
        <v>1064</v>
      </c>
      <c r="E690" s="188">
        <v>41540</v>
      </c>
      <c r="F690" s="189" t="s">
        <v>1101</v>
      </c>
      <c r="G690" s="480" t="s">
        <v>1092</v>
      </c>
      <c r="H690" s="7" t="s">
        <v>510</v>
      </c>
      <c r="I690" s="249">
        <v>257</v>
      </c>
      <c r="J690" s="249">
        <v>7000</v>
      </c>
      <c r="K690" s="38">
        <f>ROUND(I690*J690,0)</f>
        <v>1799000</v>
      </c>
      <c r="L690" s="191" t="s">
        <v>262</v>
      </c>
      <c r="M690" s="191" t="s">
        <v>172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IF(OR(TH!L690=TH!$U$7,M690=TH!$U$7),"x","")</f>
        <v/>
      </c>
      <c r="V690" s="52" t="str">
        <f>IF(AND(B690&gt;='IN-NX'!$P$3,B690&lt;='IN-NX'!$Q$3,'IN-NX'!$D$7=D690,OR(LEFT(L690,2)="15",AND(LEFT(M690,2)&lt;&gt;"15",LEFT(M690,2)&lt;&gt;"33"))),"x","")</f>
        <v/>
      </c>
      <c r="W690" s="52" t="str">
        <f>IF(AND(OR(LEFT(TH!L690,2)="15",LEFT(TH!M690,2)="15"),'152-CT'!$J$8=TH!F690),"x","")</f>
        <v/>
      </c>
      <c r="X690" s="52" t="str">
        <f>IF(AND(OR(LEFT(TH!L690,2)="15",LEFT(TH!M690,2)="15"),TK!$E$7=TH!F690),"x","")</f>
        <v/>
      </c>
      <c r="Y690" s="52" t="str">
        <f>IF(AND(B690&lt;=NKC!$N$8,B690&gt;=NKC!$M$8),"x","")</f>
        <v>x</v>
      </c>
      <c r="AA690" s="587"/>
    </row>
    <row r="691" spans="1:28" ht="15.75" customHeight="1">
      <c r="A691" s="201" t="str">
        <f>IF(B691&lt;&gt;"",IF(AND(B691&gt;=_TM1,B691&lt;=_TM2,OR(TH!L691="1111",TH!M691="1111")),TH!D691,""),"")</f>
        <v/>
      </c>
      <c r="B691" s="36">
        <f t="shared" si="29"/>
        <v>9</v>
      </c>
      <c r="C691" s="188">
        <f t="shared" si="30"/>
        <v>41540</v>
      </c>
      <c r="D691" s="181" t="s">
        <v>1064</v>
      </c>
      <c r="E691" s="188">
        <v>41540</v>
      </c>
      <c r="F691" s="189" t="s">
        <v>693</v>
      </c>
      <c r="G691" s="480" t="s">
        <v>1092</v>
      </c>
      <c r="H691" s="7" t="s">
        <v>510</v>
      </c>
      <c r="I691" s="249"/>
      <c r="J691" s="249"/>
      <c r="K691" s="38">
        <v>953500</v>
      </c>
      <c r="L691" s="191" t="s">
        <v>262</v>
      </c>
      <c r="M691" s="191" t="s">
        <v>425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IF(OR(TH!L691=TH!$U$7,M691=TH!$U$7),"x","")</f>
        <v/>
      </c>
      <c r="V691" s="52" t="str">
        <f>IF(AND(B691&gt;='IN-NX'!$P$3,B691&lt;='IN-NX'!$Q$3,'IN-NX'!$D$7=D691,OR(LEFT(L691,2)="15",AND(LEFT(M691,2)&lt;&gt;"15",LEFT(M691,2)&lt;&gt;"33"))),"x","")</f>
        <v/>
      </c>
      <c r="W691" s="52" t="str">
        <f>IF(AND(OR(LEFT(TH!L691,2)="15",LEFT(TH!M691,2)="15"),'152-CT'!$J$8=TH!F691),"x","")</f>
        <v/>
      </c>
      <c r="X691" s="52" t="str">
        <f>IF(AND(OR(LEFT(TH!L691,2)="15",LEFT(TH!M691,2)="15"),TK!$E$7=TH!F691),"x","")</f>
        <v/>
      </c>
      <c r="Y691" s="52" t="str">
        <f>IF(AND(B691&lt;=NKC!$N$8,B691&gt;=NKC!$M$8),"x","")</f>
        <v>x</v>
      </c>
      <c r="AA691" s="587" t="str">
        <f>IF(VLOOKUP(H691,DS_131,1,0)&lt;&gt;"","","x")</f>
        <v/>
      </c>
    </row>
    <row r="692" spans="1:28" ht="15.75" customHeight="1">
      <c r="A692" s="201" t="str">
        <f>IF(B692&lt;&gt;"",IF(AND(B692&gt;=_TM1,B692&lt;=_TM2,OR(TH!L692="1111",TH!M692="1111")),TH!D692,""),"")</f>
        <v/>
      </c>
      <c r="B692" s="36">
        <f t="shared" si="29"/>
        <v>9</v>
      </c>
      <c r="C692" s="188">
        <f t="shared" si="30"/>
        <v>41540</v>
      </c>
      <c r="D692" s="181" t="s">
        <v>1065</v>
      </c>
      <c r="E692" s="188">
        <v>41540</v>
      </c>
      <c r="F692" s="189" t="s">
        <v>784</v>
      </c>
      <c r="G692" s="480" t="s">
        <v>902</v>
      </c>
      <c r="H692" s="7" t="s">
        <v>1079</v>
      </c>
      <c r="I692" s="249">
        <v>424</v>
      </c>
      <c r="J692" s="249">
        <v>17300</v>
      </c>
      <c r="K692" s="38">
        <f>ROUND(I692*J692,0)</f>
        <v>7335200</v>
      </c>
      <c r="L692" s="191" t="s">
        <v>262</v>
      </c>
      <c r="M692" s="191" t="s">
        <v>172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IF(OR(TH!L692=TH!$U$7,M692=TH!$U$7),"x","")</f>
        <v/>
      </c>
      <c r="V692" s="52" t="str">
        <f>IF(AND(B692&gt;='IN-NX'!$P$3,B692&lt;='IN-NX'!$Q$3,'IN-NX'!$D$7=D692,OR(LEFT(L692,2)="15",AND(LEFT(M692,2)&lt;&gt;"15",LEFT(M692,2)&lt;&gt;"33"))),"x","")</f>
        <v/>
      </c>
      <c r="W692" s="52" t="str">
        <f>IF(AND(OR(LEFT(TH!L692,2)="15",LEFT(TH!M692,2)="15"),'152-CT'!$J$8=TH!F692),"x","")</f>
        <v/>
      </c>
      <c r="X692" s="52" t="str">
        <f>IF(AND(OR(LEFT(TH!L692,2)="15",LEFT(TH!M692,2)="15"),TK!$E$7=TH!F692),"x","")</f>
        <v/>
      </c>
      <c r="Y692" s="52" t="str">
        <f>IF(AND(B692&lt;=NKC!$N$8,B692&gt;=NKC!$M$8),"x","")</f>
        <v>x</v>
      </c>
      <c r="AA692" s="587"/>
    </row>
    <row r="693" spans="1:28" ht="15.75" customHeight="1">
      <c r="A693" s="201" t="str">
        <f>IF(B693&lt;&gt;"",IF(AND(B693&gt;=_TM1,B693&lt;=_TM2,OR(TH!L693="1111",TH!M693="1111")),TH!D693,""),"")</f>
        <v/>
      </c>
      <c r="B693" s="36">
        <f t="shared" si="29"/>
        <v>9</v>
      </c>
      <c r="C693" s="188">
        <f t="shared" si="30"/>
        <v>41540</v>
      </c>
      <c r="D693" s="181" t="s">
        <v>1065</v>
      </c>
      <c r="E693" s="188">
        <v>41540</v>
      </c>
      <c r="F693" s="189" t="s">
        <v>693</v>
      </c>
      <c r="G693" s="480" t="s">
        <v>902</v>
      </c>
      <c r="H693" s="7" t="s">
        <v>1079</v>
      </c>
      <c r="I693" s="249"/>
      <c r="J693" s="249"/>
      <c r="K693" s="38">
        <v>733520</v>
      </c>
      <c r="L693" s="191" t="s">
        <v>262</v>
      </c>
      <c r="M693" s="191" t="s">
        <v>425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IF(OR(TH!L693=TH!$U$7,M693=TH!$U$7),"x","")</f>
        <v/>
      </c>
      <c r="V693" s="52" t="str">
        <f>IF(AND(B693&gt;='IN-NX'!$P$3,B693&lt;='IN-NX'!$Q$3,'IN-NX'!$D$7=D693,OR(LEFT(L693,2)="15",AND(LEFT(M693,2)&lt;&gt;"15",LEFT(M693,2)&lt;&gt;"33"))),"x","")</f>
        <v/>
      </c>
      <c r="W693" s="52" t="str">
        <f>IF(AND(OR(LEFT(TH!L693,2)="15",LEFT(TH!M693,2)="15"),'152-CT'!$J$8=TH!F693),"x","")</f>
        <v/>
      </c>
      <c r="X693" s="52" t="str">
        <f>IF(AND(OR(LEFT(TH!L693,2)="15",LEFT(TH!M693,2)="15"),TK!$E$7=TH!F693),"x","")</f>
        <v/>
      </c>
      <c r="Y693" s="52" t="str">
        <f>IF(AND(B693&lt;=NKC!$N$8,B693&gt;=NKC!$M$8),"x","")</f>
        <v>x</v>
      </c>
      <c r="AA693" s="587" t="str">
        <f>IF(VLOOKUP(H693,DS_131,1,0)&lt;&gt;"","","x")</f>
        <v/>
      </c>
    </row>
    <row r="694" spans="1:28" ht="15.75" customHeight="1">
      <c r="A694" s="201" t="str">
        <f>IF(B694&lt;&gt;"",IF(AND(B694&gt;=_TM1,B694&lt;=_TM2,OR(TH!L694="1111",TH!M694="1111")),TH!D694,""),"")</f>
        <v/>
      </c>
      <c r="B694" s="36">
        <f t="shared" si="29"/>
        <v>9</v>
      </c>
      <c r="C694" s="188">
        <f t="shared" si="30"/>
        <v>41540</v>
      </c>
      <c r="D694" s="181" t="s">
        <v>1066</v>
      </c>
      <c r="E694" s="188">
        <v>41540</v>
      </c>
      <c r="F694" s="189" t="s">
        <v>856</v>
      </c>
      <c r="G694" s="480" t="s">
        <v>903</v>
      </c>
      <c r="H694" s="7" t="s">
        <v>832</v>
      </c>
      <c r="I694" s="249">
        <v>980</v>
      </c>
      <c r="J694" s="249">
        <v>6300</v>
      </c>
      <c r="K694" s="38">
        <f>ROUND(I694*J694,0)</f>
        <v>6174000</v>
      </c>
      <c r="L694" s="191" t="s">
        <v>262</v>
      </c>
      <c r="M694" s="191" t="s">
        <v>172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IF(OR(TH!L694=TH!$U$7,M694=TH!$U$7),"x","")</f>
        <v/>
      </c>
      <c r="V694" s="52" t="str">
        <f>IF(AND(B694&gt;='IN-NX'!$P$3,B694&lt;='IN-NX'!$Q$3,'IN-NX'!$D$7=D694,OR(LEFT(L694,2)="15",AND(LEFT(M694,2)&lt;&gt;"15",LEFT(M694,2)&lt;&gt;"33"))),"x","")</f>
        <v/>
      </c>
      <c r="W694" s="52" t="str">
        <f>IF(AND(OR(LEFT(TH!L694,2)="15",LEFT(TH!M694,2)="15"),'152-CT'!$J$8=TH!F694),"x","")</f>
        <v/>
      </c>
      <c r="X694" s="52" t="str">
        <f>IF(AND(OR(LEFT(TH!L694,2)="15",LEFT(TH!M694,2)="15"),TK!$E$7=TH!F694),"x","")</f>
        <v/>
      </c>
      <c r="Y694" s="52" t="str">
        <f>IF(AND(B694&lt;=NKC!$N$8,B694&gt;=NKC!$M$8),"x","")</f>
        <v>x</v>
      </c>
      <c r="AA694" s="587"/>
    </row>
    <row r="695" spans="1:28" ht="15.75" customHeight="1">
      <c r="A695" s="201" t="str">
        <f>IF(B695&lt;&gt;"",IF(AND(B695&gt;=_TM1,B695&lt;=_TM2,OR(TH!L695="1111",TH!M695="1111")),TH!D695,""),"")</f>
        <v/>
      </c>
      <c r="B695" s="36">
        <f t="shared" si="29"/>
        <v>9</v>
      </c>
      <c r="C695" s="188">
        <f t="shared" si="30"/>
        <v>41540</v>
      </c>
      <c r="D695" s="181" t="s">
        <v>1066</v>
      </c>
      <c r="E695" s="188">
        <v>41540</v>
      </c>
      <c r="F695" s="189" t="s">
        <v>693</v>
      </c>
      <c r="G695" s="480" t="s">
        <v>903</v>
      </c>
      <c r="H695" s="7" t="s">
        <v>832</v>
      </c>
      <c r="I695" s="249"/>
      <c r="J695" s="249"/>
      <c r="K695" s="38">
        <v>617400</v>
      </c>
      <c r="L695" s="191" t="s">
        <v>262</v>
      </c>
      <c r="M695" s="191" t="s">
        <v>425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IF(OR(TH!L695=TH!$U$7,M695=TH!$U$7),"x","")</f>
        <v/>
      </c>
      <c r="V695" s="52" t="str">
        <f>IF(AND(B695&gt;='IN-NX'!$P$3,B695&lt;='IN-NX'!$Q$3,'IN-NX'!$D$7=D695,OR(LEFT(L695,2)="15",AND(LEFT(M695,2)&lt;&gt;"15",LEFT(M695,2)&lt;&gt;"33"))),"x","")</f>
        <v/>
      </c>
      <c r="W695" s="52" t="str">
        <f>IF(AND(OR(LEFT(TH!L695,2)="15",LEFT(TH!M695,2)="15"),'152-CT'!$J$8=TH!F695),"x","")</f>
        <v/>
      </c>
      <c r="X695" s="52" t="str">
        <f>IF(AND(OR(LEFT(TH!L695,2)="15",LEFT(TH!M695,2)="15"),TK!$E$7=TH!F695),"x","")</f>
        <v/>
      </c>
      <c r="Y695" s="52" t="str">
        <f>IF(AND(B695&lt;=NKC!$N$8,B695&gt;=NKC!$M$8),"x","")</f>
        <v>x</v>
      </c>
      <c r="Z695" s="208"/>
      <c r="AA695" s="587" t="str">
        <f>IF(VLOOKUP(H695,DS_131,1,0)&lt;&gt;"","","x")</f>
        <v/>
      </c>
      <c r="AB695" s="208"/>
    </row>
    <row r="696" spans="1:28" ht="15.75" customHeight="1">
      <c r="A696" s="201" t="str">
        <f>IF(B696&lt;&gt;"",IF(AND(B696&gt;=_TM1,B696&lt;=_TM2,OR(TH!L696="1111",TH!M696="1111")),TH!D696,""),"")</f>
        <v/>
      </c>
      <c r="B696" s="36">
        <f t="shared" si="29"/>
        <v>9</v>
      </c>
      <c r="C696" s="181">
        <f t="shared" si="30"/>
        <v>41541</v>
      </c>
      <c r="D696" s="181" t="s">
        <v>335</v>
      </c>
      <c r="E696" s="181">
        <v>41541</v>
      </c>
      <c r="F696" s="186" t="s">
        <v>337</v>
      </c>
      <c r="G696" s="597" t="s">
        <v>332</v>
      </c>
      <c r="H696" s="7" t="s">
        <v>506</v>
      </c>
      <c r="I696" s="249"/>
      <c r="J696" s="249"/>
      <c r="K696" s="595">
        <v>12642630</v>
      </c>
      <c r="L696" s="596" t="s">
        <v>24</v>
      </c>
      <c r="M696" s="596" t="s">
        <v>262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52" t="str">
        <f>IF(OR(TH!L696=TH!$U$7,M696=TH!$U$7),"x","")</f>
        <v/>
      </c>
      <c r="V696" s="52" t="str">
        <f>IF(AND(B696&gt;='IN-NX'!$P$3,B696&lt;='IN-NX'!$Q$3,'IN-NX'!$D$7=D696,OR(LEFT(L696,2)="15",AND(LEFT(M696,2)&lt;&gt;"15",LEFT(M696,2)&lt;&gt;"33"))),"x","")</f>
        <v/>
      </c>
      <c r="W696" s="52" t="str">
        <f>IF(AND(OR(LEFT(TH!L696,2)="15",LEFT(TH!M696,2)="15"),'152-CT'!$J$8=TH!F696),"x","")</f>
        <v/>
      </c>
      <c r="X696" s="52" t="str">
        <f>IF(AND(OR(LEFT(TH!L696,2)="15",LEFT(TH!M696,2)="15"),TK!$E$7=TH!F696),"x","")</f>
        <v/>
      </c>
      <c r="Y696" s="52" t="str">
        <f>IF(AND(B696&lt;=NKC!$N$8,B696&gt;=NKC!$M$8),"x","")</f>
        <v>x</v>
      </c>
      <c r="Z696" s="208"/>
      <c r="AA696" s="587"/>
      <c r="AB696" s="587"/>
    </row>
    <row r="697" spans="1:28" ht="15.75" customHeight="1">
      <c r="A697" s="201" t="str">
        <f>IF(B697&lt;&gt;"",IF(AND(B697&gt;=_TM1,B697&lt;=_TM2,OR(TH!L697="1111",TH!M697="1111")),TH!D697,""),"")</f>
        <v/>
      </c>
      <c r="B697" s="36">
        <f t="shared" si="29"/>
        <v>9</v>
      </c>
      <c r="C697" s="181">
        <f t="shared" si="30"/>
        <v>41542</v>
      </c>
      <c r="D697" s="181" t="s">
        <v>335</v>
      </c>
      <c r="E697" s="188">
        <v>41542</v>
      </c>
      <c r="F697" s="186" t="s">
        <v>365</v>
      </c>
      <c r="G697" s="597" t="s">
        <v>332</v>
      </c>
      <c r="H697" s="7"/>
      <c r="I697" s="250"/>
      <c r="J697" s="251"/>
      <c r="K697" s="38">
        <v>6004</v>
      </c>
      <c r="L697" s="596" t="s">
        <v>24</v>
      </c>
      <c r="M697" s="596" t="s">
        <v>40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52" t="str">
        <f>IF(OR(TH!L697=TH!$U$7,M697=TH!$U$7),"x","")</f>
        <v/>
      </c>
      <c r="V697" s="52" t="str">
        <f>IF(AND(B697&gt;='IN-NX'!$P$3,B697&lt;='IN-NX'!$Q$3,'IN-NX'!$D$7=D697,OR(LEFT(L697,2)="15",AND(LEFT(M697,2)&lt;&gt;"15",LEFT(M697,2)&lt;&gt;"33"))),"x","")</f>
        <v/>
      </c>
      <c r="W697" s="52" t="str">
        <f>IF(AND(OR(LEFT(TH!L697,2)="15",LEFT(TH!M697,2)="15"),'152-CT'!$J$8=TH!F697),"x","")</f>
        <v/>
      </c>
      <c r="X697" s="52" t="str">
        <f>IF(AND(OR(LEFT(TH!L697,2)="15",LEFT(TH!M697,2)="15"),TK!$E$7=TH!F697),"x","")</f>
        <v/>
      </c>
      <c r="Y697" s="52" t="str">
        <f>IF(AND(B697&lt;=NKC!$N$8,B697&gt;=NKC!$M$8),"x","")</f>
        <v>x</v>
      </c>
      <c r="Z697" s="208"/>
      <c r="AA697" s="208"/>
      <c r="AB697" s="208"/>
    </row>
    <row r="698" spans="1:28" ht="15.75" customHeight="1">
      <c r="A698" s="201" t="str">
        <f>IF(B698&lt;&gt;"",IF(AND(B698&gt;=_TM1,B698&lt;=_TM2,OR(TH!L698="1111",TH!M698="1111")),TH!D698,""),"")</f>
        <v/>
      </c>
      <c r="B698" s="36">
        <f t="shared" ref="B698:B759" si="31">IF(C698&lt;&gt;"",MONTH(C698),"")</f>
        <v>9</v>
      </c>
      <c r="C698" s="181">
        <f t="shared" si="30"/>
        <v>41542</v>
      </c>
      <c r="D698" s="181" t="s">
        <v>1273</v>
      </c>
      <c r="E698" s="188">
        <v>41542</v>
      </c>
      <c r="F698" s="186" t="s">
        <v>469</v>
      </c>
      <c r="G698" s="597" t="s">
        <v>332</v>
      </c>
      <c r="H698" s="7" t="s">
        <v>364</v>
      </c>
      <c r="I698" s="250"/>
      <c r="J698" s="251"/>
      <c r="K698" s="595">
        <v>12900000</v>
      </c>
      <c r="L698" s="596" t="s">
        <v>47</v>
      </c>
      <c r="M698" s="596" t="s">
        <v>24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>x</v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>x</v>
      </c>
      <c r="U698" s="52" t="str">
        <f>IF(OR(TH!L698=TH!$U$7,M698=TH!$U$7),"x","")</f>
        <v/>
      </c>
      <c r="V698" s="52" t="str">
        <f>IF(AND(B698&gt;='IN-NX'!$P$3,B698&lt;='IN-NX'!$Q$3,'IN-NX'!$D$7=D698,OR(LEFT(L698,2)="15",AND(LEFT(M698,2)&lt;&gt;"15",LEFT(M698,2)&lt;&gt;"33"))),"x","")</f>
        <v/>
      </c>
      <c r="W698" s="52" t="str">
        <f>IF(AND(OR(LEFT(TH!L698,2)="15",LEFT(TH!M698,2)="15"),'152-CT'!$J$8=TH!F698),"x","")</f>
        <v/>
      </c>
      <c r="X698" s="52" t="str">
        <f>IF(AND(OR(LEFT(TH!L698,2)="15",LEFT(TH!M698,2)="15"),TK!$E$7=TH!F698),"x","")</f>
        <v/>
      </c>
      <c r="Y698" s="52" t="str">
        <f>IF(AND(B698&lt;=NKC!$N$8,B698&gt;=NKC!$M$8),"x","")</f>
        <v>x</v>
      </c>
      <c r="Z698" s="587"/>
      <c r="AA698" s="208"/>
      <c r="AB698" s="208"/>
    </row>
    <row r="699" spans="1:28" ht="15.75" customHeight="1">
      <c r="A699" s="201" t="str">
        <f>IF(B699&lt;&gt;"",IF(AND(B699&gt;=_TM1,B699&lt;=_TM2,OR(TH!L699="1111",TH!M699="1111")),TH!D699,""),"")</f>
        <v/>
      </c>
      <c r="B699" s="36">
        <f t="shared" si="31"/>
        <v>9</v>
      </c>
      <c r="C699" s="188">
        <f t="shared" si="30"/>
        <v>41542</v>
      </c>
      <c r="D699" s="181" t="s">
        <v>1067</v>
      </c>
      <c r="E699" s="188">
        <v>41542</v>
      </c>
      <c r="F699" s="189" t="s">
        <v>1116</v>
      </c>
      <c r="G699" s="480" t="s">
        <v>904</v>
      </c>
      <c r="H699" s="7" t="s">
        <v>863</v>
      </c>
      <c r="I699" s="249">
        <v>2700</v>
      </c>
      <c r="J699" s="249">
        <v>4700</v>
      </c>
      <c r="K699" s="38">
        <f>ROUND(I699*J699,0)</f>
        <v>12690000</v>
      </c>
      <c r="L699" s="191" t="s">
        <v>262</v>
      </c>
      <c r="M699" s="191" t="s">
        <v>172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IF(OR(TH!L699=TH!$U$7,M699=TH!$U$7),"x","")</f>
        <v/>
      </c>
      <c r="V699" s="52" t="str">
        <f>IF(AND(B699&gt;='IN-NX'!$P$3,B699&lt;='IN-NX'!$Q$3,'IN-NX'!$D$7=D699,OR(LEFT(L699,2)="15",AND(LEFT(M699,2)&lt;&gt;"15",LEFT(M699,2)&lt;&gt;"33"))),"x","")</f>
        <v/>
      </c>
      <c r="W699" s="52" t="str">
        <f>IF(AND(OR(LEFT(TH!L699,2)="15",LEFT(TH!M699,2)="15"),'152-CT'!$J$8=TH!F699),"x","")</f>
        <v/>
      </c>
      <c r="X699" s="52" t="str">
        <f>IF(AND(OR(LEFT(TH!L699,2)="15",LEFT(TH!M699,2)="15"),TK!$E$7=TH!F699),"x","")</f>
        <v/>
      </c>
      <c r="Y699" s="52" t="str">
        <f>IF(AND(B699&lt;=NKC!$N$8,B699&gt;=NKC!$M$8),"x","")</f>
        <v>x</v>
      </c>
      <c r="Z699" s="587"/>
      <c r="AA699" s="587"/>
      <c r="AB699" s="208"/>
    </row>
    <row r="700" spans="1:28" ht="15.75" customHeight="1">
      <c r="A700" s="201" t="str">
        <f>IF(B700&lt;&gt;"",IF(AND(B700&gt;=_TM1,B700&lt;=_TM2,OR(TH!L700="1111",TH!M700="1111")),TH!D700,""),"")</f>
        <v/>
      </c>
      <c r="B700" s="36">
        <f t="shared" si="31"/>
        <v>9</v>
      </c>
      <c r="C700" s="188">
        <f t="shared" si="30"/>
        <v>41542</v>
      </c>
      <c r="D700" s="181" t="s">
        <v>1067</v>
      </c>
      <c r="E700" s="188">
        <v>41542</v>
      </c>
      <c r="F700" s="189" t="s">
        <v>693</v>
      </c>
      <c r="G700" s="480" t="s">
        <v>904</v>
      </c>
      <c r="H700" s="190" t="s">
        <v>863</v>
      </c>
      <c r="I700" s="249"/>
      <c r="J700" s="249"/>
      <c r="K700" s="38">
        <v>1269000</v>
      </c>
      <c r="L700" s="191" t="s">
        <v>262</v>
      </c>
      <c r="M700" s="191" t="s">
        <v>425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IF(OR(TH!L700=TH!$U$7,M700=TH!$U$7),"x","")</f>
        <v/>
      </c>
      <c r="V700" s="52" t="str">
        <f>IF(AND(B700&gt;='IN-NX'!$P$3,B700&lt;='IN-NX'!$Q$3,'IN-NX'!$D$7=D700,OR(LEFT(L700,2)="15",AND(LEFT(M700,2)&lt;&gt;"15",LEFT(M700,2)&lt;&gt;"33"))),"x","")</f>
        <v/>
      </c>
      <c r="W700" s="52" t="str">
        <f>IF(AND(OR(LEFT(TH!L700,2)="15",LEFT(TH!M700,2)="15"),'152-CT'!$J$8=TH!F700),"x","")</f>
        <v/>
      </c>
      <c r="X700" s="52" t="str">
        <f>IF(AND(OR(LEFT(TH!L700,2)="15",LEFT(TH!M700,2)="15"),TK!$E$7=TH!F700),"x","")</f>
        <v/>
      </c>
      <c r="Y700" s="52" t="str">
        <f>IF(AND(B700&lt;=NKC!$N$8,B700&gt;=NKC!$M$8),"x","")</f>
        <v>x</v>
      </c>
      <c r="Z700" s="208"/>
      <c r="AA700" s="587" t="str">
        <f>IF(VLOOKUP(H700,DS_131,1,0)&lt;&gt;"","","x")</f>
        <v/>
      </c>
      <c r="AB700" s="659"/>
    </row>
    <row r="701" spans="1:28" ht="15.75" customHeight="1">
      <c r="A701" s="201" t="str">
        <f>IF(B701&lt;&gt;"",IF(AND(B701&gt;=_TM1,B701&lt;=_TM2,OR(TH!L701="1111",TH!M701="1111")),TH!D701,""),"")</f>
        <v/>
      </c>
      <c r="B701" s="36">
        <f t="shared" si="31"/>
        <v>9</v>
      </c>
      <c r="C701" s="188">
        <f t="shared" si="30"/>
        <v>41543</v>
      </c>
      <c r="D701" s="181" t="s">
        <v>1264</v>
      </c>
      <c r="E701" s="188">
        <v>41543</v>
      </c>
      <c r="F701" s="186" t="s">
        <v>431</v>
      </c>
      <c r="G701" s="480" t="s">
        <v>513</v>
      </c>
      <c r="H701" s="7" t="s">
        <v>368</v>
      </c>
      <c r="I701" s="249"/>
      <c r="J701" s="249"/>
      <c r="K701" s="595">
        <v>4020000</v>
      </c>
      <c r="L701" s="596" t="s">
        <v>162</v>
      </c>
      <c r="M701" s="596" t="s">
        <v>47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>x</v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IF(OR(TH!L701=TH!$U$7,M701=TH!$U$7),"x","")</f>
        <v/>
      </c>
      <c r="V701" s="52" t="str">
        <f>IF(AND(B701&gt;='IN-NX'!$P$3,B701&lt;='IN-NX'!$Q$3,'IN-NX'!$D$7=D701,OR(LEFT(L701,2)="15",AND(LEFT(M701,2)&lt;&gt;"15",LEFT(M701,2)&lt;&gt;"33"))),"x","")</f>
        <v/>
      </c>
      <c r="W701" s="52" t="str">
        <f>IF(AND(OR(LEFT(TH!L701,2)="15",LEFT(TH!M701,2)="15"),'152-CT'!$J$8=TH!F701),"x","")</f>
        <v/>
      </c>
      <c r="X701" s="52" t="str">
        <f>IF(AND(OR(LEFT(TH!L701,2)="15",LEFT(TH!M701,2)="15"),TK!$E$7=TH!F701),"x","")</f>
        <v/>
      </c>
      <c r="Y701" s="52" t="str">
        <f>IF(AND(B701&lt;=NKC!$N$8,B701&gt;=NKC!$M$8),"x","")</f>
        <v>x</v>
      </c>
      <c r="Z701" s="208" t="s">
        <v>1301</v>
      </c>
      <c r="AA701" s="208"/>
      <c r="AB701" s="208"/>
    </row>
    <row r="702" spans="1:28" ht="15.75" customHeight="1">
      <c r="A702" s="201" t="str">
        <f>IF(B702&lt;&gt;"",IF(AND(B702&gt;=_TM1,B702&lt;=_TM2,OR(TH!L702="1111",TH!M702="1111")),TH!D702,""),"")</f>
        <v/>
      </c>
      <c r="B702" s="36">
        <f t="shared" si="31"/>
        <v>9</v>
      </c>
      <c r="C702" s="188">
        <f t="shared" ref="C702:C763" si="32">E702</f>
        <v>41543</v>
      </c>
      <c r="D702" s="181" t="s">
        <v>1264</v>
      </c>
      <c r="E702" s="188">
        <v>41543</v>
      </c>
      <c r="F702" s="186" t="s">
        <v>344</v>
      </c>
      <c r="G702" s="480" t="s">
        <v>513</v>
      </c>
      <c r="H702" s="7" t="s">
        <v>368</v>
      </c>
      <c r="I702" s="250"/>
      <c r="J702" s="250"/>
      <c r="K702" s="595">
        <v>402000</v>
      </c>
      <c r="L702" s="596" t="s">
        <v>9</v>
      </c>
      <c r="M702" s="596" t="s">
        <v>47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IF(OR(TH!L702=TH!$U$7,M702=TH!$U$7),"x","")</f>
        <v/>
      </c>
      <c r="V702" s="52" t="str">
        <f>IF(AND(B702&gt;='IN-NX'!$P$3,B702&lt;='IN-NX'!$Q$3,'IN-NX'!$D$7=D702,OR(LEFT(L702,2)="15",AND(LEFT(M702,2)&lt;&gt;"15",LEFT(M702,2)&lt;&gt;"33"))),"x","")</f>
        <v/>
      </c>
      <c r="W702" s="52" t="str">
        <f>IF(AND(OR(LEFT(TH!L702,2)="15",LEFT(TH!M702,2)="15"),'152-CT'!$J$8=TH!F702),"x","")</f>
        <v/>
      </c>
      <c r="X702" s="52" t="str">
        <f>IF(AND(OR(LEFT(TH!L702,2)="15",LEFT(TH!M702,2)="15"),TK!$E$7=TH!F702),"x","")</f>
        <v/>
      </c>
      <c r="Y702" s="52" t="str">
        <f>IF(AND(B702&lt;=NKC!$N$8,B702&gt;=NKC!$M$8),"x","")</f>
        <v>x</v>
      </c>
      <c r="Z702" s="208" t="s">
        <v>1301</v>
      </c>
      <c r="AA702" s="587"/>
      <c r="AB702" s="587"/>
    </row>
    <row r="703" spans="1:28" ht="15.75" customHeight="1">
      <c r="A703" s="201" t="str">
        <f>IF(B703&lt;&gt;"",IF(AND(B703&gt;=_TM1,B703&lt;=_TM2,OR(TH!L703="1111",TH!M703="1111")),TH!D703,""),"")</f>
        <v/>
      </c>
      <c r="B703" s="36">
        <f t="shared" si="31"/>
        <v>9</v>
      </c>
      <c r="C703" s="188">
        <f t="shared" si="32"/>
        <v>41543</v>
      </c>
      <c r="D703" s="181" t="s">
        <v>1068</v>
      </c>
      <c r="E703" s="188">
        <v>41543</v>
      </c>
      <c r="F703" s="189" t="s">
        <v>1119</v>
      </c>
      <c r="G703" s="189" t="s">
        <v>905</v>
      </c>
      <c r="H703" s="190" t="s">
        <v>863</v>
      </c>
      <c r="I703" s="249">
        <v>3500</v>
      </c>
      <c r="J703" s="249">
        <v>4080</v>
      </c>
      <c r="K703" s="38">
        <f>ROUND(I703*J703,0)</f>
        <v>14280000</v>
      </c>
      <c r="L703" s="191" t="s">
        <v>262</v>
      </c>
      <c r="M703" s="191" t="s">
        <v>172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IF(OR(TH!L703=TH!$U$7,M703=TH!$U$7),"x","")</f>
        <v/>
      </c>
      <c r="V703" s="52" t="str">
        <f>IF(AND(B703&gt;='IN-NX'!$P$3,B703&lt;='IN-NX'!$Q$3,'IN-NX'!$D$7=D703,OR(LEFT(L703,2)="15",AND(LEFT(M703,2)&lt;&gt;"15",LEFT(M703,2)&lt;&gt;"33"))),"x","")</f>
        <v/>
      </c>
      <c r="W703" s="52" t="str">
        <f>IF(AND(OR(LEFT(TH!L703,2)="15",LEFT(TH!M703,2)="15"),'152-CT'!$J$8=TH!F703),"x","")</f>
        <v/>
      </c>
      <c r="X703" s="52" t="str">
        <f>IF(AND(OR(LEFT(TH!L703,2)="15",LEFT(TH!M703,2)="15"),TK!$E$7=TH!F703),"x","")</f>
        <v/>
      </c>
      <c r="Y703" s="52" t="str">
        <f>IF(AND(B703&lt;=NKC!$N$8,B703&gt;=NKC!$M$8),"x","")</f>
        <v>x</v>
      </c>
      <c r="Z703" s="587"/>
      <c r="AA703" s="587"/>
      <c r="AB703" s="208"/>
    </row>
    <row r="704" spans="1:28" ht="15.75" customHeight="1">
      <c r="A704" s="201" t="str">
        <f>IF(B704&lt;&gt;"",IF(AND(B704&gt;=_TM1,B704&lt;=_TM2,OR(TH!L704="1111",TH!M704="1111")),TH!D704,""),"")</f>
        <v/>
      </c>
      <c r="B704" s="36">
        <f t="shared" si="31"/>
        <v>9</v>
      </c>
      <c r="C704" s="188">
        <f t="shared" si="32"/>
        <v>41543</v>
      </c>
      <c r="D704" s="181" t="s">
        <v>1068</v>
      </c>
      <c r="E704" s="188">
        <v>41543</v>
      </c>
      <c r="F704" s="189" t="s">
        <v>693</v>
      </c>
      <c r="G704" s="189" t="s">
        <v>905</v>
      </c>
      <c r="H704" s="190" t="s">
        <v>863</v>
      </c>
      <c r="I704" s="249"/>
      <c r="J704" s="249"/>
      <c r="K704" s="38">
        <v>1428000</v>
      </c>
      <c r="L704" s="191" t="s">
        <v>262</v>
      </c>
      <c r="M704" s="191" t="s">
        <v>425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IF(OR(TH!L704=TH!$U$7,M704=TH!$U$7),"x","")</f>
        <v/>
      </c>
      <c r="V704" s="52" t="str">
        <f>IF(AND(B704&gt;='IN-NX'!$P$3,B704&lt;='IN-NX'!$Q$3,'IN-NX'!$D$7=D704,OR(LEFT(L704,2)="15",AND(LEFT(M704,2)&lt;&gt;"15",LEFT(M704,2)&lt;&gt;"33"))),"x","")</f>
        <v/>
      </c>
      <c r="W704" s="52" t="str">
        <f>IF(AND(OR(LEFT(TH!L704,2)="15",LEFT(TH!M704,2)="15"),'152-CT'!$J$8=TH!F704),"x","")</f>
        <v/>
      </c>
      <c r="X704" s="52" t="str">
        <f>IF(AND(OR(LEFT(TH!L704,2)="15",LEFT(TH!M704,2)="15"),TK!$E$7=TH!F704),"x","")</f>
        <v/>
      </c>
      <c r="Y704" s="52" t="str">
        <f>IF(AND(B704&lt;=NKC!$N$8,B704&gt;=NKC!$M$8),"x","")</f>
        <v>x</v>
      </c>
      <c r="Z704" s="208"/>
      <c r="AA704" s="587" t="str">
        <f>IF(VLOOKUP(H704,DS_131,1,0)&lt;&gt;"","","x")</f>
        <v/>
      </c>
      <c r="AB704" s="208"/>
    </row>
    <row r="705" spans="1:28" ht="15.75" customHeight="1">
      <c r="A705" s="201" t="str">
        <f>IF(B705&lt;&gt;"",IF(AND(B705&gt;=_TM1,B705&lt;=_TM2,OR(TH!L705="1111",TH!M705="1111")),TH!D705,""),"")</f>
        <v/>
      </c>
      <c r="B705" s="36">
        <f t="shared" si="31"/>
        <v>9</v>
      </c>
      <c r="C705" s="188">
        <f t="shared" si="32"/>
        <v>41544</v>
      </c>
      <c r="D705" s="181" t="s">
        <v>399</v>
      </c>
      <c r="E705" s="188">
        <v>41544</v>
      </c>
      <c r="F705" s="186" t="s">
        <v>431</v>
      </c>
      <c r="G705" s="480" t="s">
        <v>514</v>
      </c>
      <c r="H705" s="7" t="s">
        <v>368</v>
      </c>
      <c r="I705" s="249"/>
      <c r="J705" s="249"/>
      <c r="K705" s="595">
        <v>3920000</v>
      </c>
      <c r="L705" s="596" t="s">
        <v>162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>x</v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IF(OR(TH!L705=TH!$U$7,M705=TH!$U$7),"x","")</f>
        <v/>
      </c>
      <c r="V705" s="52" t="str">
        <f>IF(AND(B705&gt;='IN-NX'!$P$3,B705&lt;='IN-NX'!$Q$3,'IN-NX'!$D$7=D705,OR(LEFT(L705,2)="15",AND(LEFT(M705,2)&lt;&gt;"15",LEFT(M705,2)&lt;&gt;"33"))),"x","")</f>
        <v/>
      </c>
      <c r="W705" s="52" t="str">
        <f>IF(AND(OR(LEFT(TH!L705,2)="15",LEFT(TH!M705,2)="15"),'152-CT'!$J$8=TH!F705),"x","")</f>
        <v/>
      </c>
      <c r="X705" s="52" t="str">
        <f>IF(AND(OR(LEFT(TH!L705,2)="15",LEFT(TH!M705,2)="15"),TK!$E$7=TH!F705),"x","")</f>
        <v/>
      </c>
      <c r="Y705" s="52" t="str">
        <f>IF(AND(B705&lt;=NKC!$N$8,B705&gt;=NKC!$M$8),"x","")</f>
        <v>x</v>
      </c>
      <c r="Z705" s="208" t="s">
        <v>1301</v>
      </c>
    </row>
    <row r="706" spans="1:28" ht="15.75" customHeight="1">
      <c r="A706" s="201" t="str">
        <f>IF(B706&lt;&gt;"",IF(AND(B706&gt;=_TM1,B706&lt;=_TM2,OR(TH!L706="1111",TH!M706="1111")),TH!D706,""),"")</f>
        <v/>
      </c>
      <c r="B706" s="36">
        <f t="shared" si="31"/>
        <v>9</v>
      </c>
      <c r="C706" s="188">
        <f t="shared" si="32"/>
        <v>41544</v>
      </c>
      <c r="D706" s="181" t="s">
        <v>399</v>
      </c>
      <c r="E706" s="188">
        <v>41544</v>
      </c>
      <c r="F706" s="186" t="s">
        <v>344</v>
      </c>
      <c r="G706" s="480" t="s">
        <v>514</v>
      </c>
      <c r="H706" s="7" t="s">
        <v>368</v>
      </c>
      <c r="I706" s="250"/>
      <c r="J706" s="250"/>
      <c r="K706" s="595">
        <v>392000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IF(OR(TH!L706=TH!$U$7,M706=TH!$U$7),"x","")</f>
        <v/>
      </c>
      <c r="V706" s="52" t="str">
        <f>IF(AND(B706&gt;='IN-NX'!$P$3,B706&lt;='IN-NX'!$Q$3,'IN-NX'!$D$7=D706,OR(LEFT(L706,2)="15",AND(LEFT(M706,2)&lt;&gt;"15",LEFT(M706,2)&lt;&gt;"33"))),"x","")</f>
        <v/>
      </c>
      <c r="W706" s="52" t="str">
        <f>IF(AND(OR(LEFT(TH!L706,2)="15",LEFT(TH!M706,2)="15"),'152-CT'!$J$8=TH!F706),"x","")</f>
        <v/>
      </c>
      <c r="X706" s="52" t="str">
        <f>IF(AND(OR(LEFT(TH!L706,2)="15",LEFT(TH!M706,2)="15"),TK!$E$7=TH!F706),"x","")</f>
        <v/>
      </c>
      <c r="Y706" s="52" t="str">
        <f>IF(AND(B706&lt;=NKC!$N$8,B706&gt;=NKC!$M$8),"x","")</f>
        <v>x</v>
      </c>
      <c r="Z706" s="208" t="s">
        <v>1301</v>
      </c>
    </row>
    <row r="707" spans="1:28" ht="15.75" customHeight="1">
      <c r="A707" s="201" t="str">
        <f>IF(B707&lt;&gt;"",IF(AND(B707&gt;=_TM1,B707&lt;=_TM2,OR(TH!L707="1111",TH!M707="1111")),TH!D707,""),"")</f>
        <v/>
      </c>
      <c r="B707" s="36">
        <f t="shared" si="31"/>
        <v>9</v>
      </c>
      <c r="C707" s="771">
        <f t="shared" si="32"/>
        <v>41547</v>
      </c>
      <c r="D707" s="771" t="s">
        <v>339</v>
      </c>
      <c r="E707" s="771">
        <v>41547</v>
      </c>
      <c r="F707" s="696" t="s">
        <v>1255</v>
      </c>
      <c r="G707" s="697"/>
      <c r="H707" s="609"/>
      <c r="I707" s="477"/>
      <c r="J707" s="477"/>
      <c r="K707" s="698">
        <v>5820000</v>
      </c>
      <c r="L707" s="699" t="s">
        <v>83</v>
      </c>
      <c r="M707" s="699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IF(OR(TH!L707=TH!$U$7,M707=TH!$U$7),"x","")</f>
        <v>x</v>
      </c>
      <c r="V707" s="52" t="str">
        <f>IF(AND(B707&gt;='IN-NX'!$P$3,B707&lt;='IN-NX'!$Q$3,'IN-NX'!$D$7=D707,OR(LEFT(L707,2)="15",AND(LEFT(M707,2)&lt;&gt;"15",LEFT(M707,2)&lt;&gt;"33"))),"x","")</f>
        <v/>
      </c>
      <c r="W707" s="52" t="str">
        <f>IF(AND(OR(LEFT(TH!L707,2)="15",LEFT(TH!M707,2)="15"),'152-CT'!$J$8=TH!F707),"x","")</f>
        <v/>
      </c>
      <c r="X707" s="52" t="str">
        <f>IF(AND(OR(LEFT(TH!L707,2)="15",LEFT(TH!M707,2)="15"),TK!$E$7=TH!F707),"x","")</f>
        <v/>
      </c>
      <c r="Y707" s="52" t="str">
        <f>IF(AND(B707&lt;=NKC!$N$8,B707&gt;=NKC!$M$8),"x","")</f>
        <v>x</v>
      </c>
    </row>
    <row r="708" spans="1:28" ht="15.75" customHeight="1">
      <c r="A708" s="201" t="str">
        <f>IF(B708&lt;&gt;"",IF(AND(B708&gt;=_TM1,B708&lt;=_TM2,OR(TH!L708="1111",TH!M708="1111")),TH!D708,""),"")</f>
        <v/>
      </c>
      <c r="B708" s="36">
        <f t="shared" si="31"/>
        <v>9</v>
      </c>
      <c r="C708" s="771">
        <f t="shared" si="32"/>
        <v>41547</v>
      </c>
      <c r="D708" s="771" t="s">
        <v>339</v>
      </c>
      <c r="E708" s="771">
        <v>41547</v>
      </c>
      <c r="F708" s="696" t="s">
        <v>1256</v>
      </c>
      <c r="G708" s="697"/>
      <c r="H708" s="609"/>
      <c r="I708" s="477"/>
      <c r="J708" s="477"/>
      <c r="K708" s="698">
        <v>7480000</v>
      </c>
      <c r="L708" s="699" t="s">
        <v>162</v>
      </c>
      <c r="M708" s="699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IF(OR(TH!L708=TH!$U$7,M708=TH!$U$7),"x","")</f>
        <v/>
      </c>
      <c r="V708" s="52" t="str">
        <f>IF(AND(B708&gt;='IN-NX'!$P$3,B708&lt;='IN-NX'!$Q$3,'IN-NX'!$D$7=D708,OR(LEFT(L708,2)="15",AND(LEFT(M708,2)&lt;&gt;"15",LEFT(M708,2)&lt;&gt;"33"))),"x","")</f>
        <v/>
      </c>
      <c r="W708" s="52" t="str">
        <f>IF(AND(OR(LEFT(TH!L708,2)="15",LEFT(TH!M708,2)="15"),'152-CT'!$J$8=TH!F708),"x","")</f>
        <v/>
      </c>
      <c r="X708" s="52" t="str">
        <f>IF(AND(OR(LEFT(TH!L708,2)="15",LEFT(TH!M708,2)="15"),TK!$E$7=TH!F708),"x","")</f>
        <v/>
      </c>
      <c r="Y708" s="52" t="str">
        <f>IF(AND(B708&lt;=NKC!$N$8,B708&gt;=NKC!$M$8),"x","")</f>
        <v>x</v>
      </c>
    </row>
    <row r="709" spans="1:28" ht="15.75" customHeight="1">
      <c r="A709" s="201" t="str">
        <f>IF(B709&lt;&gt;"",IF(AND(B709&gt;=_TM1,B709&lt;=_TM2,OR(TH!L709="1111",TH!M709="1111")),TH!D709,""),"")</f>
        <v/>
      </c>
      <c r="B709" s="36">
        <f t="shared" si="31"/>
        <v>9</v>
      </c>
      <c r="C709" s="771">
        <f t="shared" si="32"/>
        <v>41547</v>
      </c>
      <c r="D709" s="771" t="s">
        <v>1265</v>
      </c>
      <c r="E709" s="771">
        <v>41547</v>
      </c>
      <c r="F709" s="696" t="str">
        <f>"Thanh toán tiền lương tháng "&amp;MONTH(E709)&amp;"/"&amp;YEAR(E709)</f>
        <v>Thanh toán tiền lương tháng 9/2013</v>
      </c>
      <c r="G709" s="697"/>
      <c r="H709" s="609" t="s">
        <v>364</v>
      </c>
      <c r="I709" s="477"/>
      <c r="J709" s="477"/>
      <c r="K709" s="698">
        <f>K707+K708</f>
        <v>13300000</v>
      </c>
      <c r="L709" s="699" t="s">
        <v>265</v>
      </c>
      <c r="M709" s="699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>x</v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IF(OR(TH!L709=TH!$U$7,M709=TH!$U$7),"x","")</f>
        <v/>
      </c>
      <c r="V709" s="52" t="str">
        <f>IF(AND(B709&gt;='IN-NX'!$P$3,B709&lt;='IN-NX'!$Q$3,'IN-NX'!$D$7=D709,OR(LEFT(L709,2)="15",AND(LEFT(M709,2)&lt;&gt;"15",LEFT(M709,2)&lt;&gt;"33"))),"x","")</f>
        <v/>
      </c>
      <c r="W709" s="52" t="str">
        <f>IF(AND(OR(LEFT(TH!L709,2)="15",LEFT(TH!M709,2)="15"),'152-CT'!$J$8=TH!F709),"x","")</f>
        <v/>
      </c>
      <c r="X709" s="52" t="str">
        <f>IF(AND(OR(LEFT(TH!L709,2)="15",LEFT(TH!M709,2)="15"),TK!$E$7=TH!F709),"x","")</f>
        <v/>
      </c>
      <c r="Y709" s="52" t="str">
        <f>IF(AND(B709&lt;=NKC!$N$8,B709&gt;=NKC!$M$8),"x","")</f>
        <v>x</v>
      </c>
    </row>
    <row r="710" spans="1:28" ht="15.75" customHeight="1">
      <c r="A710" s="201" t="str">
        <f>IF(B710&lt;&gt;"",IF(AND(B710&gt;=_TM1,B710&lt;=_TM2,OR(TH!L710="1111",TH!M710="1111")),TH!D710,""),"")</f>
        <v/>
      </c>
      <c r="B710" s="36">
        <f t="shared" si="31"/>
        <v>9</v>
      </c>
      <c r="C710" s="181">
        <f t="shared" si="32"/>
        <v>41547</v>
      </c>
      <c r="D710" s="181" t="s">
        <v>335</v>
      </c>
      <c r="E710" s="188">
        <v>41547</v>
      </c>
      <c r="F710" s="186" t="s">
        <v>337</v>
      </c>
      <c r="G710" s="597" t="s">
        <v>332</v>
      </c>
      <c r="H710" s="7" t="s">
        <v>506</v>
      </c>
      <c r="I710" s="250"/>
      <c r="J710" s="251"/>
      <c r="K710" s="38">
        <v>14819200</v>
      </c>
      <c r="L710" s="596" t="s">
        <v>24</v>
      </c>
      <c r="M710" s="596" t="s">
        <v>262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52" t="str">
        <f>IF(OR(TH!L710=TH!$U$7,M710=TH!$U$7),"x","")</f>
        <v/>
      </c>
      <c r="V710" s="52" t="str">
        <f>IF(AND(B710&gt;='IN-NX'!$P$3,B710&lt;='IN-NX'!$Q$3,'IN-NX'!$D$7=D710,OR(LEFT(L710,2)="15",AND(LEFT(M710,2)&lt;&gt;"15",LEFT(M710,2)&lt;&gt;"33"))),"x","")</f>
        <v/>
      </c>
      <c r="W710" s="52" t="str">
        <f>IF(AND(OR(LEFT(TH!L710,2)="15",LEFT(TH!M710,2)="15"),'152-CT'!$J$8=TH!F710),"x","")</f>
        <v/>
      </c>
      <c r="X710" s="52" t="str">
        <f>IF(AND(OR(LEFT(TH!L710,2)="15",LEFT(TH!M710,2)="15"),TK!$E$7=TH!F710),"x","")</f>
        <v/>
      </c>
      <c r="Y710" s="52" t="str">
        <f>IF(AND(B710&lt;=NKC!$N$8,B710&gt;=NKC!$M$8),"x","")</f>
        <v>x</v>
      </c>
      <c r="Z710" s="208"/>
    </row>
    <row r="711" spans="1:28" ht="15.75" customHeight="1">
      <c r="A711" s="201" t="str">
        <f>IF(B711&lt;&gt;"",IF(AND(B711&gt;=_TM1,B711&lt;=_TM2,OR(TH!L711="1111",TH!M711="1111")),TH!D711,""),"")</f>
        <v/>
      </c>
      <c r="B711" s="36">
        <f t="shared" si="31"/>
        <v>9</v>
      </c>
      <c r="C711" s="188">
        <f t="shared" si="32"/>
        <v>41547</v>
      </c>
      <c r="D711" s="181" t="s">
        <v>1266</v>
      </c>
      <c r="E711" s="188">
        <v>41547</v>
      </c>
      <c r="F711" s="186" t="s">
        <v>431</v>
      </c>
      <c r="G711" s="480" t="s">
        <v>515</v>
      </c>
      <c r="H711" s="7" t="s">
        <v>368</v>
      </c>
      <c r="I711" s="249"/>
      <c r="J711" s="249"/>
      <c r="K711" s="595">
        <v>1520000</v>
      </c>
      <c r="L711" s="596" t="s">
        <v>162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>x</v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IF(OR(TH!L711=TH!$U$7,M711=TH!$U$7),"x","")</f>
        <v/>
      </c>
      <c r="V711" s="52" t="str">
        <f>IF(AND(B711&gt;='IN-NX'!$P$3,B711&lt;='IN-NX'!$Q$3,'IN-NX'!$D$7=D711,OR(LEFT(L711,2)="15",AND(LEFT(M711,2)&lt;&gt;"15",LEFT(M711,2)&lt;&gt;"33"))),"x","")</f>
        <v/>
      </c>
      <c r="W711" s="52" t="str">
        <f>IF(AND(OR(LEFT(TH!L711,2)="15",LEFT(TH!M711,2)="15"),'152-CT'!$J$8=TH!F711),"x","")</f>
        <v/>
      </c>
      <c r="X711" s="52" t="str">
        <f>IF(AND(OR(LEFT(TH!L711,2)="15",LEFT(TH!M711,2)="15"),TK!$E$7=TH!F711),"x","")</f>
        <v/>
      </c>
      <c r="Y711" s="52" t="str">
        <f>IF(AND(B711&lt;=NKC!$N$8,B711&gt;=NKC!$M$8),"x","")</f>
        <v>x</v>
      </c>
      <c r="Z711" s="208" t="s">
        <v>1301</v>
      </c>
    </row>
    <row r="712" spans="1:28" ht="15.75" customHeight="1">
      <c r="A712" s="201" t="str">
        <f>IF(B712&lt;&gt;"",IF(AND(B712&gt;=_TM1,B712&lt;=_TM2,OR(TH!L712="1111",TH!M712="1111")),TH!D712,""),"")</f>
        <v/>
      </c>
      <c r="B712" s="36">
        <f t="shared" si="31"/>
        <v>9</v>
      </c>
      <c r="C712" s="188">
        <f t="shared" si="32"/>
        <v>41547</v>
      </c>
      <c r="D712" s="181" t="s">
        <v>1266</v>
      </c>
      <c r="E712" s="188">
        <v>41547</v>
      </c>
      <c r="F712" s="186" t="s">
        <v>344</v>
      </c>
      <c r="G712" s="480" t="s">
        <v>515</v>
      </c>
      <c r="H712" s="7" t="s">
        <v>368</v>
      </c>
      <c r="I712" s="250"/>
      <c r="J712" s="250"/>
      <c r="K712" s="595">
        <v>152000</v>
      </c>
      <c r="L712" s="596" t="s">
        <v>9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IF(OR(TH!L712=TH!$U$7,M712=TH!$U$7),"x","")</f>
        <v/>
      </c>
      <c r="V712" s="52" t="str">
        <f>IF(AND(B712&gt;='IN-NX'!$P$3,B712&lt;='IN-NX'!$Q$3,'IN-NX'!$D$7=D712,OR(LEFT(L712,2)="15",AND(LEFT(M712,2)&lt;&gt;"15",LEFT(M712,2)&lt;&gt;"33"))),"x","")</f>
        <v/>
      </c>
      <c r="W712" s="52" t="str">
        <f>IF(AND(OR(LEFT(TH!L712,2)="15",LEFT(TH!M712,2)="15"),'152-CT'!$J$8=TH!F712),"x","")</f>
        <v/>
      </c>
      <c r="X712" s="52" t="str">
        <f>IF(AND(OR(LEFT(TH!L712,2)="15",LEFT(TH!M712,2)="15"),TK!$E$7=TH!F712),"x","")</f>
        <v/>
      </c>
      <c r="Y712" s="52" t="str">
        <f>IF(AND(B712&lt;=NKC!$N$8,B712&gt;=NKC!$M$8),"x","")</f>
        <v>x</v>
      </c>
      <c r="Z712" s="208" t="s">
        <v>1301</v>
      </c>
    </row>
    <row r="713" spans="1:28" ht="15.75" customHeight="1">
      <c r="A713" s="201" t="str">
        <f>IF(B713&lt;&gt;"",IF(AND(B713&gt;=_TM1,B713&lt;=_TM2,OR(TH!L713="1111",TH!M713="1111")),TH!D713,""),"")</f>
        <v/>
      </c>
      <c r="B713" s="36">
        <f t="shared" si="31"/>
        <v>9</v>
      </c>
      <c r="C713" s="188">
        <f t="shared" si="32"/>
        <v>41547</v>
      </c>
      <c r="D713" s="181" t="s">
        <v>1069</v>
      </c>
      <c r="E713" s="188">
        <v>41547</v>
      </c>
      <c r="F713" s="189" t="s">
        <v>805</v>
      </c>
      <c r="G713" s="480" t="s">
        <v>906</v>
      </c>
      <c r="H713" s="190" t="s">
        <v>710</v>
      </c>
      <c r="I713" s="249">
        <v>1004</v>
      </c>
      <c r="J713" s="249">
        <v>10500</v>
      </c>
      <c r="K713" s="38">
        <f>ROUND(I713*J713,0)</f>
        <v>10542000</v>
      </c>
      <c r="L713" s="191" t="s">
        <v>262</v>
      </c>
      <c r="M713" s="191" t="s">
        <v>172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IF(OR(TH!L713=TH!$U$7,M713=TH!$U$7),"x","")</f>
        <v/>
      </c>
      <c r="V713" s="52" t="str">
        <f>IF(AND(B713&gt;='IN-NX'!$P$3,B713&lt;='IN-NX'!$Q$3,'IN-NX'!$D$7=D713,OR(LEFT(L713,2)="15",AND(LEFT(M713,2)&lt;&gt;"15",LEFT(M713,2)&lt;&gt;"33"))),"x","")</f>
        <v/>
      </c>
      <c r="W713" s="52" t="str">
        <f>IF(AND(OR(LEFT(TH!L713,2)="15",LEFT(TH!M713,2)="15"),'152-CT'!$J$8=TH!F713),"x","")</f>
        <v/>
      </c>
      <c r="X713" s="52" t="str">
        <f>IF(AND(OR(LEFT(TH!L713,2)="15",LEFT(TH!M713,2)="15"),TK!$E$7=TH!F713),"x","")</f>
        <v/>
      </c>
      <c r="Y713" s="52" t="str">
        <f>IF(AND(B713&lt;=NKC!$N$8,B713&gt;=NKC!$M$8),"x","")</f>
        <v>x</v>
      </c>
      <c r="Z713" s="587"/>
      <c r="AA713" s="587"/>
      <c r="AB713" s="208"/>
    </row>
    <row r="714" spans="1:28" ht="15.75" customHeight="1">
      <c r="A714" s="201" t="str">
        <f>IF(B714&lt;&gt;"",IF(AND(B714&gt;=_TM1,B714&lt;=_TM2,OR(TH!L714="1111",TH!M714="1111")),TH!D714,""),"")</f>
        <v/>
      </c>
      <c r="B714" s="36">
        <f t="shared" si="31"/>
        <v>9</v>
      </c>
      <c r="C714" s="188">
        <f t="shared" si="32"/>
        <v>41547</v>
      </c>
      <c r="D714" s="181" t="s">
        <v>1069</v>
      </c>
      <c r="E714" s="188">
        <v>41547</v>
      </c>
      <c r="F714" s="189" t="s">
        <v>693</v>
      </c>
      <c r="G714" s="480" t="s">
        <v>906</v>
      </c>
      <c r="H714" s="190" t="s">
        <v>710</v>
      </c>
      <c r="I714" s="249"/>
      <c r="J714" s="249"/>
      <c r="K714" s="38">
        <v>1054200</v>
      </c>
      <c r="L714" s="191" t="s">
        <v>262</v>
      </c>
      <c r="M714" s="191" t="s">
        <v>425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IF(OR(TH!L714=TH!$U$7,M714=TH!$U$7),"x","")</f>
        <v/>
      </c>
      <c r="V714" s="52" t="str">
        <f>IF(AND(B714&gt;='IN-NX'!$P$3,B714&lt;='IN-NX'!$Q$3,'IN-NX'!$D$7=D714,OR(LEFT(L714,2)="15",AND(LEFT(M714,2)&lt;&gt;"15",LEFT(M714,2)&lt;&gt;"33"))),"x","")</f>
        <v/>
      </c>
      <c r="W714" s="52" t="str">
        <f>IF(AND(OR(LEFT(TH!L714,2)="15",LEFT(TH!M714,2)="15"),'152-CT'!$J$8=TH!F714),"x","")</f>
        <v/>
      </c>
      <c r="X714" s="52" t="str">
        <f>IF(AND(OR(LEFT(TH!L714,2)="15",LEFT(TH!M714,2)="15"),TK!$E$7=TH!F714),"x","")</f>
        <v/>
      </c>
      <c r="Y714" s="52" t="str">
        <f>IF(AND(B714&lt;=NKC!$N$8,B714&gt;=NKC!$M$8),"x","")</f>
        <v>x</v>
      </c>
      <c r="Z714" s="208"/>
      <c r="AA714" s="587" t="str">
        <f>IF(VLOOKUP(H714,DS_131,1,0)&lt;&gt;"","","x")</f>
        <v/>
      </c>
      <c r="AB714" s="208"/>
    </row>
    <row r="715" spans="1:28" ht="15.75" customHeight="1">
      <c r="A715" s="201" t="str">
        <f>IF(B715&lt;&gt;"",IF(AND(B715&gt;=_TM1,B715&lt;=_TM2,OR(TH!L715="1111",TH!M715="1111")),TH!D715,""),"")</f>
        <v/>
      </c>
      <c r="B715" s="36">
        <f t="shared" si="31"/>
        <v>9</v>
      </c>
      <c r="C715" s="188">
        <f t="shared" si="32"/>
        <v>41547</v>
      </c>
      <c r="D715" s="181" t="s">
        <v>1274</v>
      </c>
      <c r="E715" s="188">
        <v>41547</v>
      </c>
      <c r="F715" s="186" t="s">
        <v>337</v>
      </c>
      <c r="G715" s="480" t="s">
        <v>1324</v>
      </c>
      <c r="H715" s="190" t="s">
        <v>710</v>
      </c>
      <c r="I715" s="249"/>
      <c r="J715" s="249"/>
      <c r="K715" s="38">
        <v>23053800</v>
      </c>
      <c r="L715" s="191" t="s">
        <v>47</v>
      </c>
      <c r="M715" s="191" t="s">
        <v>262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IF(OR(TH!L715=TH!$U$7,M715=TH!$U$7),"x","")</f>
        <v/>
      </c>
      <c r="V715" s="52" t="str">
        <f>IF(AND(B715&gt;='IN-NX'!$P$3,B715&lt;='IN-NX'!$Q$3,'IN-NX'!$D$7=D715,OR(LEFT(L715,2)="15",AND(LEFT(M715,2)&lt;&gt;"15",LEFT(M715,2)&lt;&gt;"33"))),"x","")</f>
        <v/>
      </c>
      <c r="W715" s="52" t="str">
        <f>IF(AND(OR(LEFT(TH!L715,2)="15",LEFT(TH!M715,2)="15"),'152-CT'!$J$8=TH!F715),"x","")</f>
        <v/>
      </c>
      <c r="X715" s="52" t="str">
        <f>IF(AND(OR(LEFT(TH!L715,2)="15",LEFT(TH!M715,2)="15"),TK!$E$7=TH!F715),"x","")</f>
        <v/>
      </c>
      <c r="Y715" s="52" t="str">
        <f>IF(AND(B715&lt;=NKC!$N$8,B715&gt;=NKC!$M$8),"x","")</f>
        <v>x</v>
      </c>
      <c r="Z715" s="208"/>
      <c r="AA715" s="587" t="str">
        <f>IF(VLOOKUP(H715,DS_131,1,0)&lt;&gt;"","","x")</f>
        <v/>
      </c>
      <c r="AB715" s="208"/>
    </row>
    <row r="716" spans="1:28" ht="15.75" customHeight="1">
      <c r="A716" s="201" t="str">
        <f>IF(B716&lt;&gt;"",IF(AND(B716&gt;=_TM1,B716&lt;=_TM2,OR(TH!L716="1111",TH!M716="1111")),TH!D716,""),"")</f>
        <v/>
      </c>
      <c r="B716" s="36">
        <f t="shared" si="31"/>
        <v>9</v>
      </c>
      <c r="C716" s="188">
        <f t="shared" si="32"/>
        <v>41547</v>
      </c>
      <c r="D716" s="181" t="s">
        <v>1070</v>
      </c>
      <c r="E716" s="188">
        <v>41547</v>
      </c>
      <c r="F716" s="189" t="s">
        <v>907</v>
      </c>
      <c r="G716" s="480" t="s">
        <v>908</v>
      </c>
      <c r="H716" s="190" t="s">
        <v>517</v>
      </c>
      <c r="I716" s="249">
        <v>525</v>
      </c>
      <c r="J716" s="249">
        <v>18600</v>
      </c>
      <c r="K716" s="38">
        <f>ROUND(I716*J716,0)</f>
        <v>9765000</v>
      </c>
      <c r="L716" s="191" t="s">
        <v>262</v>
      </c>
      <c r="M716" s="191" t="s">
        <v>172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IF(OR(TH!L716=TH!$U$7,M716=TH!$U$7),"x","")</f>
        <v/>
      </c>
      <c r="V716" s="52" t="str">
        <f>IF(AND(B716&gt;='IN-NX'!$P$3,B716&lt;='IN-NX'!$Q$3,'IN-NX'!$D$7=D716,OR(LEFT(L716,2)="15",AND(LEFT(M716,2)&lt;&gt;"15",LEFT(M716,2)&lt;&gt;"33"))),"x","")</f>
        <v/>
      </c>
      <c r="W716" s="52" t="str">
        <f>IF(AND(OR(LEFT(TH!L716,2)="15",LEFT(TH!M716,2)="15"),'152-CT'!$J$8=TH!F716),"x","")</f>
        <v/>
      </c>
      <c r="X716" s="52" t="str">
        <f>IF(AND(OR(LEFT(TH!L716,2)="15",LEFT(TH!M716,2)="15"),TK!$E$7=TH!F716),"x","")</f>
        <v/>
      </c>
      <c r="Y716" s="52" t="str">
        <f>IF(AND(B716&lt;=NKC!$N$8,B716&gt;=NKC!$M$8),"x","")</f>
        <v>x</v>
      </c>
      <c r="Z716" s="587"/>
      <c r="AA716" s="587"/>
      <c r="AB716" s="208"/>
    </row>
    <row r="717" spans="1:28" ht="15.75" customHeight="1">
      <c r="A717" s="201" t="str">
        <f>IF(B717&lt;&gt;"",IF(AND(B717&gt;=_TM1,B717&lt;=_TM2,OR(TH!L717="1111",TH!M717="1111")),TH!D717,""),"")</f>
        <v/>
      </c>
      <c r="B717" s="36">
        <f t="shared" si="31"/>
        <v>9</v>
      </c>
      <c r="C717" s="188">
        <f t="shared" si="32"/>
        <v>41547</v>
      </c>
      <c r="D717" s="181" t="s">
        <v>1070</v>
      </c>
      <c r="E717" s="188">
        <v>41547</v>
      </c>
      <c r="F717" s="189" t="s">
        <v>909</v>
      </c>
      <c r="G717" s="480" t="s">
        <v>908</v>
      </c>
      <c r="H717" s="190" t="s">
        <v>517</v>
      </c>
      <c r="I717" s="249">
        <v>344</v>
      </c>
      <c r="J717" s="249">
        <v>16300</v>
      </c>
      <c r="K717" s="38">
        <f>ROUND(I717*J717,0)</f>
        <v>5607200</v>
      </c>
      <c r="L717" s="191" t="s">
        <v>262</v>
      </c>
      <c r="M717" s="191" t="s">
        <v>172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IF(OR(TH!L717=TH!$U$7,M717=TH!$U$7),"x","")</f>
        <v/>
      </c>
      <c r="V717" s="52" t="str">
        <f>IF(AND(B717&gt;='IN-NX'!$P$3,B717&lt;='IN-NX'!$Q$3,'IN-NX'!$D$7=D717,OR(LEFT(L717,2)="15",AND(LEFT(M717,2)&lt;&gt;"15",LEFT(M717,2)&lt;&gt;"33"))),"x","")</f>
        <v/>
      </c>
      <c r="W717" s="52" t="str">
        <f>IF(AND(OR(LEFT(TH!L717,2)="15",LEFT(TH!M717,2)="15"),'152-CT'!$J$8=TH!F717),"x","")</f>
        <v/>
      </c>
      <c r="X717" s="52" t="str">
        <f>IF(AND(OR(LEFT(TH!L717,2)="15",LEFT(TH!M717,2)="15"),TK!$E$7=TH!F717),"x","")</f>
        <v/>
      </c>
      <c r="Y717" s="52" t="str">
        <f>IF(AND(B717&lt;=NKC!$N$8,B717&gt;=NKC!$M$8),"x","")</f>
        <v>x</v>
      </c>
      <c r="Z717" s="208"/>
      <c r="AA717" s="587"/>
      <c r="AB717" s="208"/>
    </row>
    <row r="718" spans="1:28" ht="15.75" customHeight="1">
      <c r="A718" s="201" t="str">
        <f>IF(B718&lt;&gt;"",IF(AND(B718&gt;=_TM1,B718&lt;=_TM2,OR(TH!L718="1111",TH!M718="1111")),TH!D718,""),"")</f>
        <v/>
      </c>
      <c r="B718" s="36">
        <f t="shared" si="31"/>
        <v>9</v>
      </c>
      <c r="C718" s="188">
        <f t="shared" si="32"/>
        <v>41547</v>
      </c>
      <c r="D718" s="181" t="s">
        <v>1070</v>
      </c>
      <c r="E718" s="188">
        <v>41547</v>
      </c>
      <c r="F718" s="189" t="s">
        <v>693</v>
      </c>
      <c r="G718" s="480" t="s">
        <v>908</v>
      </c>
      <c r="H718" s="190" t="s">
        <v>517</v>
      </c>
      <c r="I718" s="249"/>
      <c r="J718" s="249"/>
      <c r="K718" s="38">
        <v>1537220</v>
      </c>
      <c r="L718" s="191" t="s">
        <v>262</v>
      </c>
      <c r="M718" s="191" t="s">
        <v>425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IF(OR(TH!L718=TH!$U$7,M718=TH!$U$7),"x","")</f>
        <v/>
      </c>
      <c r="V718" s="52" t="str">
        <f>IF(AND(B718&gt;='IN-NX'!$P$3,B718&lt;='IN-NX'!$Q$3,'IN-NX'!$D$7=D718,OR(LEFT(L718,2)="15",AND(LEFT(M718,2)&lt;&gt;"15",LEFT(M718,2)&lt;&gt;"33"))),"x","")</f>
        <v/>
      </c>
      <c r="W718" s="52" t="str">
        <f>IF(AND(OR(LEFT(TH!L718,2)="15",LEFT(TH!M718,2)="15"),'152-CT'!$J$8=TH!F718),"x","")</f>
        <v/>
      </c>
      <c r="X718" s="52" t="str">
        <f>IF(AND(OR(LEFT(TH!L718,2)="15",LEFT(TH!M718,2)="15"),TK!$E$7=TH!F718),"x","")</f>
        <v/>
      </c>
      <c r="Y718" s="52" t="str">
        <f>IF(AND(B718&lt;=NKC!$N$8,B718&gt;=NKC!$M$8),"x","")</f>
        <v>x</v>
      </c>
      <c r="Z718" s="208"/>
      <c r="AA718" s="587" t="str">
        <f>IF(VLOOKUP(H718,DS_131,1,0)&lt;&gt;"","","x")</f>
        <v/>
      </c>
      <c r="AB718" s="208"/>
    </row>
    <row r="719" spans="1:28" ht="15.75" customHeight="1">
      <c r="A719" s="201" t="str">
        <f>IF(B719&lt;&gt;"",IF(AND(B719&gt;=_TM1,B719&lt;=_TM2,OR(TH!L719="1111",TH!M719="1111")),TH!D719,""),"")</f>
        <v/>
      </c>
      <c r="B719" s="36">
        <f t="shared" si="31"/>
        <v>9</v>
      </c>
      <c r="C719" s="188">
        <f t="shared" si="32"/>
        <v>41547</v>
      </c>
      <c r="D719" s="181" t="s">
        <v>1071</v>
      </c>
      <c r="E719" s="188">
        <v>41547</v>
      </c>
      <c r="F719" s="189" t="s">
        <v>910</v>
      </c>
      <c r="G719" s="480" t="s">
        <v>911</v>
      </c>
      <c r="H719" s="7" t="s">
        <v>1077</v>
      </c>
      <c r="I719" s="249">
        <v>499</v>
      </c>
      <c r="J719" s="249">
        <v>9470</v>
      </c>
      <c r="K719" s="38">
        <f>ROUND(I719*J719,0)</f>
        <v>4725530</v>
      </c>
      <c r="L719" s="191" t="s">
        <v>262</v>
      </c>
      <c r="M719" s="191" t="s">
        <v>172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IF(OR(TH!L719=TH!$U$7,M719=TH!$U$7),"x","")</f>
        <v/>
      </c>
      <c r="V719" s="52" t="str">
        <f>IF(AND(B719&gt;='IN-NX'!$P$3,B719&lt;='IN-NX'!$Q$3,'IN-NX'!$D$7=D719,OR(LEFT(L719,2)="15",AND(LEFT(M719,2)&lt;&gt;"15",LEFT(M719,2)&lt;&gt;"33"))),"x","")</f>
        <v/>
      </c>
      <c r="W719" s="52" t="str">
        <f>IF(AND(OR(LEFT(TH!L719,2)="15",LEFT(TH!M719,2)="15"),'152-CT'!$J$8=TH!F719),"x","")</f>
        <v/>
      </c>
      <c r="X719" s="52" t="str">
        <f>IF(AND(OR(LEFT(TH!L719,2)="15",LEFT(TH!M719,2)="15"),TK!$E$7=TH!F719),"x","")</f>
        <v/>
      </c>
      <c r="Y719" s="52" t="str">
        <f>IF(AND(B719&lt;=NKC!$N$8,B719&gt;=NKC!$M$8),"x","")</f>
        <v>x</v>
      </c>
      <c r="AA719" s="587"/>
    </row>
    <row r="720" spans="1:28" ht="15.75" customHeight="1">
      <c r="A720" s="201" t="str">
        <f>IF(B720&lt;&gt;"",IF(AND(B720&gt;=_TM1,B720&lt;=_TM2,OR(TH!L720="1111",TH!M720="1111")),TH!D720,""),"")</f>
        <v/>
      </c>
      <c r="B720" s="36">
        <f t="shared" si="31"/>
        <v>9</v>
      </c>
      <c r="C720" s="188">
        <f t="shared" si="32"/>
        <v>41547</v>
      </c>
      <c r="D720" s="181" t="s">
        <v>1071</v>
      </c>
      <c r="E720" s="188">
        <v>41547</v>
      </c>
      <c r="F720" s="189" t="s">
        <v>912</v>
      </c>
      <c r="G720" s="480" t="s">
        <v>911</v>
      </c>
      <c r="H720" s="7" t="s">
        <v>1077</v>
      </c>
      <c r="I720" s="249">
        <v>503</v>
      </c>
      <c r="J720" s="249">
        <v>4600</v>
      </c>
      <c r="K720" s="38">
        <f>ROUND(I720*J720,0)</f>
        <v>2313800</v>
      </c>
      <c r="L720" s="191" t="s">
        <v>262</v>
      </c>
      <c r="M720" s="191" t="s">
        <v>172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IF(OR(TH!L720=TH!$U$7,M720=TH!$U$7),"x","")</f>
        <v/>
      </c>
      <c r="V720" s="52" t="str">
        <f>IF(AND(B720&gt;='IN-NX'!$P$3,B720&lt;='IN-NX'!$Q$3,'IN-NX'!$D$7=D720,OR(LEFT(L720,2)="15",AND(LEFT(M720,2)&lt;&gt;"15",LEFT(M720,2)&lt;&gt;"33"))),"x","")</f>
        <v/>
      </c>
      <c r="W720" s="52" t="str">
        <f>IF(AND(OR(LEFT(TH!L720,2)="15",LEFT(TH!M720,2)="15"),'152-CT'!$J$8=TH!F720),"x","")</f>
        <v/>
      </c>
      <c r="X720" s="52" t="str">
        <f>IF(AND(OR(LEFT(TH!L720,2)="15",LEFT(TH!M720,2)="15"),TK!$E$7=TH!F720),"x","")</f>
        <v/>
      </c>
      <c r="Y720" s="52" t="str">
        <f>IF(AND(B720&lt;=NKC!$N$8,B720&gt;=NKC!$M$8),"x","")</f>
        <v>x</v>
      </c>
      <c r="AA720" s="587"/>
    </row>
    <row r="721" spans="1:28" ht="15.75" customHeight="1">
      <c r="A721" s="201" t="str">
        <f>IF(B721&lt;&gt;"",IF(AND(B721&gt;=_TM1,B721&lt;=_TM2,OR(TH!L721="1111",TH!M721="1111")),TH!D721,""),"")</f>
        <v/>
      </c>
      <c r="B721" s="36">
        <f t="shared" si="31"/>
        <v>9</v>
      </c>
      <c r="C721" s="188">
        <f t="shared" si="32"/>
        <v>41547</v>
      </c>
      <c r="D721" s="181" t="s">
        <v>1071</v>
      </c>
      <c r="E721" s="188">
        <v>41547</v>
      </c>
      <c r="F721" s="189" t="s">
        <v>912</v>
      </c>
      <c r="G721" s="480" t="s">
        <v>911</v>
      </c>
      <c r="H721" s="7" t="s">
        <v>1077</v>
      </c>
      <c r="I721" s="249">
        <v>503</v>
      </c>
      <c r="J721" s="249">
        <v>4600</v>
      </c>
      <c r="K721" s="38">
        <f>ROUND(I721*J721,0)</f>
        <v>2313800</v>
      </c>
      <c r="L721" s="191" t="s">
        <v>262</v>
      </c>
      <c r="M721" s="191" t="s">
        <v>172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IF(OR(TH!L721=TH!$U$7,M721=TH!$U$7),"x","")</f>
        <v/>
      </c>
      <c r="V721" s="52" t="str">
        <f>IF(AND(B721&gt;='IN-NX'!$P$3,B721&lt;='IN-NX'!$Q$3,'IN-NX'!$D$7=D721,OR(LEFT(L721,2)="15",AND(LEFT(M721,2)&lt;&gt;"15",LEFT(M721,2)&lt;&gt;"33"))),"x","")</f>
        <v/>
      </c>
      <c r="W721" s="52" t="str">
        <f>IF(AND(OR(LEFT(TH!L721,2)="15",LEFT(TH!M721,2)="15"),'152-CT'!$J$8=TH!F721),"x","")</f>
        <v/>
      </c>
      <c r="X721" s="52" t="str">
        <f>IF(AND(OR(LEFT(TH!L721,2)="15",LEFT(TH!M721,2)="15"),TK!$E$7=TH!F721),"x","")</f>
        <v/>
      </c>
      <c r="Y721" s="52" t="str">
        <f>IF(AND(B721&lt;=NKC!$N$8,B721&gt;=NKC!$M$8),"x","")</f>
        <v>x</v>
      </c>
      <c r="AA721" s="587"/>
    </row>
    <row r="722" spans="1:28" ht="15.75" customHeight="1">
      <c r="A722" s="201" t="str">
        <f>IF(B722&lt;&gt;"",IF(AND(B722&gt;=_TM1,B722&lt;=_TM2,OR(TH!L722="1111",TH!M722="1111")),TH!D722,""),"")</f>
        <v/>
      </c>
      <c r="B722" s="36">
        <f t="shared" si="31"/>
        <v>9</v>
      </c>
      <c r="C722" s="188">
        <f t="shared" si="32"/>
        <v>41547</v>
      </c>
      <c r="D722" s="181" t="s">
        <v>1071</v>
      </c>
      <c r="E722" s="188">
        <v>41547</v>
      </c>
      <c r="F722" s="189" t="s">
        <v>913</v>
      </c>
      <c r="G722" s="480" t="s">
        <v>911</v>
      </c>
      <c r="H722" s="7" t="s">
        <v>1077</v>
      </c>
      <c r="I722" s="249">
        <v>510</v>
      </c>
      <c r="J722" s="249">
        <v>4980</v>
      </c>
      <c r="K722" s="38">
        <f>ROUND(I722*J722,0)</f>
        <v>2539800</v>
      </c>
      <c r="L722" s="191" t="s">
        <v>262</v>
      </c>
      <c r="M722" s="191" t="s">
        <v>172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IF(OR(TH!L722=TH!$U$7,M722=TH!$U$7),"x","")</f>
        <v/>
      </c>
      <c r="V722" s="52" t="str">
        <f>IF(AND(B722&gt;='IN-NX'!$P$3,B722&lt;='IN-NX'!$Q$3,'IN-NX'!$D$7=D722,OR(LEFT(L722,2)="15",AND(LEFT(M722,2)&lt;&gt;"15",LEFT(M722,2)&lt;&gt;"33"))),"x","")</f>
        <v/>
      </c>
      <c r="W722" s="52" t="str">
        <f>IF(AND(OR(LEFT(TH!L722,2)="15",LEFT(TH!M722,2)="15"),'152-CT'!$J$8=TH!F722),"x","")</f>
        <v/>
      </c>
      <c r="X722" s="52" t="str">
        <f>IF(AND(OR(LEFT(TH!L722,2)="15",LEFT(TH!M722,2)="15"),TK!$E$7=TH!F722),"x","")</f>
        <v/>
      </c>
      <c r="Y722" s="52" t="str">
        <f>IF(AND(B722&lt;=NKC!$N$8,B722&gt;=NKC!$M$8),"x","")</f>
        <v>x</v>
      </c>
      <c r="AA722" s="587"/>
    </row>
    <row r="723" spans="1:28" ht="15.75" customHeight="1">
      <c r="A723" s="201" t="str">
        <f>IF(B723&lt;&gt;"",IF(AND(B723&gt;=_TM1,B723&lt;=_TM2,OR(TH!L723="1111",TH!M723="1111")),TH!D723,""),"")</f>
        <v/>
      </c>
      <c r="B723" s="36">
        <f t="shared" si="31"/>
        <v>9</v>
      </c>
      <c r="C723" s="188">
        <f t="shared" si="32"/>
        <v>41547</v>
      </c>
      <c r="D723" s="181" t="s">
        <v>1071</v>
      </c>
      <c r="E723" s="188">
        <v>41547</v>
      </c>
      <c r="F723" s="189" t="s">
        <v>693</v>
      </c>
      <c r="G723" s="480" t="s">
        <v>911</v>
      </c>
      <c r="H723" s="7" t="s">
        <v>1077</v>
      </c>
      <c r="I723" s="249"/>
      <c r="J723" s="249"/>
      <c r="K723" s="38">
        <v>1189293</v>
      </c>
      <c r="L723" s="191" t="s">
        <v>262</v>
      </c>
      <c r="M723" s="191" t="s">
        <v>425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IF(OR(TH!L723=TH!$U$7,M723=TH!$U$7),"x","")</f>
        <v/>
      </c>
      <c r="V723" s="52" t="str">
        <f>IF(AND(B723&gt;='IN-NX'!$P$3,B723&lt;='IN-NX'!$Q$3,'IN-NX'!$D$7=D723,OR(LEFT(L723,2)="15",AND(LEFT(M723,2)&lt;&gt;"15",LEFT(M723,2)&lt;&gt;"33"))),"x","")</f>
        <v/>
      </c>
      <c r="W723" s="52" t="str">
        <f>IF(AND(OR(LEFT(TH!L723,2)="15",LEFT(TH!M723,2)="15"),'152-CT'!$J$8=TH!F723),"x","")</f>
        <v/>
      </c>
      <c r="X723" s="52" t="str">
        <f>IF(AND(OR(LEFT(TH!L723,2)="15",LEFT(TH!M723,2)="15"),TK!$E$7=TH!F723),"x","")</f>
        <v/>
      </c>
      <c r="Y723" s="52" t="str">
        <f>IF(AND(B723&lt;=NKC!$N$8,B723&gt;=NKC!$M$8),"x","")</f>
        <v>x</v>
      </c>
      <c r="AA723" s="587" t="str">
        <f>IF(VLOOKUP(H723,DS_131,1,0)&lt;&gt;"","","x")</f>
        <v/>
      </c>
    </row>
    <row r="724" spans="1:28" ht="15.75" customHeight="1">
      <c r="A724" s="201" t="str">
        <f>IF(B724&lt;&gt;"",IF(AND(B724&gt;=_TM1,B724&lt;=_TM2,OR(TH!L724="1111",TH!M724="1111")),TH!D724,""),"")</f>
        <v/>
      </c>
      <c r="B724" s="36">
        <f t="shared" si="31"/>
        <v>9</v>
      </c>
      <c r="C724" s="188">
        <f t="shared" si="32"/>
        <v>41547</v>
      </c>
      <c r="D724" s="181" t="s">
        <v>1072</v>
      </c>
      <c r="E724" s="188">
        <v>41547</v>
      </c>
      <c r="F724" s="189" t="s">
        <v>1103</v>
      </c>
      <c r="G724" s="480" t="s">
        <v>914</v>
      </c>
      <c r="H724" s="7" t="s">
        <v>427</v>
      </c>
      <c r="I724" s="249">
        <v>2700</v>
      </c>
      <c r="J724" s="249">
        <v>6250</v>
      </c>
      <c r="K724" s="38">
        <f>ROUND(I724*J724,0)</f>
        <v>16875000</v>
      </c>
      <c r="L724" s="191" t="s">
        <v>262</v>
      </c>
      <c r="M724" s="191" t="s">
        <v>172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IF(OR(TH!L724=TH!$U$7,M724=TH!$U$7),"x","")</f>
        <v/>
      </c>
      <c r="V724" s="52" t="str">
        <f>IF(AND(B724&gt;='IN-NX'!$P$3,B724&lt;='IN-NX'!$Q$3,'IN-NX'!$D$7=D724,OR(LEFT(L724,2)="15",AND(LEFT(M724,2)&lt;&gt;"15",LEFT(M724,2)&lt;&gt;"33"))),"x","")</f>
        <v/>
      </c>
      <c r="W724" s="52" t="str">
        <f>IF(AND(OR(LEFT(TH!L724,2)="15",LEFT(TH!M724,2)="15"),'152-CT'!$J$8=TH!F724),"x","")</f>
        <v/>
      </c>
      <c r="X724" s="52" t="str">
        <f>IF(AND(OR(LEFT(TH!L724,2)="15",LEFT(TH!M724,2)="15"),TK!$E$7=TH!F724),"x","")</f>
        <v/>
      </c>
      <c r="Y724" s="52" t="str">
        <f>IF(AND(B724&lt;=NKC!$N$8,B724&gt;=NKC!$M$8),"x","")</f>
        <v>x</v>
      </c>
      <c r="AA724" s="587"/>
    </row>
    <row r="725" spans="1:28" ht="15.75" customHeight="1">
      <c r="A725" s="201" t="str">
        <f>IF(B725&lt;&gt;"",IF(AND(B725&gt;=_TM1,B725&lt;=_TM2,OR(TH!L725="1111",TH!M725="1111")),TH!D725,""),"")</f>
        <v/>
      </c>
      <c r="B725" s="36">
        <f t="shared" si="31"/>
        <v>9</v>
      </c>
      <c r="C725" s="188">
        <f t="shared" si="32"/>
        <v>41547</v>
      </c>
      <c r="D725" s="181" t="s">
        <v>1072</v>
      </c>
      <c r="E725" s="188">
        <v>41547</v>
      </c>
      <c r="F725" s="189" t="s">
        <v>693</v>
      </c>
      <c r="G725" s="480" t="s">
        <v>914</v>
      </c>
      <c r="H725" s="7" t="s">
        <v>427</v>
      </c>
      <c r="I725" s="249"/>
      <c r="J725" s="249"/>
      <c r="K725" s="38">
        <v>1687500</v>
      </c>
      <c r="L725" s="191" t="s">
        <v>262</v>
      </c>
      <c r="M725" s="191" t="s">
        <v>425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IF(OR(TH!L725=TH!$U$7,M725=TH!$U$7),"x","")</f>
        <v/>
      </c>
      <c r="V725" s="52" t="str">
        <f>IF(AND(B725&gt;='IN-NX'!$P$3,B725&lt;='IN-NX'!$Q$3,'IN-NX'!$D$7=D725,OR(LEFT(L725,2)="15",AND(LEFT(M725,2)&lt;&gt;"15",LEFT(M725,2)&lt;&gt;"33"))),"x","")</f>
        <v/>
      </c>
      <c r="W725" s="52" t="str">
        <f>IF(AND(OR(LEFT(TH!L725,2)="15",LEFT(TH!M725,2)="15"),'152-CT'!$J$8=TH!F725),"x","")</f>
        <v/>
      </c>
      <c r="X725" s="52" t="str">
        <f>IF(AND(OR(LEFT(TH!L725,2)="15",LEFT(TH!M725,2)="15"),TK!$E$7=TH!F725),"x","")</f>
        <v/>
      </c>
      <c r="Y725" s="52" t="str">
        <f>IF(AND(B725&lt;=NKC!$N$8,B725&gt;=NKC!$M$8),"x","")</f>
        <v>x</v>
      </c>
      <c r="Z725" s="208"/>
      <c r="AA725" s="587" t="str">
        <f>IF(VLOOKUP(H725,DS_131,1,0)&lt;&gt;"","","x")</f>
        <v/>
      </c>
    </row>
    <row r="726" spans="1:28" ht="15.75" customHeight="1">
      <c r="A726" s="201" t="str">
        <f>IF(B726&lt;&gt;"",IF(AND(B726&gt;=_TM1,B726&lt;=_TM2,OR(TH!L726="1111",TH!M726="1111")),TH!D726,""),"")</f>
        <v/>
      </c>
      <c r="B726" s="36">
        <f t="shared" si="31"/>
        <v>9</v>
      </c>
      <c r="C726" s="188">
        <f t="shared" si="32"/>
        <v>41547</v>
      </c>
      <c r="D726" s="181" t="s">
        <v>339</v>
      </c>
      <c r="E726" s="181">
        <v>41547</v>
      </c>
      <c r="F726" s="186" t="s">
        <v>1011</v>
      </c>
      <c r="G726" s="597"/>
      <c r="H726" s="190" t="s">
        <v>1012</v>
      </c>
      <c r="I726" s="249"/>
      <c r="J726" s="249"/>
      <c r="K726" s="595">
        <v>17002098</v>
      </c>
      <c r="L726" s="596" t="s">
        <v>9</v>
      </c>
      <c r="M726" s="596" t="s">
        <v>17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IF(OR(TH!L726=TH!$U$7,M726=TH!$U$7),"x","")</f>
        <v/>
      </c>
      <c r="V726" s="52" t="str">
        <f>IF(AND(B726&gt;='IN-NX'!$P$3,B726&lt;='IN-NX'!$Q$3,'IN-NX'!$D$7=D726,OR(LEFT(L726,2)="15",AND(LEFT(M726,2)&lt;&gt;"15",LEFT(M726,2)&lt;&gt;"33"))),"x","")</f>
        <v/>
      </c>
      <c r="W726" s="52" t="str">
        <f>IF(AND(OR(LEFT(TH!L726,2)="15",LEFT(TH!M726,2)="15"),'152-CT'!$J$8=TH!F726),"x","")</f>
        <v/>
      </c>
      <c r="X726" s="52" t="str">
        <f>IF(AND(OR(LEFT(TH!L726,2)="15",LEFT(TH!M726,2)="15"),TK!$E$7=TH!F726),"x","")</f>
        <v/>
      </c>
      <c r="Y726" s="52" t="str">
        <f>IF(AND(B726&lt;=NKC!$N$8,B726&gt;=NKC!$M$8),"x","")</f>
        <v>x</v>
      </c>
      <c r="Z726" s="208"/>
    </row>
    <row r="727" spans="1:28" ht="15.75" customHeight="1">
      <c r="A727" s="201" t="str">
        <f>IF(B727&lt;&gt;"",IF(AND(B727&gt;=_TM1,B727&lt;=_TM2,OR(TH!L727="1111",TH!M727="1111")),TH!D727,""),"")</f>
        <v/>
      </c>
      <c r="B727" s="36">
        <f t="shared" si="31"/>
        <v>10</v>
      </c>
      <c r="C727" s="188">
        <f t="shared" si="32"/>
        <v>41548</v>
      </c>
      <c r="D727" s="181" t="s">
        <v>1014</v>
      </c>
      <c r="E727" s="188">
        <v>41548</v>
      </c>
      <c r="F727" s="189" t="s">
        <v>907</v>
      </c>
      <c r="G727" s="480" t="s">
        <v>915</v>
      </c>
      <c r="H727" s="7" t="s">
        <v>517</v>
      </c>
      <c r="I727" s="249">
        <v>60</v>
      </c>
      <c r="J727" s="249">
        <v>18600</v>
      </c>
      <c r="K727" s="38">
        <f>ROUND(I727*J727,0)</f>
        <v>1116000</v>
      </c>
      <c r="L727" s="191" t="s">
        <v>262</v>
      </c>
      <c r="M727" s="191" t="s">
        <v>172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IF(OR(TH!L727=TH!$U$7,M727=TH!$U$7),"x","")</f>
        <v/>
      </c>
      <c r="V727" s="52" t="str">
        <f>IF(AND(B727&gt;='IN-NX'!$P$3,B727&lt;='IN-NX'!$Q$3,'IN-NX'!$D$7=D727,OR(LEFT(L727,2)="15",AND(LEFT(M727,2)&lt;&gt;"15",LEFT(M727,2)&lt;&gt;"33"))),"x","")</f>
        <v/>
      </c>
      <c r="W727" s="52" t="str">
        <f>IF(AND(OR(LEFT(TH!L727,2)="15",LEFT(TH!M727,2)="15"),'152-CT'!$J$8=TH!F727),"x","")</f>
        <v/>
      </c>
      <c r="X727" s="52" t="str">
        <f>IF(AND(OR(LEFT(TH!L727,2)="15",LEFT(TH!M727,2)="15"),TK!$E$7=TH!F727),"x","")</f>
        <v/>
      </c>
      <c r="Y727" s="52" t="str">
        <f>IF(AND(B727&lt;=NKC!$N$8,B727&gt;=NKC!$M$8),"x","")</f>
        <v/>
      </c>
      <c r="Z727" s="208"/>
      <c r="AA727" s="587"/>
      <c r="AB727" s="208"/>
    </row>
    <row r="728" spans="1:28" ht="15.75" customHeight="1">
      <c r="A728" s="201" t="str">
        <f>IF(B728&lt;&gt;"",IF(AND(B728&gt;=_TM1,B728&lt;=_TM2,OR(TH!L728="1111",TH!M728="1111")),TH!D728,""),"")</f>
        <v/>
      </c>
      <c r="B728" s="36">
        <f t="shared" si="31"/>
        <v>10</v>
      </c>
      <c r="C728" s="188">
        <f t="shared" si="32"/>
        <v>41548</v>
      </c>
      <c r="D728" s="181" t="s">
        <v>1014</v>
      </c>
      <c r="E728" s="188">
        <v>41548</v>
      </c>
      <c r="F728" s="189" t="s">
        <v>909</v>
      </c>
      <c r="G728" s="480" t="s">
        <v>915</v>
      </c>
      <c r="H728" s="7" t="s">
        <v>517</v>
      </c>
      <c r="I728" s="249">
        <v>98</v>
      </c>
      <c r="J728" s="249">
        <v>16300</v>
      </c>
      <c r="K728" s="38">
        <f>ROUND(I728*J728,0)</f>
        <v>1597400</v>
      </c>
      <c r="L728" s="191" t="s">
        <v>262</v>
      </c>
      <c r="M728" s="191" t="s">
        <v>172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IF(OR(TH!L728=TH!$U$7,M728=TH!$U$7),"x","")</f>
        <v/>
      </c>
      <c r="V728" s="52" t="str">
        <f>IF(AND(B728&gt;='IN-NX'!$P$3,B728&lt;='IN-NX'!$Q$3,'IN-NX'!$D$7=D728,OR(LEFT(L728,2)="15",AND(LEFT(M728,2)&lt;&gt;"15",LEFT(M728,2)&lt;&gt;"33"))),"x","")</f>
        <v/>
      </c>
      <c r="W728" s="52" t="str">
        <f>IF(AND(OR(LEFT(TH!L728,2)="15",LEFT(TH!M728,2)="15"),'152-CT'!$J$8=TH!F728),"x","")</f>
        <v/>
      </c>
      <c r="X728" s="52" t="str">
        <f>IF(AND(OR(LEFT(TH!L728,2)="15",LEFT(TH!M728,2)="15"),TK!$E$7=TH!F728),"x","")</f>
        <v/>
      </c>
      <c r="Y728" s="52" t="str">
        <f>IF(AND(B728&lt;=NKC!$N$8,B728&gt;=NKC!$M$8),"x","")</f>
        <v/>
      </c>
      <c r="Z728" s="208"/>
      <c r="AA728" s="587"/>
      <c r="AB728" s="208"/>
    </row>
    <row r="729" spans="1:28" ht="15.75" customHeight="1">
      <c r="A729" s="201" t="str">
        <f>IF(B729&lt;&gt;"",IF(AND(B729&gt;=_TM1,B729&lt;=_TM2,OR(TH!L729="1111",TH!M729="1111")),TH!D729,""),"")</f>
        <v/>
      </c>
      <c r="B729" s="36">
        <f t="shared" si="31"/>
        <v>10</v>
      </c>
      <c r="C729" s="188">
        <f t="shared" si="32"/>
        <v>41548</v>
      </c>
      <c r="D729" s="181" t="s">
        <v>1014</v>
      </c>
      <c r="E729" s="188">
        <v>41548</v>
      </c>
      <c r="F729" s="189" t="s">
        <v>693</v>
      </c>
      <c r="G729" s="480" t="s">
        <v>915</v>
      </c>
      <c r="H729" s="7" t="s">
        <v>517</v>
      </c>
      <c r="I729" s="249"/>
      <c r="J729" s="249"/>
      <c r="K729" s="38">
        <v>271340</v>
      </c>
      <c r="L729" s="191" t="s">
        <v>262</v>
      </c>
      <c r="M729" s="191" t="s">
        <v>425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IF(OR(TH!L729=TH!$U$7,M729=TH!$U$7),"x","")</f>
        <v/>
      </c>
      <c r="V729" s="52" t="str">
        <f>IF(AND(B729&gt;='IN-NX'!$P$3,B729&lt;='IN-NX'!$Q$3,'IN-NX'!$D$7=D729,OR(LEFT(L729,2)="15",AND(LEFT(M729,2)&lt;&gt;"15",LEFT(M729,2)&lt;&gt;"33"))),"x","")</f>
        <v/>
      </c>
      <c r="W729" s="52" t="str">
        <f>IF(AND(OR(LEFT(TH!L729,2)="15",LEFT(TH!M729,2)="15"),'152-CT'!$J$8=TH!F729),"x","")</f>
        <v/>
      </c>
      <c r="X729" s="52" t="str">
        <f>IF(AND(OR(LEFT(TH!L729,2)="15",LEFT(TH!M729,2)="15"),TK!$E$7=TH!F729),"x","")</f>
        <v/>
      </c>
      <c r="Y729" s="52" t="str">
        <f>IF(AND(B729&lt;=NKC!$N$8,B729&gt;=NKC!$M$8),"x","")</f>
        <v/>
      </c>
      <c r="Z729" s="208"/>
      <c r="AA729" s="587" t="str">
        <f>IF(VLOOKUP(H729,DS_131,1,0)&lt;&gt;"","","x")</f>
        <v/>
      </c>
      <c r="AB729" s="208"/>
    </row>
    <row r="730" spans="1:28" ht="15.75" customHeight="1">
      <c r="A730" s="201" t="str">
        <f>IF(B730&lt;&gt;"",IF(AND(B730&gt;=_TM1,B730&lt;=_TM2,OR(TH!L730="1111",TH!M730="1111")),TH!D730,""),"")</f>
        <v/>
      </c>
      <c r="B730" s="36">
        <f t="shared" si="31"/>
        <v>10</v>
      </c>
      <c r="C730" s="188">
        <f t="shared" si="32"/>
        <v>41548</v>
      </c>
      <c r="D730" s="181" t="s">
        <v>1015</v>
      </c>
      <c r="E730" s="188">
        <v>41548</v>
      </c>
      <c r="F730" s="189" t="s">
        <v>1122</v>
      </c>
      <c r="G730" s="480" t="s">
        <v>916</v>
      </c>
      <c r="H730" s="7" t="s">
        <v>507</v>
      </c>
      <c r="I730" s="249">
        <v>1554</v>
      </c>
      <c r="J730" s="249">
        <v>4650</v>
      </c>
      <c r="K730" s="38">
        <f>ROUND(I730*J730,0)</f>
        <v>7226100</v>
      </c>
      <c r="L730" s="191" t="s">
        <v>262</v>
      </c>
      <c r="M730" s="191" t="s">
        <v>172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IF(OR(TH!L730=TH!$U$7,M730=TH!$U$7),"x","")</f>
        <v/>
      </c>
      <c r="V730" s="52" t="str">
        <f>IF(AND(B730&gt;='IN-NX'!$P$3,B730&lt;='IN-NX'!$Q$3,'IN-NX'!$D$7=D730,OR(LEFT(L730,2)="15",AND(LEFT(M730,2)&lt;&gt;"15",LEFT(M730,2)&lt;&gt;"33"))),"x","")</f>
        <v/>
      </c>
      <c r="W730" s="52" t="str">
        <f>IF(AND(OR(LEFT(TH!L730,2)="15",LEFT(TH!M730,2)="15"),'152-CT'!$J$8=TH!F730),"x","")</f>
        <v/>
      </c>
      <c r="X730" s="52" t="str">
        <f>IF(AND(OR(LEFT(TH!L730,2)="15",LEFT(TH!M730,2)="15"),TK!$E$7=TH!F730),"x","")</f>
        <v/>
      </c>
      <c r="Y730" s="52" t="str">
        <f>IF(AND(B730&lt;=NKC!$N$8,B730&gt;=NKC!$M$8),"x","")</f>
        <v/>
      </c>
      <c r="Z730" s="208"/>
      <c r="AA730" s="587"/>
      <c r="AB730" s="208"/>
    </row>
    <row r="731" spans="1:28" ht="15.75" customHeight="1">
      <c r="A731" s="201" t="str">
        <f>IF(B731&lt;&gt;"",IF(AND(B731&gt;=_TM1,B731&lt;=_TM2,OR(TH!L731="1111",TH!M731="1111")),TH!D731,""),"")</f>
        <v/>
      </c>
      <c r="B731" s="36">
        <f t="shared" si="31"/>
        <v>10</v>
      </c>
      <c r="C731" s="188">
        <f t="shared" si="32"/>
        <v>41548</v>
      </c>
      <c r="D731" s="181" t="s">
        <v>1015</v>
      </c>
      <c r="E731" s="188">
        <v>41548</v>
      </c>
      <c r="F731" s="189" t="s">
        <v>843</v>
      </c>
      <c r="G731" s="189" t="s">
        <v>916</v>
      </c>
      <c r="H731" s="7" t="s">
        <v>507</v>
      </c>
      <c r="I731" s="249">
        <v>525</v>
      </c>
      <c r="J731" s="249">
        <v>12000</v>
      </c>
      <c r="K731" s="38">
        <f>ROUND(I731*J731,0)</f>
        <v>6300000</v>
      </c>
      <c r="L731" s="191" t="s">
        <v>262</v>
      </c>
      <c r="M731" s="191" t="s">
        <v>172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IF(OR(TH!L731=TH!$U$7,M731=TH!$U$7),"x","")</f>
        <v/>
      </c>
      <c r="V731" s="52" t="str">
        <f>IF(AND(B731&gt;='IN-NX'!$P$3,B731&lt;='IN-NX'!$Q$3,'IN-NX'!$D$7=D731,OR(LEFT(L731,2)="15",AND(LEFT(M731,2)&lt;&gt;"15",LEFT(M731,2)&lt;&gt;"33"))),"x","")</f>
        <v/>
      </c>
      <c r="W731" s="52" t="str">
        <f>IF(AND(OR(LEFT(TH!L731,2)="15",LEFT(TH!M731,2)="15"),'152-CT'!$J$8=TH!F731),"x","")</f>
        <v/>
      </c>
      <c r="X731" s="52" t="str">
        <f>IF(AND(OR(LEFT(TH!L731,2)="15",LEFT(TH!M731,2)="15"),TK!$E$7=TH!F731),"x","")</f>
        <v/>
      </c>
      <c r="Y731" s="52" t="str">
        <f>IF(AND(B731&lt;=NKC!$N$8,B731&gt;=NKC!$M$8),"x","")</f>
        <v/>
      </c>
      <c r="Z731" s="208"/>
      <c r="AA731" s="587"/>
      <c r="AB731" s="208"/>
    </row>
    <row r="732" spans="1:28" ht="15.75" customHeight="1">
      <c r="A732" s="201" t="str">
        <f>IF(B732&lt;&gt;"",IF(AND(B732&gt;=_TM1,B732&lt;=_TM2,OR(TH!L732="1111",TH!M732="1111")),TH!D732,""),"")</f>
        <v/>
      </c>
      <c r="B732" s="36">
        <f t="shared" si="31"/>
        <v>10</v>
      </c>
      <c r="C732" s="188">
        <f t="shared" si="32"/>
        <v>41548</v>
      </c>
      <c r="D732" s="181" t="s">
        <v>1015</v>
      </c>
      <c r="E732" s="188">
        <v>41548</v>
      </c>
      <c r="F732" s="189" t="s">
        <v>693</v>
      </c>
      <c r="G732" s="189" t="s">
        <v>916</v>
      </c>
      <c r="H732" s="7" t="s">
        <v>507</v>
      </c>
      <c r="I732" s="249"/>
      <c r="J732" s="249"/>
      <c r="K732" s="38">
        <v>1352610</v>
      </c>
      <c r="L732" s="191" t="s">
        <v>262</v>
      </c>
      <c r="M732" s="191" t="s">
        <v>425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IF(OR(TH!L732=TH!$U$7,M732=TH!$U$7),"x","")</f>
        <v/>
      </c>
      <c r="V732" s="52" t="str">
        <f>IF(AND(B732&gt;='IN-NX'!$P$3,B732&lt;='IN-NX'!$Q$3,'IN-NX'!$D$7=D732,OR(LEFT(L732,2)="15",AND(LEFT(M732,2)&lt;&gt;"15",LEFT(M732,2)&lt;&gt;"33"))),"x","")</f>
        <v/>
      </c>
      <c r="W732" s="52" t="str">
        <f>IF(AND(OR(LEFT(TH!L732,2)="15",LEFT(TH!M732,2)="15"),'152-CT'!$J$8=TH!F732),"x","")</f>
        <v/>
      </c>
      <c r="X732" s="52" t="str">
        <f>IF(AND(OR(LEFT(TH!L732,2)="15",LEFT(TH!M732,2)="15"),TK!$E$7=TH!F732),"x","")</f>
        <v/>
      </c>
      <c r="Y732" s="52" t="str">
        <f>IF(AND(B732&lt;=NKC!$N$8,B732&gt;=NKC!$M$8),"x","")</f>
        <v/>
      </c>
      <c r="Z732" s="208"/>
      <c r="AA732" s="587" t="str">
        <f>IF(VLOOKUP(H732,DS_131,1,0)&lt;&gt;"","","x")</f>
        <v/>
      </c>
      <c r="AB732" s="208"/>
    </row>
    <row r="733" spans="1:28" ht="15.75" customHeight="1">
      <c r="A733" s="201" t="str">
        <f>IF(B733&lt;&gt;"",IF(AND(B733&gt;=_TM1,B733&lt;=_TM2,OR(TH!L733="1111",TH!M733="1111")),TH!D733,""),"")</f>
        <v/>
      </c>
      <c r="B733" s="36">
        <f t="shared" si="31"/>
        <v>10</v>
      </c>
      <c r="C733" s="188">
        <f t="shared" si="32"/>
        <v>41548</v>
      </c>
      <c r="D733" s="181" t="s">
        <v>1016</v>
      </c>
      <c r="E733" s="188">
        <v>41548</v>
      </c>
      <c r="F733" s="189" t="s">
        <v>814</v>
      </c>
      <c r="G733" s="189" t="s">
        <v>917</v>
      </c>
      <c r="H733" s="190" t="s">
        <v>816</v>
      </c>
      <c r="I733" s="249">
        <v>220</v>
      </c>
      <c r="J733" s="249">
        <v>19000</v>
      </c>
      <c r="K733" s="38">
        <f>ROUND(I733*J733,0)</f>
        <v>4180000</v>
      </c>
      <c r="L733" s="191" t="s">
        <v>262</v>
      </c>
      <c r="M733" s="191" t="s">
        <v>172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IF(OR(TH!L733=TH!$U$7,M733=TH!$U$7),"x","")</f>
        <v/>
      </c>
      <c r="V733" s="52" t="str">
        <f>IF(AND(B733&gt;='IN-NX'!$P$3,B733&lt;='IN-NX'!$Q$3,'IN-NX'!$D$7=D733,OR(LEFT(L733,2)="15",AND(LEFT(M733,2)&lt;&gt;"15",LEFT(M733,2)&lt;&gt;"33"))),"x","")</f>
        <v/>
      </c>
      <c r="W733" s="52" t="str">
        <f>IF(AND(OR(LEFT(TH!L733,2)="15",LEFT(TH!M733,2)="15"),'152-CT'!$J$8=TH!F733),"x","")</f>
        <v/>
      </c>
      <c r="X733" s="52" t="str">
        <f>IF(AND(OR(LEFT(TH!L733,2)="15",LEFT(TH!M733,2)="15"),TK!$E$7=TH!F733),"x","")</f>
        <v/>
      </c>
      <c r="Y733" s="52" t="str">
        <f>IF(AND(B733&lt;=NKC!$N$8,B733&gt;=NKC!$M$8),"x","")</f>
        <v/>
      </c>
      <c r="Z733" s="208"/>
      <c r="AA733" s="587"/>
      <c r="AB733" s="208"/>
    </row>
    <row r="734" spans="1:28" ht="15.75" customHeight="1">
      <c r="A734" s="201" t="str">
        <f>IF(B734&lt;&gt;"",IF(AND(B734&gt;=_TM1,B734&lt;=_TM2,OR(TH!L734="1111",TH!M734="1111")),TH!D734,""),"")</f>
        <v/>
      </c>
      <c r="B734" s="36">
        <f t="shared" si="31"/>
        <v>10</v>
      </c>
      <c r="C734" s="188">
        <f t="shared" si="32"/>
        <v>41548</v>
      </c>
      <c r="D734" s="181" t="s">
        <v>1016</v>
      </c>
      <c r="E734" s="188">
        <v>41548</v>
      </c>
      <c r="F734" s="189" t="s">
        <v>693</v>
      </c>
      <c r="G734" s="189" t="s">
        <v>917</v>
      </c>
      <c r="H734" s="190" t="s">
        <v>816</v>
      </c>
      <c r="I734" s="249"/>
      <c r="J734" s="249"/>
      <c r="K734" s="38">
        <v>418000</v>
      </c>
      <c r="L734" s="191" t="s">
        <v>262</v>
      </c>
      <c r="M734" s="191" t="s">
        <v>425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IF(OR(TH!L734=TH!$U$7,M734=TH!$U$7),"x","")</f>
        <v/>
      </c>
      <c r="V734" s="52" t="str">
        <f>IF(AND(B734&gt;='IN-NX'!$P$3,B734&lt;='IN-NX'!$Q$3,'IN-NX'!$D$7=D734,OR(LEFT(L734,2)="15",AND(LEFT(M734,2)&lt;&gt;"15",LEFT(M734,2)&lt;&gt;"33"))),"x","")</f>
        <v/>
      </c>
      <c r="W734" s="52" t="str">
        <f>IF(AND(OR(LEFT(TH!L734,2)="15",LEFT(TH!M734,2)="15"),'152-CT'!$J$8=TH!F734),"x","")</f>
        <v/>
      </c>
      <c r="X734" s="52" t="str">
        <f>IF(AND(OR(LEFT(TH!L734,2)="15",LEFT(TH!M734,2)="15"),TK!$E$7=TH!F734),"x","")</f>
        <v/>
      </c>
      <c r="Y734" s="52" t="str">
        <f>IF(AND(B734&lt;=NKC!$N$8,B734&gt;=NKC!$M$8),"x","")</f>
        <v/>
      </c>
      <c r="Z734" s="208"/>
      <c r="AA734" s="587" t="str">
        <f>IF(VLOOKUP(H734,DS_131,1,0)&lt;&gt;"","","x")</f>
        <v/>
      </c>
      <c r="AB734" s="208"/>
    </row>
    <row r="735" spans="1:28" ht="15.75" customHeight="1">
      <c r="A735" s="201" t="str">
        <f>IF(B735&lt;&gt;"",IF(AND(B735&gt;=_TM1,B735&lt;=_TM2,OR(TH!L735="1111",TH!M735="1111")),TH!D735,""),"")</f>
        <v>C01</v>
      </c>
      <c r="B735" s="36">
        <f t="shared" si="31"/>
        <v>10</v>
      </c>
      <c r="C735" s="181">
        <f t="shared" si="32"/>
        <v>41549</v>
      </c>
      <c r="D735" s="181" t="s">
        <v>374</v>
      </c>
      <c r="E735" s="188">
        <v>41549</v>
      </c>
      <c r="F735" s="186" t="s">
        <v>490</v>
      </c>
      <c r="G735" s="657" t="s">
        <v>516</v>
      </c>
      <c r="H735" s="7" t="s">
        <v>492</v>
      </c>
      <c r="I735" s="250"/>
      <c r="J735" s="251"/>
      <c r="K735" s="38">
        <f>365139+142669+234027</f>
        <v>741835</v>
      </c>
      <c r="L735" s="596" t="s">
        <v>83</v>
      </c>
      <c r="M735" s="596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IF(OR(TH!L735=TH!$U$7,M735=TH!$U$7),"x","")</f>
        <v>x</v>
      </c>
      <c r="V735" s="52" t="str">
        <f>IF(AND(B735&gt;='IN-NX'!$P$3,B735&lt;='IN-NX'!$Q$3,'IN-NX'!$D$7=D735,OR(LEFT(L735,2)="15",AND(LEFT(M735,2)&lt;&gt;"15",LEFT(M735,2)&lt;&gt;"33"))),"x","")</f>
        <v/>
      </c>
      <c r="W735" s="52" t="str">
        <f>IF(AND(OR(LEFT(TH!L735,2)="15",LEFT(TH!M735,2)="15"),'152-CT'!$J$8=TH!F735),"x","")</f>
        <v/>
      </c>
      <c r="X735" s="52" t="str">
        <f>IF(AND(OR(LEFT(TH!L735,2)="15",LEFT(TH!M735,2)="15"),TK!$E$7=TH!F735),"x","")</f>
        <v/>
      </c>
      <c r="Y735" s="52" t="str">
        <f>IF(AND(B735&lt;=NKC!$N$8,B735&gt;=NKC!$M$8),"x","")</f>
        <v/>
      </c>
      <c r="Z735" s="587" t="s">
        <v>1336</v>
      </c>
    </row>
    <row r="736" spans="1:28" ht="15.75" customHeight="1">
      <c r="A736" s="201" t="str">
        <f>IF(B736&lt;&gt;"",IF(AND(B736&gt;=_TM1,B736&lt;=_TM2,OR(TH!L736="1111",TH!M736="1111")),TH!D736,""),"")</f>
        <v>C01</v>
      </c>
      <c r="B736" s="36">
        <f t="shared" si="31"/>
        <v>10</v>
      </c>
      <c r="C736" s="181">
        <f t="shared" si="32"/>
        <v>41549</v>
      </c>
      <c r="D736" s="181" t="s">
        <v>374</v>
      </c>
      <c r="E736" s="188">
        <v>41549</v>
      </c>
      <c r="F736" s="186" t="s">
        <v>493</v>
      </c>
      <c r="G736" s="657" t="s">
        <v>516</v>
      </c>
      <c r="H736" s="7" t="s">
        <v>492</v>
      </c>
      <c r="I736" s="250"/>
      <c r="J736" s="251"/>
      <c r="K736" s="38">
        <f>36512+14267+23403</f>
        <v>74182</v>
      </c>
      <c r="L736" s="596" t="s">
        <v>9</v>
      </c>
      <c r="M736" s="596" t="s">
        <v>47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IF(OR(TH!L736=TH!$U$7,M736=TH!$U$7),"x","")</f>
        <v/>
      </c>
      <c r="V736" s="52" t="str">
        <f>IF(AND(B736&gt;='IN-NX'!$P$3,B736&lt;='IN-NX'!$Q$3,'IN-NX'!$D$7=D736,OR(LEFT(L736,2)="15",AND(LEFT(M736,2)&lt;&gt;"15",LEFT(M736,2)&lt;&gt;"33"))),"x","")</f>
        <v/>
      </c>
      <c r="W736" s="52" t="str">
        <f>IF(AND(OR(LEFT(TH!L736,2)="15",LEFT(TH!M736,2)="15"),'152-CT'!$J$8=TH!F736),"x","")</f>
        <v/>
      </c>
      <c r="X736" s="52" t="str">
        <f>IF(AND(OR(LEFT(TH!L736,2)="15",LEFT(TH!M736,2)="15"),TK!$E$7=TH!F736),"x","")</f>
        <v/>
      </c>
      <c r="Y736" s="52" t="str">
        <f>IF(AND(B736&lt;=NKC!$N$8,B736&gt;=NKC!$M$8),"x","")</f>
        <v/>
      </c>
      <c r="Z736" s="587" t="s">
        <v>1336</v>
      </c>
    </row>
    <row r="737" spans="1:28" ht="15.75" customHeight="1">
      <c r="A737" s="201" t="str">
        <f>IF(B737&lt;&gt;"",IF(AND(B737&gt;=_TM1,B737&lt;=_TM2,OR(TH!L737="1111",TH!M737="1111")),TH!D737,""),"")</f>
        <v/>
      </c>
      <c r="B737" s="36">
        <f t="shared" si="31"/>
        <v>10</v>
      </c>
      <c r="C737" s="188">
        <f t="shared" si="32"/>
        <v>41549</v>
      </c>
      <c r="D737" s="181" t="s">
        <v>1017</v>
      </c>
      <c r="E737" s="188">
        <v>41549</v>
      </c>
      <c r="F737" s="189" t="s">
        <v>1119</v>
      </c>
      <c r="G737" s="189" t="s">
        <v>918</v>
      </c>
      <c r="H737" s="7" t="s">
        <v>863</v>
      </c>
      <c r="I737" s="249">
        <v>3397</v>
      </c>
      <c r="J737" s="249">
        <v>4080</v>
      </c>
      <c r="K737" s="38">
        <f>ROUND(I737*J737,0)</f>
        <v>13859760</v>
      </c>
      <c r="L737" s="191" t="s">
        <v>262</v>
      </c>
      <c r="M737" s="191" t="s">
        <v>172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IF(OR(TH!L737=TH!$U$7,M737=TH!$U$7),"x","")</f>
        <v/>
      </c>
      <c r="V737" s="52" t="str">
        <f>IF(AND(B737&gt;='IN-NX'!$P$3,B737&lt;='IN-NX'!$Q$3,'IN-NX'!$D$7=D737,OR(LEFT(L737,2)="15",AND(LEFT(M737,2)&lt;&gt;"15",LEFT(M737,2)&lt;&gt;"33"))),"x","")</f>
        <v/>
      </c>
      <c r="W737" s="52" t="str">
        <f>IF(AND(OR(LEFT(TH!L737,2)="15",LEFT(TH!M737,2)="15"),'152-CT'!$J$8=TH!F737),"x","")</f>
        <v/>
      </c>
      <c r="X737" s="52" t="str">
        <f>IF(AND(OR(LEFT(TH!L737,2)="15",LEFT(TH!M737,2)="15"),TK!$E$7=TH!F737),"x","")</f>
        <v/>
      </c>
      <c r="Y737" s="52" t="str">
        <f>IF(AND(B737&lt;=NKC!$N$8,B737&gt;=NKC!$M$8),"x","")</f>
        <v/>
      </c>
      <c r="Z737" s="208"/>
      <c r="AA737" s="587"/>
      <c r="AB737" s="208"/>
    </row>
    <row r="738" spans="1:28" ht="15.75" customHeight="1">
      <c r="A738" s="201" t="str">
        <f>IF(B738&lt;&gt;"",IF(AND(B738&gt;=_TM1,B738&lt;=_TM2,OR(TH!L738="1111",TH!M738="1111")),TH!D738,""),"")</f>
        <v/>
      </c>
      <c r="B738" s="36">
        <f t="shared" si="31"/>
        <v>10</v>
      </c>
      <c r="C738" s="188">
        <f t="shared" si="32"/>
        <v>41549</v>
      </c>
      <c r="D738" s="181" t="s">
        <v>1017</v>
      </c>
      <c r="E738" s="188">
        <v>41549</v>
      </c>
      <c r="F738" s="189" t="s">
        <v>693</v>
      </c>
      <c r="G738" s="189" t="s">
        <v>918</v>
      </c>
      <c r="H738" s="7" t="s">
        <v>863</v>
      </c>
      <c r="I738" s="250"/>
      <c r="J738" s="250"/>
      <c r="K738" s="38">
        <v>1385976</v>
      </c>
      <c r="L738" s="191" t="s">
        <v>262</v>
      </c>
      <c r="M738" s="191" t="s">
        <v>425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IF(OR(TH!L738=TH!$U$7,M738=TH!$U$7),"x","")</f>
        <v/>
      </c>
      <c r="V738" s="52" t="str">
        <f>IF(AND(B738&gt;='IN-NX'!$P$3,B738&lt;='IN-NX'!$Q$3,'IN-NX'!$D$7=D738,OR(LEFT(L738,2)="15",AND(LEFT(M738,2)&lt;&gt;"15",LEFT(M738,2)&lt;&gt;"33"))),"x","")</f>
        <v/>
      </c>
      <c r="W738" s="52" t="str">
        <f>IF(AND(OR(LEFT(TH!L738,2)="15",LEFT(TH!M738,2)="15"),'152-CT'!$J$8=TH!F738),"x","")</f>
        <v/>
      </c>
      <c r="X738" s="52" t="str">
        <f>IF(AND(OR(LEFT(TH!L738,2)="15",LEFT(TH!M738,2)="15"),TK!$E$7=TH!F738),"x","")</f>
        <v/>
      </c>
      <c r="Y738" s="52" t="str">
        <f>IF(AND(B738&lt;=NKC!$N$8,B738&gt;=NKC!$M$8),"x","")</f>
        <v/>
      </c>
      <c r="Z738" s="208"/>
      <c r="AA738" s="587" t="str">
        <f>IF(VLOOKUP(H738,DS_131,1,0)&lt;&gt;"","","x")</f>
        <v/>
      </c>
      <c r="AB738" s="208"/>
    </row>
    <row r="739" spans="1:28" ht="15.75" customHeight="1">
      <c r="A739" s="201" t="str">
        <f>IF(B739&lt;&gt;"",IF(AND(B739&gt;=_TM1,B739&lt;=_TM2,OR(TH!L739="1111",TH!M739="1111")),TH!D739,""),"")</f>
        <v/>
      </c>
      <c r="B739" s="36">
        <f t="shared" si="31"/>
        <v>10</v>
      </c>
      <c r="C739" s="188">
        <f t="shared" si="32"/>
        <v>41550</v>
      </c>
      <c r="D739" s="181" t="s">
        <v>1018</v>
      </c>
      <c r="E739" s="188">
        <v>41550</v>
      </c>
      <c r="F739" s="189" t="s">
        <v>913</v>
      </c>
      <c r="G739" s="189" t="s">
        <v>920</v>
      </c>
      <c r="H739" s="7" t="s">
        <v>1077</v>
      </c>
      <c r="I739" s="250">
        <v>494</v>
      </c>
      <c r="J739" s="250">
        <v>4980</v>
      </c>
      <c r="K739" s="38">
        <f>ROUND(I739*J739,0)</f>
        <v>2460120</v>
      </c>
      <c r="L739" s="191" t="s">
        <v>262</v>
      </c>
      <c r="M739" s="191" t="s">
        <v>172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IF(OR(TH!L739=TH!$U$7,M739=TH!$U$7),"x","")</f>
        <v/>
      </c>
      <c r="V739" s="52" t="str">
        <f>IF(AND(B739&gt;='IN-NX'!$P$3,B739&lt;='IN-NX'!$Q$3,'IN-NX'!$D$7=D739,OR(LEFT(L739,2)="15",AND(LEFT(M739,2)&lt;&gt;"15",LEFT(M739,2)&lt;&gt;"33"))),"x","")</f>
        <v/>
      </c>
      <c r="W739" s="52" t="str">
        <f>IF(AND(OR(LEFT(TH!L739,2)="15",LEFT(TH!M739,2)="15"),'152-CT'!$J$8=TH!F739),"x","")</f>
        <v/>
      </c>
      <c r="X739" s="52" t="str">
        <f>IF(AND(OR(LEFT(TH!L739,2)="15",LEFT(TH!M739,2)="15"),TK!$E$7=TH!F739),"x","")</f>
        <v/>
      </c>
      <c r="Y739" s="52" t="str">
        <f>IF(AND(B739&lt;=NKC!$N$8,B739&gt;=NKC!$M$8),"x","")</f>
        <v/>
      </c>
      <c r="Z739" s="208"/>
      <c r="AA739" s="587"/>
      <c r="AB739" s="587"/>
    </row>
    <row r="740" spans="1:28" ht="15.75" customHeight="1">
      <c r="A740" s="201" t="str">
        <f>IF(B740&lt;&gt;"",IF(AND(B740&gt;=_TM1,B740&lt;=_TM2,OR(TH!L740="1111",TH!M740="1111")),TH!D740,""),"")</f>
        <v/>
      </c>
      <c r="B740" s="36">
        <f t="shared" si="31"/>
        <v>10</v>
      </c>
      <c r="C740" s="188">
        <f t="shared" si="32"/>
        <v>41550</v>
      </c>
      <c r="D740" s="181" t="s">
        <v>1018</v>
      </c>
      <c r="E740" s="188">
        <v>41550</v>
      </c>
      <c r="F740" s="189" t="s">
        <v>921</v>
      </c>
      <c r="G740" s="189" t="s">
        <v>920</v>
      </c>
      <c r="H740" s="7" t="s">
        <v>1077</v>
      </c>
      <c r="I740" s="249">
        <v>509</v>
      </c>
      <c r="J740" s="249">
        <v>4980</v>
      </c>
      <c r="K740" s="38">
        <f>ROUND(I740*J740,0)</f>
        <v>2534820</v>
      </c>
      <c r="L740" s="191" t="s">
        <v>262</v>
      </c>
      <c r="M740" s="191" t="s">
        <v>172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IF(OR(TH!L740=TH!$U$7,M740=TH!$U$7),"x","")</f>
        <v/>
      </c>
      <c r="V740" s="52" t="str">
        <f>IF(AND(B740&gt;='IN-NX'!$P$3,B740&lt;='IN-NX'!$Q$3,'IN-NX'!$D$7=D740,OR(LEFT(L740,2)="15",AND(LEFT(M740,2)&lt;&gt;"15",LEFT(M740,2)&lt;&gt;"33"))),"x","")</f>
        <v/>
      </c>
      <c r="W740" s="52" t="str">
        <f>IF(AND(OR(LEFT(TH!L740,2)="15",LEFT(TH!M740,2)="15"),'152-CT'!$J$8=TH!F740),"x","")</f>
        <v/>
      </c>
      <c r="X740" s="52" t="str">
        <f>IF(AND(OR(LEFT(TH!L740,2)="15",LEFT(TH!M740,2)="15"),TK!$E$7=TH!F740),"x","")</f>
        <v/>
      </c>
      <c r="Y740" s="52" t="str">
        <f>IF(AND(B740&lt;=NKC!$N$8,B740&gt;=NKC!$M$8),"x","")</f>
        <v/>
      </c>
      <c r="Z740" s="208"/>
      <c r="AA740" s="587"/>
      <c r="AB740" s="208"/>
    </row>
    <row r="741" spans="1:28" ht="15.75" customHeight="1">
      <c r="A741" s="201" t="str">
        <f>IF(B741&lt;&gt;"",IF(AND(B741&gt;=_TM1,B741&lt;=_TM2,OR(TH!L741="1111",TH!M741="1111")),TH!D741,""),"")</f>
        <v/>
      </c>
      <c r="B741" s="36">
        <f t="shared" si="31"/>
        <v>10</v>
      </c>
      <c r="C741" s="188">
        <f t="shared" si="32"/>
        <v>41550</v>
      </c>
      <c r="D741" s="181" t="s">
        <v>1018</v>
      </c>
      <c r="E741" s="188">
        <v>41550</v>
      </c>
      <c r="F741" s="189" t="s">
        <v>693</v>
      </c>
      <c r="G741" s="189" t="s">
        <v>920</v>
      </c>
      <c r="H741" s="7" t="s">
        <v>1077</v>
      </c>
      <c r="I741" s="249"/>
      <c r="J741" s="249"/>
      <c r="K741" s="38">
        <v>499494</v>
      </c>
      <c r="L741" s="191" t="s">
        <v>262</v>
      </c>
      <c r="M741" s="191" t="s">
        <v>425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IF(OR(TH!L741=TH!$U$7,M741=TH!$U$7),"x","")</f>
        <v/>
      </c>
      <c r="V741" s="52" t="str">
        <f>IF(AND(B741&gt;='IN-NX'!$P$3,B741&lt;='IN-NX'!$Q$3,'IN-NX'!$D$7=D741,OR(LEFT(L741,2)="15",AND(LEFT(M741,2)&lt;&gt;"15",LEFT(M741,2)&lt;&gt;"33"))),"x","")</f>
        <v/>
      </c>
      <c r="W741" s="52" t="str">
        <f>IF(AND(OR(LEFT(TH!L741,2)="15",LEFT(TH!M741,2)="15"),'152-CT'!$J$8=TH!F741),"x","")</f>
        <v/>
      </c>
      <c r="X741" s="52" t="str">
        <f>IF(AND(OR(LEFT(TH!L741,2)="15",LEFT(TH!M741,2)="15"),TK!$E$7=TH!F741),"x","")</f>
        <v/>
      </c>
      <c r="Y741" s="52" t="str">
        <f>IF(AND(B741&lt;=NKC!$N$8,B741&gt;=NKC!$M$8),"x","")</f>
        <v/>
      </c>
      <c r="Z741" s="208"/>
      <c r="AA741" s="587" t="str">
        <f>IF(VLOOKUP(H741,DS_131,1,0)&lt;&gt;"","","x")</f>
        <v/>
      </c>
      <c r="AB741" s="587"/>
    </row>
    <row r="742" spans="1:28" ht="15.75" customHeight="1">
      <c r="A742" s="201" t="str">
        <f>IF(B742&lt;&gt;"",IF(AND(B742&gt;=_TM1,B742&lt;=_TM2,OR(TH!L742="1111",TH!M742="1111")),TH!D742,""),"")</f>
        <v>T01</v>
      </c>
      <c r="B742" s="36">
        <f t="shared" si="31"/>
        <v>10</v>
      </c>
      <c r="C742" s="188">
        <f t="shared" si="32"/>
        <v>41550</v>
      </c>
      <c r="D742" s="181" t="s">
        <v>372</v>
      </c>
      <c r="E742" s="188">
        <v>41550</v>
      </c>
      <c r="F742" s="186" t="s">
        <v>337</v>
      </c>
      <c r="G742" s="189" t="s">
        <v>1330</v>
      </c>
      <c r="H742" s="7" t="s">
        <v>1077</v>
      </c>
      <c r="I742" s="249"/>
      <c r="J742" s="249"/>
      <c r="K742" s="38">
        <v>18576657</v>
      </c>
      <c r="L742" s="191" t="s">
        <v>47</v>
      </c>
      <c r="M742" s="191" t="s">
        <v>262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IF(OR(TH!L742=TH!$U$7,M742=TH!$U$7),"x","")</f>
        <v/>
      </c>
      <c r="V742" s="52" t="str">
        <f>IF(AND(B742&gt;='IN-NX'!$P$3,B742&lt;='IN-NX'!$Q$3,'IN-NX'!$D$7=D742,OR(LEFT(L742,2)="15",AND(LEFT(M742,2)&lt;&gt;"15",LEFT(M742,2)&lt;&gt;"33"))),"x","")</f>
        <v/>
      </c>
      <c r="W742" s="52" t="str">
        <f>IF(AND(OR(LEFT(TH!L742,2)="15",LEFT(TH!M742,2)="15"),'152-CT'!$J$8=TH!F742),"x","")</f>
        <v/>
      </c>
      <c r="X742" s="52" t="str">
        <f>IF(AND(OR(LEFT(TH!L742,2)="15",LEFT(TH!M742,2)="15"),TK!$E$7=TH!F742),"x","")</f>
        <v/>
      </c>
      <c r="Y742" s="52" t="str">
        <f>IF(AND(B742&lt;=NKC!$N$8,B742&gt;=NKC!$M$8),"x","")</f>
        <v/>
      </c>
      <c r="Z742" s="208"/>
      <c r="AA742" s="587" t="str">
        <f>IF(VLOOKUP(H742,DS_131,1,0)&lt;&gt;"","","x")</f>
        <v/>
      </c>
      <c r="AB742" s="587"/>
    </row>
    <row r="743" spans="1:28" ht="15.75" customHeight="1">
      <c r="A743" s="201" t="str">
        <f>IF(B743&lt;&gt;"",IF(AND(B743&gt;=_TM1,B743&lt;=_TM2,OR(TH!L743="1111",TH!M743="1111")),TH!D743,""),"")</f>
        <v>T02</v>
      </c>
      <c r="B743" s="36">
        <f t="shared" si="31"/>
        <v>10</v>
      </c>
      <c r="C743" s="181">
        <f t="shared" si="32"/>
        <v>41552</v>
      </c>
      <c r="D743" s="181" t="s">
        <v>373</v>
      </c>
      <c r="E743" s="188">
        <v>41552</v>
      </c>
      <c r="F743" s="186" t="s">
        <v>469</v>
      </c>
      <c r="G743" s="597" t="s">
        <v>332</v>
      </c>
      <c r="H743" s="7" t="s">
        <v>364</v>
      </c>
      <c r="I743" s="250"/>
      <c r="J743" s="251"/>
      <c r="K743" s="595">
        <v>14800000</v>
      </c>
      <c r="L743" s="596" t="s">
        <v>47</v>
      </c>
      <c r="M743" s="5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>x</v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IF(OR(TH!L743=TH!$U$7,M743=TH!$U$7),"x","")</f>
        <v/>
      </c>
      <c r="V743" s="52" t="str">
        <f>IF(AND(B743&gt;='IN-NX'!$P$3,B743&lt;='IN-NX'!$Q$3,'IN-NX'!$D$7=D743,OR(LEFT(L743,2)="15",AND(LEFT(M743,2)&lt;&gt;"15",LEFT(M743,2)&lt;&gt;"33"))),"x","")</f>
        <v/>
      </c>
      <c r="W743" s="52" t="str">
        <f>IF(AND(OR(LEFT(TH!L743,2)="15",LEFT(TH!M743,2)="15"),'152-CT'!$J$8=TH!F743),"x","")</f>
        <v/>
      </c>
      <c r="X743" s="52" t="str">
        <f>IF(AND(OR(LEFT(TH!L743,2)="15",LEFT(TH!M743,2)="15"),TK!$E$7=TH!F743),"x","")</f>
        <v/>
      </c>
      <c r="Y743" s="52" t="str">
        <f>IF(AND(B743&lt;=NKC!$N$8,B743&gt;=NKC!$M$8),"x","")</f>
        <v/>
      </c>
      <c r="Z743" s="587"/>
    </row>
    <row r="744" spans="1:28" ht="15.75" customHeight="1">
      <c r="A744" s="201" t="str">
        <f>IF(B744&lt;&gt;"",IF(AND(B744&gt;=_TM1,B744&lt;=_TM2,OR(TH!L744="1111",TH!M744="1111")),TH!D744,""),"")</f>
        <v/>
      </c>
      <c r="B744" s="36">
        <f t="shared" si="31"/>
        <v>10</v>
      </c>
      <c r="C744" s="188">
        <f t="shared" si="32"/>
        <v>41552</v>
      </c>
      <c r="D744" s="181" t="s">
        <v>1019</v>
      </c>
      <c r="E744" s="188">
        <v>41552</v>
      </c>
      <c r="F744" s="189" t="s">
        <v>1119</v>
      </c>
      <c r="G744" s="189" t="s">
        <v>922</v>
      </c>
      <c r="H744" s="7" t="s">
        <v>863</v>
      </c>
      <c r="I744" s="249">
        <v>103</v>
      </c>
      <c r="J744" s="249">
        <v>4080</v>
      </c>
      <c r="K744" s="38">
        <f>ROUND(I744*J744,0)</f>
        <v>420240</v>
      </c>
      <c r="L744" s="191" t="s">
        <v>262</v>
      </c>
      <c r="M744" s="191" t="s">
        <v>172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IF(OR(TH!L744=TH!$U$7,M744=TH!$U$7),"x","")</f>
        <v/>
      </c>
      <c r="V744" s="52" t="str">
        <f>IF(AND(B744&gt;='IN-NX'!$P$3,B744&lt;='IN-NX'!$Q$3,'IN-NX'!$D$7=D744,OR(LEFT(L744,2)="15",AND(LEFT(M744,2)&lt;&gt;"15",LEFT(M744,2)&lt;&gt;"33"))),"x","")</f>
        <v/>
      </c>
      <c r="W744" s="52" t="str">
        <f>IF(AND(OR(LEFT(TH!L744,2)="15",LEFT(TH!M744,2)="15"),'152-CT'!$J$8=TH!F744),"x","")</f>
        <v/>
      </c>
      <c r="X744" s="52" t="str">
        <f>IF(AND(OR(LEFT(TH!L744,2)="15",LEFT(TH!M744,2)="15"),TK!$E$7=TH!F744),"x","")</f>
        <v/>
      </c>
      <c r="Y744" s="52" t="str">
        <f>IF(AND(B744&lt;=NKC!$N$8,B744&gt;=NKC!$M$8),"x","")</f>
        <v/>
      </c>
      <c r="Z744" s="208"/>
      <c r="AA744" s="587"/>
      <c r="AB744" s="587"/>
    </row>
    <row r="745" spans="1:28" ht="15.75" customHeight="1">
      <c r="A745" s="201" t="str">
        <f>IF(B745&lt;&gt;"",IF(AND(B745&gt;=_TM1,B745&lt;=_TM2,OR(TH!L745="1111",TH!M745="1111")),TH!D745,""),"")</f>
        <v/>
      </c>
      <c r="B745" s="36">
        <f t="shared" si="31"/>
        <v>10</v>
      </c>
      <c r="C745" s="188">
        <f t="shared" si="32"/>
        <v>41552</v>
      </c>
      <c r="D745" s="181" t="s">
        <v>1019</v>
      </c>
      <c r="E745" s="188">
        <v>41552</v>
      </c>
      <c r="F745" s="189" t="s">
        <v>1116</v>
      </c>
      <c r="G745" s="189" t="s">
        <v>922</v>
      </c>
      <c r="H745" s="7" t="s">
        <v>863</v>
      </c>
      <c r="I745" s="249">
        <v>2658</v>
      </c>
      <c r="J745" s="249">
        <v>4700</v>
      </c>
      <c r="K745" s="38">
        <f>ROUND(I745*J745,0)</f>
        <v>12492600</v>
      </c>
      <c r="L745" s="191" t="s">
        <v>262</v>
      </c>
      <c r="M745" s="191" t="s">
        <v>172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IF(OR(TH!L745=TH!$U$7,M745=TH!$U$7),"x","")</f>
        <v/>
      </c>
      <c r="V745" s="52" t="str">
        <f>IF(AND(B745&gt;='IN-NX'!$P$3,B745&lt;='IN-NX'!$Q$3,'IN-NX'!$D$7=D745,OR(LEFT(L745,2)="15",AND(LEFT(M745,2)&lt;&gt;"15",LEFT(M745,2)&lt;&gt;"33"))),"x","")</f>
        <v/>
      </c>
      <c r="W745" s="52" t="str">
        <f>IF(AND(OR(LEFT(TH!L745,2)="15",LEFT(TH!M745,2)="15"),'152-CT'!$J$8=TH!F745),"x","")</f>
        <v/>
      </c>
      <c r="X745" s="52" t="str">
        <f>IF(AND(OR(LEFT(TH!L745,2)="15",LEFT(TH!M745,2)="15"),TK!$E$7=TH!F745),"x","")</f>
        <v/>
      </c>
      <c r="Y745" s="52" t="str">
        <f>IF(AND(B745&lt;=NKC!$N$8,B745&gt;=NKC!$M$8),"x","")</f>
        <v/>
      </c>
      <c r="Z745" s="208"/>
      <c r="AA745" s="587"/>
      <c r="AB745" s="208"/>
    </row>
    <row r="746" spans="1:28" ht="15.75" customHeight="1">
      <c r="A746" s="201" t="str">
        <f>IF(B746&lt;&gt;"",IF(AND(B746&gt;=_TM1,B746&lt;=_TM2,OR(TH!L746="1111",TH!M746="1111")),TH!D746,""),"")</f>
        <v/>
      </c>
      <c r="B746" s="36">
        <f t="shared" si="31"/>
        <v>10</v>
      </c>
      <c r="C746" s="188">
        <f t="shared" si="32"/>
        <v>41552</v>
      </c>
      <c r="D746" s="181" t="s">
        <v>1019</v>
      </c>
      <c r="E746" s="188">
        <v>41552</v>
      </c>
      <c r="F746" s="189" t="s">
        <v>693</v>
      </c>
      <c r="G746" s="189" t="s">
        <v>922</v>
      </c>
      <c r="H746" s="7" t="s">
        <v>863</v>
      </c>
      <c r="I746" s="250"/>
      <c r="J746" s="250"/>
      <c r="K746" s="38">
        <v>1291284</v>
      </c>
      <c r="L746" s="191" t="s">
        <v>262</v>
      </c>
      <c r="M746" s="191" t="s">
        <v>425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IF(OR(TH!L746=TH!$U$7,M746=TH!$U$7),"x","")</f>
        <v/>
      </c>
      <c r="V746" s="52" t="str">
        <f>IF(AND(B746&gt;='IN-NX'!$P$3,B746&lt;='IN-NX'!$Q$3,'IN-NX'!$D$7=D746,OR(LEFT(L746,2)="15",AND(LEFT(M746,2)&lt;&gt;"15",LEFT(M746,2)&lt;&gt;"33"))),"x","")</f>
        <v/>
      </c>
      <c r="W746" s="52" t="str">
        <f>IF(AND(OR(LEFT(TH!L746,2)="15",LEFT(TH!M746,2)="15"),'152-CT'!$J$8=TH!F746),"x","")</f>
        <v/>
      </c>
      <c r="X746" s="52" t="str">
        <f>IF(AND(OR(LEFT(TH!L746,2)="15",LEFT(TH!M746,2)="15"),TK!$E$7=TH!F746),"x","")</f>
        <v/>
      </c>
      <c r="Y746" s="52" t="str">
        <f>IF(AND(B746&lt;=NKC!$N$8,B746&gt;=NKC!$M$8),"x","")</f>
        <v/>
      </c>
      <c r="AA746" s="587" t="str">
        <f>IF(VLOOKUP(H746,DS_131,1,0)&lt;&gt;"","","x")</f>
        <v/>
      </c>
    </row>
    <row r="747" spans="1:28" ht="15.75" customHeight="1">
      <c r="A747" s="201" t="str">
        <f>IF(B747&lt;&gt;"",IF(AND(B747&gt;=_TM1,B747&lt;=_TM2,OR(TH!L747="1111",TH!M747="1111")),TH!D747,""),"")</f>
        <v/>
      </c>
      <c r="B747" s="36">
        <f t="shared" si="31"/>
        <v>10</v>
      </c>
      <c r="C747" s="188">
        <f t="shared" si="32"/>
        <v>41552</v>
      </c>
      <c r="D747" s="181" t="s">
        <v>1020</v>
      </c>
      <c r="E747" s="188">
        <v>41552</v>
      </c>
      <c r="F747" s="189" t="s">
        <v>1103</v>
      </c>
      <c r="G747" s="189" t="s">
        <v>923</v>
      </c>
      <c r="H747" s="7" t="s">
        <v>427</v>
      </c>
      <c r="I747" s="249">
        <v>2260</v>
      </c>
      <c r="J747" s="249">
        <v>6250</v>
      </c>
      <c r="K747" s="38">
        <f>ROUND(I747*J747,0)</f>
        <v>14125000</v>
      </c>
      <c r="L747" s="191" t="s">
        <v>262</v>
      </c>
      <c r="M747" s="191" t="s">
        <v>172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IF(OR(TH!L747=TH!$U$7,M747=TH!$U$7),"x","")</f>
        <v/>
      </c>
      <c r="V747" s="52" t="str">
        <f>IF(AND(B747&gt;='IN-NX'!$P$3,B747&lt;='IN-NX'!$Q$3,'IN-NX'!$D$7=D747,OR(LEFT(L747,2)="15",AND(LEFT(M747,2)&lt;&gt;"15",LEFT(M747,2)&lt;&gt;"33"))),"x","")</f>
        <v/>
      </c>
      <c r="W747" s="52" t="str">
        <f>IF(AND(OR(LEFT(TH!L747,2)="15",LEFT(TH!M747,2)="15"),'152-CT'!$J$8=TH!F747),"x","")</f>
        <v/>
      </c>
      <c r="X747" s="52" t="str">
        <f>IF(AND(OR(LEFT(TH!L747,2)="15",LEFT(TH!M747,2)="15"),TK!$E$7=TH!F747),"x","")</f>
        <v/>
      </c>
      <c r="Y747" s="52" t="str">
        <f>IF(AND(B747&lt;=NKC!$N$8,B747&gt;=NKC!$M$8),"x","")</f>
        <v/>
      </c>
      <c r="Z747" s="769"/>
      <c r="AA747" s="587"/>
    </row>
    <row r="748" spans="1:28" ht="15.75" customHeight="1">
      <c r="A748" s="201" t="str">
        <f>IF(B748&lt;&gt;"",IF(AND(B748&gt;=_TM1,B748&lt;=_TM2,OR(TH!L748="1111",TH!M748="1111")),TH!D748,""),"")</f>
        <v/>
      </c>
      <c r="B748" s="36">
        <f t="shared" si="31"/>
        <v>10</v>
      </c>
      <c r="C748" s="188">
        <f t="shared" si="32"/>
        <v>41552</v>
      </c>
      <c r="D748" s="181" t="s">
        <v>1020</v>
      </c>
      <c r="E748" s="188">
        <v>41552</v>
      </c>
      <c r="F748" s="189" t="s">
        <v>693</v>
      </c>
      <c r="G748" s="189" t="s">
        <v>923</v>
      </c>
      <c r="H748" s="7" t="s">
        <v>427</v>
      </c>
      <c r="I748" s="249"/>
      <c r="J748" s="249"/>
      <c r="K748" s="38">
        <v>1412500</v>
      </c>
      <c r="L748" s="191" t="s">
        <v>262</v>
      </c>
      <c r="M748" s="191" t="s">
        <v>425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IF(OR(TH!L748=TH!$U$7,M748=TH!$U$7),"x","")</f>
        <v/>
      </c>
      <c r="V748" s="52" t="str">
        <f>IF(AND(B748&gt;='IN-NX'!$P$3,B748&lt;='IN-NX'!$Q$3,'IN-NX'!$D$7=D748,OR(LEFT(L748,2)="15",AND(LEFT(M748,2)&lt;&gt;"15",LEFT(M748,2)&lt;&gt;"33"))),"x","")</f>
        <v/>
      </c>
      <c r="W748" s="52" t="str">
        <f>IF(AND(OR(LEFT(TH!L748,2)="15",LEFT(TH!M748,2)="15"),'152-CT'!$J$8=TH!F748),"x","")</f>
        <v/>
      </c>
      <c r="X748" s="52" t="str">
        <f>IF(AND(OR(LEFT(TH!L748,2)="15",LEFT(TH!M748,2)="15"),TK!$E$7=TH!F748),"x","")</f>
        <v/>
      </c>
      <c r="Y748" s="52" t="str">
        <f>IF(AND(B748&lt;=NKC!$N$8,B748&gt;=NKC!$M$8),"x","")</f>
        <v/>
      </c>
      <c r="Z748" s="769"/>
      <c r="AA748" s="587" t="str">
        <f>IF(VLOOKUP(H748,DS_131,1,0)&lt;&gt;"","","x")</f>
        <v/>
      </c>
    </row>
    <row r="749" spans="1:28" ht="15.75" customHeight="1">
      <c r="A749" s="201" t="str">
        <f>IF(B749&lt;&gt;"",IF(AND(B749&gt;=_TM1,B749&lt;=_TM2,OR(TH!L749="1111",TH!M749="1111")),TH!D749,""),"")</f>
        <v/>
      </c>
      <c r="B749" s="36">
        <f t="shared" si="31"/>
        <v>10</v>
      </c>
      <c r="C749" s="181">
        <f t="shared" si="32"/>
        <v>41554</v>
      </c>
      <c r="D749" s="181" t="s">
        <v>335</v>
      </c>
      <c r="E749" s="181">
        <v>41554</v>
      </c>
      <c r="F749" s="186" t="s">
        <v>337</v>
      </c>
      <c r="G749" s="597" t="s">
        <v>332</v>
      </c>
      <c r="H749" s="7" t="s">
        <v>506</v>
      </c>
      <c r="I749" s="249"/>
      <c r="J749" s="249"/>
      <c r="K749" s="595">
        <v>19729600</v>
      </c>
      <c r="L749" s="596" t="s">
        <v>24</v>
      </c>
      <c r="M749" s="596" t="s">
        <v>262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>x</v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IF(OR(TH!L749=TH!$U$7,M749=TH!$U$7),"x","")</f>
        <v/>
      </c>
      <c r="V749" s="52" t="str">
        <f>IF(AND(B749&gt;='IN-NX'!$P$3,B749&lt;='IN-NX'!$Q$3,'IN-NX'!$D$7=D749,OR(LEFT(L749,2)="15",AND(LEFT(M749,2)&lt;&gt;"15",LEFT(M749,2)&lt;&gt;"33"))),"x","")</f>
        <v/>
      </c>
      <c r="W749" s="52" t="str">
        <f>IF(AND(OR(LEFT(TH!L749,2)="15",LEFT(TH!M749,2)="15"),'152-CT'!$J$8=TH!F749),"x","")</f>
        <v/>
      </c>
      <c r="X749" s="52" t="str">
        <f>IF(AND(OR(LEFT(TH!L749,2)="15",LEFT(TH!M749,2)="15"),TK!$E$7=TH!F749),"x","")</f>
        <v/>
      </c>
      <c r="Y749" s="52" t="str">
        <f>IF(AND(B749&lt;=NKC!$N$8,B749&gt;=NKC!$M$8),"x","")</f>
        <v/>
      </c>
      <c r="Z749" s="208"/>
    </row>
    <row r="750" spans="1:28" ht="15.75" customHeight="1">
      <c r="A750" s="201" t="str">
        <f>IF(B750&lt;&gt;"",IF(AND(B750&gt;=_TM1,B750&lt;=_TM2,OR(TH!L750="1111",TH!M750="1111")),TH!D750,""),"")</f>
        <v/>
      </c>
      <c r="B750" s="36">
        <f t="shared" si="31"/>
        <v>10</v>
      </c>
      <c r="C750" s="181">
        <f t="shared" si="32"/>
        <v>41554</v>
      </c>
      <c r="D750" s="181" t="s">
        <v>335</v>
      </c>
      <c r="E750" s="188">
        <v>41554</v>
      </c>
      <c r="F750" s="186" t="s">
        <v>337</v>
      </c>
      <c r="G750" s="597" t="s">
        <v>332</v>
      </c>
      <c r="H750" s="7" t="s">
        <v>506</v>
      </c>
      <c r="I750" s="250"/>
      <c r="J750" s="251"/>
      <c r="K750" s="38">
        <v>13959000</v>
      </c>
      <c r="L750" s="596" t="s">
        <v>24</v>
      </c>
      <c r="M750" s="596" t="s">
        <v>262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>x</v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IF(OR(TH!L750=TH!$U$7,M750=TH!$U$7),"x","")</f>
        <v/>
      </c>
      <c r="V750" s="52" t="str">
        <f>IF(AND(B750&gt;='IN-NX'!$P$3,B750&lt;='IN-NX'!$Q$3,'IN-NX'!$D$7=D750,OR(LEFT(L750,2)="15",AND(LEFT(M750,2)&lt;&gt;"15",LEFT(M750,2)&lt;&gt;"33"))),"x","")</f>
        <v/>
      </c>
      <c r="W750" s="52" t="str">
        <f>IF(AND(OR(LEFT(TH!L750,2)="15",LEFT(TH!M750,2)="15"),'152-CT'!$J$8=TH!F750),"x","")</f>
        <v/>
      </c>
      <c r="X750" s="52" t="str">
        <f>IF(AND(OR(LEFT(TH!L750,2)="15",LEFT(TH!M750,2)="15"),TK!$E$7=TH!F750),"x","")</f>
        <v/>
      </c>
      <c r="Y750" s="52" t="str">
        <f>IF(AND(B750&lt;=NKC!$N$8,B750&gt;=NKC!$M$8),"x","")</f>
        <v/>
      </c>
      <c r="Z750" s="208"/>
      <c r="AA750" s="208"/>
      <c r="AB750" s="208"/>
    </row>
    <row r="751" spans="1:28" ht="15.75" customHeight="1">
      <c r="A751" s="201" t="str">
        <f>IF(B751&lt;&gt;"",IF(AND(B751&gt;=_TM1,B751&lt;=_TM2,OR(TH!L751="1111",TH!M751="1111")),TH!D751,""),"")</f>
        <v/>
      </c>
      <c r="B751" s="36">
        <f t="shared" si="31"/>
        <v>10</v>
      </c>
      <c r="C751" s="181">
        <f t="shared" si="32"/>
        <v>41554</v>
      </c>
      <c r="D751" s="181" t="s">
        <v>335</v>
      </c>
      <c r="E751" s="188">
        <v>41554</v>
      </c>
      <c r="F751" s="186" t="s">
        <v>337</v>
      </c>
      <c r="G751" s="597" t="s">
        <v>332</v>
      </c>
      <c r="H751" s="7" t="s">
        <v>517</v>
      </c>
      <c r="I751" s="250"/>
      <c r="J751" s="251"/>
      <c r="K751" s="38">
        <v>18621130</v>
      </c>
      <c r="L751" s="596" t="s">
        <v>24</v>
      </c>
      <c r="M751" s="596" t="s">
        <v>262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>x</v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IF(OR(TH!L751=TH!$U$7,M751=TH!$U$7),"x","")</f>
        <v/>
      </c>
      <c r="V751" s="52" t="str">
        <f>IF(AND(B751&gt;='IN-NX'!$P$3,B751&lt;='IN-NX'!$Q$3,'IN-NX'!$D$7=D751,OR(LEFT(L751,2)="15",AND(LEFT(M751,2)&lt;&gt;"15",LEFT(M751,2)&lt;&gt;"33"))),"x","")</f>
        <v/>
      </c>
      <c r="W751" s="52" t="str">
        <f>IF(AND(OR(LEFT(TH!L751,2)="15",LEFT(TH!M751,2)="15"),'152-CT'!$J$8=TH!F751),"x","")</f>
        <v/>
      </c>
      <c r="X751" s="52" t="str">
        <f>IF(AND(OR(LEFT(TH!L751,2)="15",LEFT(TH!M751,2)="15"),TK!$E$7=TH!F751),"x","")</f>
        <v/>
      </c>
      <c r="Y751" s="52" t="str">
        <f>IF(AND(B751&lt;=NKC!$N$8,B751&gt;=NKC!$M$8),"x","")</f>
        <v/>
      </c>
      <c r="Z751" s="208"/>
      <c r="AA751" s="208"/>
      <c r="AB751" s="208"/>
    </row>
    <row r="752" spans="1:28" ht="15.75" customHeight="1">
      <c r="A752" s="201" t="str">
        <f>IF(B752&lt;&gt;"",IF(AND(B752&gt;=_TM1,B752&lt;=_TM2,OR(TH!L752="1111",TH!M752="1111")),TH!D752,""),"")</f>
        <v>T03</v>
      </c>
      <c r="B752" s="36">
        <f t="shared" si="31"/>
        <v>10</v>
      </c>
      <c r="C752" s="181">
        <f t="shared" si="32"/>
        <v>41554</v>
      </c>
      <c r="D752" s="181" t="s">
        <v>392</v>
      </c>
      <c r="E752" s="188">
        <v>41554</v>
      </c>
      <c r="F752" s="186" t="s">
        <v>469</v>
      </c>
      <c r="G752" s="597" t="s">
        <v>332</v>
      </c>
      <c r="H752" s="7" t="s">
        <v>364</v>
      </c>
      <c r="I752" s="250"/>
      <c r="J752" s="251"/>
      <c r="K752" s="38">
        <v>33700000</v>
      </c>
      <c r="L752" s="596" t="s">
        <v>47</v>
      </c>
      <c r="M752" s="596" t="s">
        <v>24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>x</v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IF(OR(TH!L752=TH!$U$7,M752=TH!$U$7),"x","")</f>
        <v/>
      </c>
      <c r="V752" s="52" t="str">
        <f>IF(AND(B752&gt;='IN-NX'!$P$3,B752&lt;='IN-NX'!$Q$3,'IN-NX'!$D$7=D752,OR(LEFT(L752,2)="15",AND(LEFT(M752,2)&lt;&gt;"15",LEFT(M752,2)&lt;&gt;"33"))),"x","")</f>
        <v/>
      </c>
      <c r="W752" s="52" t="str">
        <f>IF(AND(OR(LEFT(TH!L752,2)="15",LEFT(TH!M752,2)="15"),'152-CT'!$J$8=TH!F752),"x","")</f>
        <v/>
      </c>
      <c r="X752" s="52" t="str">
        <f>IF(AND(OR(LEFT(TH!L752,2)="15",LEFT(TH!M752,2)="15"),TK!$E$7=TH!F752),"x","")</f>
        <v/>
      </c>
      <c r="Y752" s="52" t="str">
        <f>IF(AND(B752&lt;=NKC!$N$8,B752&gt;=NKC!$M$8),"x","")</f>
        <v/>
      </c>
      <c r="Z752" s="587"/>
      <c r="AA752" s="587"/>
      <c r="AB752" s="587"/>
    </row>
    <row r="753" spans="1:28" ht="15.75" customHeight="1">
      <c r="A753" s="201" t="str">
        <f>IF(B753&lt;&gt;"",IF(AND(B753&gt;=_TM1,B753&lt;=_TM2,OR(TH!L753="1111",TH!M753="1111")),TH!D753,""),"")</f>
        <v/>
      </c>
      <c r="B753" s="36">
        <f t="shared" si="31"/>
        <v>10</v>
      </c>
      <c r="C753" s="188">
        <f t="shared" si="32"/>
        <v>41555</v>
      </c>
      <c r="D753" s="181" t="s">
        <v>1021</v>
      </c>
      <c r="E753" s="188">
        <v>41555</v>
      </c>
      <c r="F753" s="189" t="s">
        <v>834</v>
      </c>
      <c r="G753" s="189" t="s">
        <v>924</v>
      </c>
      <c r="H753" s="7" t="s">
        <v>549</v>
      </c>
      <c r="I753" s="249">
        <v>516</v>
      </c>
      <c r="J753" s="249">
        <v>20300</v>
      </c>
      <c r="K753" s="38">
        <f>ROUND(I753*J753,0)</f>
        <v>10474800</v>
      </c>
      <c r="L753" s="191" t="s">
        <v>262</v>
      </c>
      <c r="M753" s="191" t="s">
        <v>172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IF(OR(TH!L753=TH!$U$7,M753=TH!$U$7),"x","")</f>
        <v/>
      </c>
      <c r="V753" s="52" t="str">
        <f>IF(AND(B753&gt;='IN-NX'!$P$3,B753&lt;='IN-NX'!$Q$3,'IN-NX'!$D$7=D753,OR(LEFT(L753,2)="15",AND(LEFT(M753,2)&lt;&gt;"15",LEFT(M753,2)&lt;&gt;"33"))),"x","")</f>
        <v/>
      </c>
      <c r="W753" s="52" t="str">
        <f>IF(AND(OR(LEFT(TH!L753,2)="15",LEFT(TH!M753,2)="15"),'152-CT'!$J$8=TH!F753),"x","")</f>
        <v/>
      </c>
      <c r="X753" s="52" t="str">
        <f>IF(AND(OR(LEFT(TH!L753,2)="15",LEFT(TH!M753,2)="15"),TK!$E$7=TH!F753),"x","")</f>
        <v/>
      </c>
      <c r="Y753" s="52" t="str">
        <f>IF(AND(B753&lt;=NKC!$N$8,B753&gt;=NKC!$M$8),"x","")</f>
        <v/>
      </c>
      <c r="Z753" s="769"/>
      <c r="AA753" s="587"/>
    </row>
    <row r="754" spans="1:28" ht="15.75" customHeight="1">
      <c r="A754" s="201" t="str">
        <f>IF(B754&lt;&gt;"",IF(AND(B754&gt;=_TM1,B754&lt;=_TM2,OR(TH!L754="1111",TH!M754="1111")),TH!D754,""),"")</f>
        <v/>
      </c>
      <c r="B754" s="36">
        <f t="shared" si="31"/>
        <v>10</v>
      </c>
      <c r="C754" s="188">
        <f t="shared" si="32"/>
        <v>41555</v>
      </c>
      <c r="D754" s="181" t="s">
        <v>1021</v>
      </c>
      <c r="E754" s="188">
        <v>41555</v>
      </c>
      <c r="F754" s="189" t="s">
        <v>693</v>
      </c>
      <c r="G754" s="189" t="s">
        <v>924</v>
      </c>
      <c r="H754" s="7" t="s">
        <v>549</v>
      </c>
      <c r="I754" s="249"/>
      <c r="J754" s="249"/>
      <c r="K754" s="38">
        <v>1047480</v>
      </c>
      <c r="L754" s="191" t="s">
        <v>262</v>
      </c>
      <c r="M754" s="191" t="s">
        <v>425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IF(OR(TH!L754=TH!$U$7,M754=TH!$U$7),"x","")</f>
        <v/>
      </c>
      <c r="V754" s="52" t="str">
        <f>IF(AND(B754&gt;='IN-NX'!$P$3,B754&lt;='IN-NX'!$Q$3,'IN-NX'!$D$7=D754,OR(LEFT(L754,2)="15",AND(LEFT(M754,2)&lt;&gt;"15",LEFT(M754,2)&lt;&gt;"33"))),"x","")</f>
        <v/>
      </c>
      <c r="W754" s="52" t="str">
        <f>IF(AND(OR(LEFT(TH!L754,2)="15",LEFT(TH!M754,2)="15"),'152-CT'!$J$8=TH!F754),"x","")</f>
        <v/>
      </c>
      <c r="X754" s="52" t="str">
        <f>IF(AND(OR(LEFT(TH!L754,2)="15",LEFT(TH!M754,2)="15"),TK!$E$7=TH!F754),"x","")</f>
        <v/>
      </c>
      <c r="Y754" s="52" t="str">
        <f>IF(AND(B754&lt;=NKC!$N$8,B754&gt;=NKC!$M$8),"x","")</f>
        <v/>
      </c>
      <c r="Z754" s="769"/>
      <c r="AA754" s="587" t="str">
        <f>IF(VLOOKUP(H754,DS_131,1,0)&lt;&gt;"","","x")</f>
        <v/>
      </c>
    </row>
    <row r="755" spans="1:28" ht="15.75" customHeight="1">
      <c r="A755" s="201" t="str">
        <f>IF(B755&lt;&gt;"",IF(AND(B755&gt;=_TM1,B755&lt;=_TM2,OR(TH!L755="1111",TH!M755="1111")),TH!D755,""),"")</f>
        <v>T04</v>
      </c>
      <c r="B755" s="36">
        <f t="shared" si="31"/>
        <v>10</v>
      </c>
      <c r="C755" s="188">
        <f t="shared" si="32"/>
        <v>41555</v>
      </c>
      <c r="D755" s="181" t="s">
        <v>397</v>
      </c>
      <c r="E755" s="188">
        <v>41555</v>
      </c>
      <c r="F755" s="186" t="s">
        <v>337</v>
      </c>
      <c r="G755" s="189" t="s">
        <v>924</v>
      </c>
      <c r="H755" s="7" t="s">
        <v>549</v>
      </c>
      <c r="I755" s="249"/>
      <c r="J755" s="249"/>
      <c r="K755" s="38">
        <v>11522280</v>
      </c>
      <c r="L755" s="191" t="s">
        <v>47</v>
      </c>
      <c r="M755" s="191" t="s">
        <v>262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IF(OR(TH!L755=TH!$U$7,M755=TH!$U$7),"x","")</f>
        <v/>
      </c>
      <c r="V755" s="52" t="str">
        <f>IF(AND(B755&gt;='IN-NX'!$P$3,B755&lt;='IN-NX'!$Q$3,'IN-NX'!$D$7=D755,OR(LEFT(L755,2)="15",AND(LEFT(M755,2)&lt;&gt;"15",LEFT(M755,2)&lt;&gt;"33"))),"x","")</f>
        <v/>
      </c>
      <c r="W755" s="52" t="str">
        <f>IF(AND(OR(LEFT(TH!L755,2)="15",LEFT(TH!M755,2)="15"),'152-CT'!$J$8=TH!F755),"x","")</f>
        <v/>
      </c>
      <c r="X755" s="52" t="str">
        <f>IF(AND(OR(LEFT(TH!L755,2)="15",LEFT(TH!M755,2)="15"),TK!$E$7=TH!F755),"x","")</f>
        <v/>
      </c>
      <c r="Y755" s="52" t="str">
        <f>IF(AND(B755&lt;=NKC!$N$8,B755&gt;=NKC!$M$8),"x","")</f>
        <v/>
      </c>
      <c r="Z755" s="769"/>
      <c r="AA755" s="587" t="str">
        <f>IF(VLOOKUP(H755,DS_131,1,0)&lt;&gt;"","","x")</f>
        <v/>
      </c>
    </row>
    <row r="756" spans="1:28" ht="15.75" customHeight="1">
      <c r="A756" s="201" t="str">
        <f>IF(B756&lt;&gt;"",IF(AND(B756&gt;=_TM1,B756&lt;=_TM2,OR(TH!L756="1111",TH!M756="1111")),TH!D756,""),"")</f>
        <v>T05</v>
      </c>
      <c r="B756" s="36">
        <f t="shared" si="31"/>
        <v>10</v>
      </c>
      <c r="C756" s="181">
        <f t="shared" si="32"/>
        <v>41556</v>
      </c>
      <c r="D756" s="181" t="s">
        <v>439</v>
      </c>
      <c r="E756" s="188">
        <v>41556</v>
      </c>
      <c r="F756" s="186" t="s">
        <v>469</v>
      </c>
      <c r="G756" s="597" t="s">
        <v>332</v>
      </c>
      <c r="H756" s="7" t="s">
        <v>364</v>
      </c>
      <c r="I756" s="250"/>
      <c r="J756" s="251"/>
      <c r="K756" s="38">
        <v>18500000</v>
      </c>
      <c r="L756" s="596" t="s">
        <v>47</v>
      </c>
      <c r="M756" s="596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>x</v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>x</v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IF(OR(TH!L756=TH!$U$7,M756=TH!$U$7),"x","")</f>
        <v/>
      </c>
      <c r="V756" s="52" t="str">
        <f>IF(AND(B756&gt;='IN-NX'!$P$3,B756&lt;='IN-NX'!$Q$3,'IN-NX'!$D$7=D756,OR(LEFT(L756,2)="15",AND(LEFT(M756,2)&lt;&gt;"15",LEFT(M756,2)&lt;&gt;"33"))),"x","")</f>
        <v/>
      </c>
      <c r="W756" s="52" t="str">
        <f>IF(AND(OR(LEFT(TH!L756,2)="15",LEFT(TH!M756,2)="15"),'152-CT'!$J$8=TH!F756),"x","")</f>
        <v/>
      </c>
      <c r="X756" s="52" t="str">
        <f>IF(AND(OR(LEFT(TH!L756,2)="15",LEFT(TH!M756,2)="15"),TK!$E$7=TH!F756),"x","")</f>
        <v/>
      </c>
      <c r="Y756" s="52" t="str">
        <f>IF(AND(B756&lt;=NKC!$N$8,B756&gt;=NKC!$M$8),"x","")</f>
        <v/>
      </c>
      <c r="Z756" s="587"/>
      <c r="AA756" s="587"/>
      <c r="AB756" s="587"/>
    </row>
    <row r="757" spans="1:28" ht="15.75" customHeight="1">
      <c r="A757" s="201" t="str">
        <f>IF(B757&lt;&gt;"",IF(AND(B757&gt;=_TM1,B757&lt;=_TM2,OR(TH!L757="1111",TH!M757="1111")),TH!D757,""),"")</f>
        <v/>
      </c>
      <c r="B757" s="36">
        <f t="shared" si="31"/>
        <v>10</v>
      </c>
      <c r="C757" s="181">
        <f t="shared" si="32"/>
        <v>41557</v>
      </c>
      <c r="D757" s="181" t="s">
        <v>335</v>
      </c>
      <c r="E757" s="188">
        <v>41557</v>
      </c>
      <c r="F757" s="186" t="s">
        <v>337</v>
      </c>
      <c r="G757" s="597" t="s">
        <v>332</v>
      </c>
      <c r="H757" s="7" t="s">
        <v>427</v>
      </c>
      <c r="I757" s="250"/>
      <c r="J757" s="251"/>
      <c r="K757" s="38">
        <v>6806250</v>
      </c>
      <c r="L757" s="596" t="s">
        <v>24</v>
      </c>
      <c r="M757" s="596" t="s">
        <v>262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>x</v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IF(OR(TH!L757=TH!$U$7,M757=TH!$U$7),"x","")</f>
        <v/>
      </c>
      <c r="V757" s="52" t="str">
        <f>IF(AND(B757&gt;='IN-NX'!$P$3,B757&lt;='IN-NX'!$Q$3,'IN-NX'!$D$7=D757,OR(LEFT(L757,2)="15",AND(LEFT(M757,2)&lt;&gt;"15",LEFT(M757,2)&lt;&gt;"33"))),"x","")</f>
        <v/>
      </c>
      <c r="W757" s="52" t="str">
        <f>IF(AND(OR(LEFT(TH!L757,2)="15",LEFT(TH!M757,2)="15"),'152-CT'!$J$8=TH!F757),"x","")</f>
        <v/>
      </c>
      <c r="X757" s="52" t="str">
        <f>IF(AND(OR(LEFT(TH!L757,2)="15",LEFT(TH!M757,2)="15"),TK!$E$7=TH!F757),"x","")</f>
        <v/>
      </c>
      <c r="Y757" s="52" t="str">
        <f>IF(AND(B757&lt;=NKC!$N$8,B757&gt;=NKC!$M$8),"x","")</f>
        <v/>
      </c>
      <c r="Z757" s="208"/>
      <c r="AA757" s="208"/>
      <c r="AB757" s="587"/>
    </row>
    <row r="758" spans="1:28" ht="15.75" customHeight="1">
      <c r="A758" s="201" t="str">
        <f>IF(B758&lt;&gt;"",IF(AND(B758&gt;=_TM1,B758&lt;=_TM2,OR(TH!L758="1111",TH!M758="1111")),TH!D758,""),"")</f>
        <v/>
      </c>
      <c r="B758" s="36">
        <f t="shared" si="31"/>
        <v>10</v>
      </c>
      <c r="C758" s="188">
        <f t="shared" si="32"/>
        <v>41557</v>
      </c>
      <c r="D758" s="181" t="s">
        <v>1022</v>
      </c>
      <c r="E758" s="188">
        <v>41557</v>
      </c>
      <c r="F758" s="189" t="s">
        <v>1097</v>
      </c>
      <c r="G758" s="189" t="s">
        <v>925</v>
      </c>
      <c r="H758" s="7" t="s">
        <v>510</v>
      </c>
      <c r="I758" s="250">
        <v>304</v>
      </c>
      <c r="J758" s="250">
        <v>6400</v>
      </c>
      <c r="K758" s="38">
        <f>ROUND(I758*J758,0)</f>
        <v>1945600</v>
      </c>
      <c r="L758" s="191" t="s">
        <v>262</v>
      </c>
      <c r="M758" s="191" t="s">
        <v>172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IF(OR(TH!L758=TH!$U$7,M758=TH!$U$7),"x","")</f>
        <v/>
      </c>
      <c r="V758" s="52" t="str">
        <f>IF(AND(B758&gt;='IN-NX'!$P$3,B758&lt;='IN-NX'!$Q$3,'IN-NX'!$D$7=D758,OR(LEFT(L758,2)="15",AND(LEFT(M758,2)&lt;&gt;"15",LEFT(M758,2)&lt;&gt;"33"))),"x","")</f>
        <v/>
      </c>
      <c r="W758" s="52" t="str">
        <f>IF(AND(OR(LEFT(TH!L758,2)="15",LEFT(TH!M758,2)="15"),'152-CT'!$J$8=TH!F758),"x","")</f>
        <v/>
      </c>
      <c r="X758" s="52" t="str">
        <f>IF(AND(OR(LEFT(TH!L758,2)="15",LEFT(TH!M758,2)="15"),TK!$E$7=TH!F758),"x","")</f>
        <v/>
      </c>
      <c r="Y758" s="52" t="str">
        <f>IF(AND(B758&lt;=NKC!$N$8,B758&gt;=NKC!$M$8),"x","")</f>
        <v/>
      </c>
      <c r="Z758" s="769"/>
      <c r="AA758" s="587"/>
    </row>
    <row r="759" spans="1:28" ht="15.75" customHeight="1">
      <c r="A759" s="201" t="str">
        <f>IF(B759&lt;&gt;"",IF(AND(B759&gt;=_TM1,B759&lt;=_TM2,OR(TH!L759="1111",TH!M759="1111")),TH!D759,""),"")</f>
        <v/>
      </c>
      <c r="B759" s="36">
        <f t="shared" si="31"/>
        <v>10</v>
      </c>
      <c r="C759" s="188">
        <f t="shared" si="32"/>
        <v>41557</v>
      </c>
      <c r="D759" s="181" t="s">
        <v>1022</v>
      </c>
      <c r="E759" s="181">
        <v>41557</v>
      </c>
      <c r="F759" s="186" t="s">
        <v>693</v>
      </c>
      <c r="G759" s="186" t="s">
        <v>925</v>
      </c>
      <c r="H759" s="7" t="s">
        <v>510</v>
      </c>
      <c r="I759" s="249"/>
      <c r="J759" s="249"/>
      <c r="K759" s="595">
        <v>194560</v>
      </c>
      <c r="L759" s="191" t="s">
        <v>262</v>
      </c>
      <c r="M759" s="191" t="s">
        <v>425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IF(OR(TH!L759=TH!$U$7,M759=TH!$U$7),"x","")</f>
        <v/>
      </c>
      <c r="V759" s="52" t="str">
        <f>IF(AND(B759&gt;='IN-NX'!$P$3,B759&lt;='IN-NX'!$Q$3,'IN-NX'!$D$7=D759,OR(LEFT(L759,2)="15",AND(LEFT(M759,2)&lt;&gt;"15",LEFT(M759,2)&lt;&gt;"33"))),"x","")</f>
        <v/>
      </c>
      <c r="W759" s="52" t="str">
        <f>IF(AND(OR(LEFT(TH!L759,2)="15",LEFT(TH!M759,2)="15"),'152-CT'!$J$8=TH!F759),"x","")</f>
        <v/>
      </c>
      <c r="X759" s="52" t="str">
        <f>IF(AND(OR(LEFT(TH!L759,2)="15",LEFT(TH!M759,2)="15"),TK!$E$7=TH!F759),"x","")</f>
        <v/>
      </c>
      <c r="Y759" s="52" t="str">
        <f>IF(AND(B759&lt;=NKC!$N$8,B759&gt;=NKC!$M$8),"x","")</f>
        <v/>
      </c>
      <c r="Z759" s="769"/>
      <c r="AA759" s="587" t="str">
        <f>IF(VLOOKUP(H759,DS_131,1,0)&lt;&gt;"","","x")</f>
        <v/>
      </c>
    </row>
    <row r="760" spans="1:28" ht="15.75" customHeight="1">
      <c r="A760" s="201" t="str">
        <f>IF(B760&lt;&gt;"",IF(AND(B760&gt;=_TM1,B760&lt;=_TM2,OR(TH!L760="1111",TH!M760="1111")),TH!D760,""),"")</f>
        <v/>
      </c>
      <c r="B760" s="36">
        <f t="shared" ref="B760:B818" si="33">IF(C760&lt;&gt;"",MONTH(C760),"")</f>
        <v>10</v>
      </c>
      <c r="C760" s="188">
        <f t="shared" si="32"/>
        <v>41559</v>
      </c>
      <c r="D760" s="181" t="s">
        <v>403</v>
      </c>
      <c r="E760" s="188">
        <v>41559</v>
      </c>
      <c r="F760" s="189" t="s">
        <v>654</v>
      </c>
      <c r="G760" s="480" t="s">
        <v>655</v>
      </c>
      <c r="H760" s="190" t="s">
        <v>656</v>
      </c>
      <c r="I760" s="249">
        <v>1800</v>
      </c>
      <c r="J760" s="249">
        <v>8500</v>
      </c>
      <c r="K760" s="38">
        <f>ROUND(I760*J760,0)</f>
        <v>15300000</v>
      </c>
      <c r="L760" s="191" t="s">
        <v>156</v>
      </c>
      <c r="M760" s="191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IF(OR(TH!L760=TH!$U$7,M760=TH!$U$7),"x","")</f>
        <v/>
      </c>
      <c r="V760" s="52" t="str">
        <f>IF(AND(B760&gt;='IN-NX'!$P$3,B760&lt;='IN-NX'!$Q$3,'IN-NX'!$D$7=D760,OR(LEFT(L760,2)="15",AND(LEFT(M760,2)&lt;&gt;"15",LEFT(M760,2)&lt;&gt;"33"))),"x","")</f>
        <v/>
      </c>
      <c r="W760" s="52" t="str">
        <f>IF(AND(OR(LEFT(TH!L760,2)="15",LEFT(TH!M760,2)="15"),'152-CT'!$J$8=TH!F760),"x","")</f>
        <v>x</v>
      </c>
      <c r="X760" s="52" t="str">
        <f>IF(AND(OR(LEFT(TH!L760,2)="15",LEFT(TH!M760,2)="15"),TK!$E$7=TH!F760),"x","")</f>
        <v/>
      </c>
      <c r="Y760" s="52" t="str">
        <f>IF(AND(B760&lt;=NKC!$N$8,B760&gt;=NKC!$M$8),"x","")</f>
        <v/>
      </c>
      <c r="Z760" s="587" t="s">
        <v>1336</v>
      </c>
    </row>
    <row r="761" spans="1:28" ht="15.75" customHeight="1">
      <c r="A761" s="201" t="str">
        <f>IF(B761&lt;&gt;"",IF(AND(B761&gt;=_TM1,B761&lt;=_TM2,OR(TH!L761="1111",TH!M761="1111")),TH!D761,""),"")</f>
        <v/>
      </c>
      <c r="B761" s="36">
        <f t="shared" si="33"/>
        <v>10</v>
      </c>
      <c r="C761" s="188">
        <f t="shared" si="32"/>
        <v>41559</v>
      </c>
      <c r="D761" s="181" t="s">
        <v>403</v>
      </c>
      <c r="E761" s="188">
        <v>41559</v>
      </c>
      <c r="F761" s="189" t="s">
        <v>557</v>
      </c>
      <c r="G761" s="480" t="s">
        <v>655</v>
      </c>
      <c r="H761" s="190" t="s">
        <v>656</v>
      </c>
      <c r="I761" s="249"/>
      <c r="J761" s="249"/>
      <c r="K761" s="38">
        <v>1530000</v>
      </c>
      <c r="L761" s="191" t="s">
        <v>9</v>
      </c>
      <c r="M761" s="191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IF(OR(TH!L761=TH!$U$7,M761=TH!$U$7),"x","")</f>
        <v/>
      </c>
      <c r="V761" s="52" t="str">
        <f>IF(AND(B761&gt;='IN-NX'!$P$3,B761&lt;='IN-NX'!$Q$3,'IN-NX'!$D$7=D761,OR(LEFT(L761,2)="15",AND(LEFT(M761,2)&lt;&gt;"15",LEFT(M761,2)&lt;&gt;"33"))),"x","")</f>
        <v/>
      </c>
      <c r="W761" s="52" t="str">
        <f>IF(AND(OR(LEFT(TH!L761,2)="15",LEFT(TH!M761,2)="15"),'152-CT'!$J$8=TH!F761),"x","")</f>
        <v/>
      </c>
      <c r="X761" s="52" t="str">
        <f>IF(AND(OR(LEFT(TH!L761,2)="15",LEFT(TH!M761,2)="15"),TK!$E$7=TH!F761),"x","")</f>
        <v/>
      </c>
      <c r="Y761" s="52" t="str">
        <f>IF(AND(B761&lt;=NKC!$N$8,B761&gt;=NKC!$M$8),"x","")</f>
        <v/>
      </c>
      <c r="Z761" s="587" t="s">
        <v>1336</v>
      </c>
    </row>
    <row r="762" spans="1:28" ht="15.75" customHeight="1">
      <c r="A762" s="201" t="str">
        <f>IF(B762&lt;&gt;"",IF(AND(B762&gt;=_TM1,B762&lt;=_TM2,OR(TH!L762="1111",TH!M762="1111")),TH!D762,""),"")</f>
        <v>C02</v>
      </c>
      <c r="B762" s="36">
        <f t="shared" si="33"/>
        <v>10</v>
      </c>
      <c r="C762" s="188">
        <f t="shared" si="32"/>
        <v>41559</v>
      </c>
      <c r="D762" s="181" t="s">
        <v>375</v>
      </c>
      <c r="E762" s="188">
        <v>41559</v>
      </c>
      <c r="F762" s="189" t="s">
        <v>367</v>
      </c>
      <c r="G762" s="480" t="s">
        <v>655</v>
      </c>
      <c r="H762" s="190" t="s">
        <v>656</v>
      </c>
      <c r="I762" s="249"/>
      <c r="J762" s="249"/>
      <c r="K762" s="38">
        <v>16830000</v>
      </c>
      <c r="L762" s="191" t="s">
        <v>8</v>
      </c>
      <c r="M762" s="191" t="s">
        <v>47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>x</v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IF(OR(TH!L762=TH!$U$7,M762=TH!$U$7),"x","")</f>
        <v/>
      </c>
      <c r="V762" s="52" t="str">
        <f>IF(AND(B762&gt;='IN-NX'!$P$3,B762&lt;='IN-NX'!$Q$3,'IN-NX'!$D$7=D762,OR(LEFT(L762,2)="15",AND(LEFT(M762,2)&lt;&gt;"15",LEFT(M762,2)&lt;&gt;"33"))),"x","")</f>
        <v/>
      </c>
      <c r="W762" s="52" t="str">
        <f>IF(AND(OR(LEFT(TH!L762,2)="15",LEFT(TH!M762,2)="15"),'152-CT'!$J$8=TH!F762),"x","")</f>
        <v/>
      </c>
      <c r="X762" s="52" t="str">
        <f>IF(AND(OR(LEFT(TH!L762,2)="15",LEFT(TH!M762,2)="15"),TK!$E$7=TH!F762),"x","")</f>
        <v/>
      </c>
      <c r="Y762" s="52" t="str">
        <f>IF(AND(B762&lt;=NKC!$N$8,B762&gt;=NKC!$M$8),"x","")</f>
        <v/>
      </c>
      <c r="Z762" s="208"/>
    </row>
    <row r="763" spans="1:28" ht="15.75" customHeight="1">
      <c r="A763" s="201" t="str">
        <f>IF(B763&lt;&gt;"",IF(AND(B763&gt;=_TM1,B763&lt;=_TM2,OR(TH!L763="1111",TH!M763="1111")),TH!D763,""),"")</f>
        <v/>
      </c>
      <c r="B763" s="36">
        <f t="shared" si="33"/>
        <v>10</v>
      </c>
      <c r="C763" s="181">
        <f t="shared" si="32"/>
        <v>41561</v>
      </c>
      <c r="D763" s="181" t="s">
        <v>335</v>
      </c>
      <c r="E763" s="188">
        <v>41561</v>
      </c>
      <c r="F763" s="186" t="s">
        <v>337</v>
      </c>
      <c r="G763" s="597" t="s">
        <v>332</v>
      </c>
      <c r="H763" s="7" t="s">
        <v>506</v>
      </c>
      <c r="I763" s="250"/>
      <c r="J763" s="251"/>
      <c r="K763" s="38">
        <v>13855600</v>
      </c>
      <c r="L763" s="596" t="s">
        <v>24</v>
      </c>
      <c r="M763" s="596" t="s">
        <v>262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>x</v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IF(OR(TH!L763=TH!$U$7,M763=TH!$U$7),"x","")</f>
        <v/>
      </c>
      <c r="V763" s="52" t="str">
        <f>IF(AND(B763&gt;='IN-NX'!$P$3,B763&lt;='IN-NX'!$Q$3,'IN-NX'!$D$7=D763,OR(LEFT(L763,2)="15",AND(LEFT(M763,2)&lt;&gt;"15",LEFT(M763,2)&lt;&gt;"33"))),"x","")</f>
        <v/>
      </c>
      <c r="W763" s="52" t="str">
        <f>IF(AND(OR(LEFT(TH!L763,2)="15",LEFT(TH!M763,2)="15"),'152-CT'!$J$8=TH!F763),"x","")</f>
        <v/>
      </c>
      <c r="X763" s="52" t="str">
        <f>IF(AND(OR(LEFT(TH!L763,2)="15",LEFT(TH!M763,2)="15"),TK!$E$7=TH!F763),"x","")</f>
        <v/>
      </c>
      <c r="Y763" s="52" t="str">
        <f>IF(AND(B763&lt;=NKC!$N$8,B763&gt;=NKC!$M$8),"x","")</f>
        <v/>
      </c>
      <c r="Z763" s="208"/>
    </row>
    <row r="764" spans="1:28" ht="15.75" customHeight="1">
      <c r="A764" s="201" t="str">
        <f>IF(B764&lt;&gt;"",IF(AND(B764&gt;=_TM1,B764&lt;=_TM2,OR(TH!L764="1111",TH!M764="1111")),TH!D764,""),"")</f>
        <v/>
      </c>
      <c r="B764" s="36">
        <f t="shared" si="33"/>
        <v>10</v>
      </c>
      <c r="C764" s="181">
        <f t="shared" ref="C764:C822" si="34">E764</f>
        <v>41562</v>
      </c>
      <c r="D764" s="181" t="s">
        <v>335</v>
      </c>
      <c r="E764" s="181">
        <v>41562</v>
      </c>
      <c r="F764" s="186" t="s">
        <v>337</v>
      </c>
      <c r="G764" s="597" t="s">
        <v>332</v>
      </c>
      <c r="H764" s="7" t="s">
        <v>503</v>
      </c>
      <c r="I764" s="249"/>
      <c r="J764" s="249"/>
      <c r="K764" s="38">
        <v>10000000</v>
      </c>
      <c r="L764" s="596" t="s">
        <v>24</v>
      </c>
      <c r="M764" s="596" t="s">
        <v>262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>x</v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IF(OR(TH!L764=TH!$U$7,M764=TH!$U$7),"x","")</f>
        <v/>
      </c>
      <c r="V764" s="52" t="str">
        <f>IF(AND(B764&gt;='IN-NX'!$P$3,B764&lt;='IN-NX'!$Q$3,'IN-NX'!$D$7=D764,OR(LEFT(L764,2)="15",AND(LEFT(M764,2)&lt;&gt;"15",LEFT(M764,2)&lt;&gt;"33"))),"x","")</f>
        <v/>
      </c>
      <c r="W764" s="52" t="str">
        <f>IF(AND(OR(LEFT(TH!L764,2)="15",LEFT(TH!M764,2)="15"),'152-CT'!$J$8=TH!F764),"x","")</f>
        <v/>
      </c>
      <c r="X764" s="52" t="str">
        <f>IF(AND(OR(LEFT(TH!L764,2)="15",LEFT(TH!M764,2)="15"),TK!$E$7=TH!F764),"x","")</f>
        <v/>
      </c>
      <c r="Y764" s="52" t="str">
        <f>IF(AND(B764&lt;=NKC!$N$8,B764&gt;=NKC!$M$8),"x","")</f>
        <v/>
      </c>
      <c r="Z764" s="208"/>
    </row>
    <row r="765" spans="1:28" ht="15.75" customHeight="1">
      <c r="A765" s="201" t="str">
        <f>IF(B765&lt;&gt;"",IF(AND(B765&gt;=_TM1,B765&lt;=_TM2,OR(TH!L765="1111",TH!M765="1111")),TH!D765,""),"")</f>
        <v>T06</v>
      </c>
      <c r="B765" s="36">
        <f t="shared" si="33"/>
        <v>10</v>
      </c>
      <c r="C765" s="181">
        <f t="shared" si="34"/>
        <v>41562</v>
      </c>
      <c r="D765" s="181" t="s">
        <v>449</v>
      </c>
      <c r="E765" s="188">
        <v>41562</v>
      </c>
      <c r="F765" s="186" t="s">
        <v>469</v>
      </c>
      <c r="G765" s="597" t="s">
        <v>332</v>
      </c>
      <c r="H765" s="7" t="s">
        <v>364</v>
      </c>
      <c r="I765" s="249"/>
      <c r="J765" s="251"/>
      <c r="K765" s="595">
        <v>30800000</v>
      </c>
      <c r="L765" s="596" t="s">
        <v>47</v>
      </c>
      <c r="M765" s="5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>x</v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>x</v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IF(OR(TH!L765=TH!$U$7,M765=TH!$U$7),"x","")</f>
        <v/>
      </c>
      <c r="V765" s="52" t="str">
        <f>IF(AND(B765&gt;='IN-NX'!$P$3,B765&lt;='IN-NX'!$Q$3,'IN-NX'!$D$7=D765,OR(LEFT(L765,2)="15",AND(LEFT(M765,2)&lt;&gt;"15",LEFT(M765,2)&lt;&gt;"33"))),"x","")</f>
        <v/>
      </c>
      <c r="W765" s="52" t="str">
        <f>IF(AND(OR(LEFT(TH!L765,2)="15",LEFT(TH!M765,2)="15"),'152-CT'!$J$8=TH!F765),"x","")</f>
        <v/>
      </c>
      <c r="X765" s="52" t="str">
        <f>IF(AND(OR(LEFT(TH!L765,2)="15",LEFT(TH!M765,2)="15"),TK!$E$7=TH!F765),"x","")</f>
        <v/>
      </c>
      <c r="Y765" s="52" t="str">
        <f>IF(AND(B765&lt;=NKC!$N$8,B765&gt;=NKC!$M$8),"x","")</f>
        <v/>
      </c>
      <c r="Z765" s="587"/>
    </row>
    <row r="766" spans="1:28" ht="15.75" customHeight="1">
      <c r="A766" s="201" t="str">
        <f>IF(B766&lt;&gt;"",IF(AND(B766&gt;=_TM1,B766&lt;=_TM2,OR(TH!L766="1111",TH!M766="1111")),TH!D766,""),"")</f>
        <v/>
      </c>
      <c r="B766" s="36">
        <f t="shared" si="33"/>
        <v>10</v>
      </c>
      <c r="C766" s="188">
        <f t="shared" si="34"/>
        <v>41563</v>
      </c>
      <c r="D766" s="181" t="s">
        <v>1023</v>
      </c>
      <c r="E766" s="181">
        <v>41563</v>
      </c>
      <c r="F766" s="189" t="s">
        <v>805</v>
      </c>
      <c r="G766" s="597" t="s">
        <v>926</v>
      </c>
      <c r="H766" s="190" t="s">
        <v>710</v>
      </c>
      <c r="I766" s="249">
        <v>996</v>
      </c>
      <c r="J766" s="249">
        <v>10500</v>
      </c>
      <c r="K766" s="38">
        <f>ROUND(I766*J766,0)</f>
        <v>10458000</v>
      </c>
      <c r="L766" s="191" t="s">
        <v>262</v>
      </c>
      <c r="M766" s="191" t="s">
        <v>172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IF(OR(TH!L766=TH!$U$7,M766=TH!$U$7),"x","")</f>
        <v/>
      </c>
      <c r="V766" s="52" t="str">
        <f>IF(AND(B766&gt;='IN-NX'!$P$3,B766&lt;='IN-NX'!$Q$3,'IN-NX'!$D$7=D766,OR(LEFT(L766,2)="15",AND(LEFT(M766,2)&lt;&gt;"15",LEFT(M766,2)&lt;&gt;"33"))),"x","")</f>
        <v/>
      </c>
      <c r="W766" s="52" t="str">
        <f>IF(AND(OR(LEFT(TH!L766,2)="15",LEFT(TH!M766,2)="15"),'152-CT'!$J$8=TH!F766),"x","")</f>
        <v/>
      </c>
      <c r="X766" s="52" t="str">
        <f>IF(AND(OR(LEFT(TH!L766,2)="15",LEFT(TH!M766,2)="15"),TK!$E$7=TH!F766),"x","")</f>
        <v/>
      </c>
      <c r="Y766" s="52" t="str">
        <f>IF(AND(B766&lt;=NKC!$N$8,B766&gt;=NKC!$M$8),"x","")</f>
        <v/>
      </c>
      <c r="Z766" s="769"/>
      <c r="AA766" s="587"/>
    </row>
    <row r="767" spans="1:28" ht="15.75" customHeight="1">
      <c r="A767" s="201" t="str">
        <f>IF(B767&lt;&gt;"",IF(AND(B767&gt;=_TM1,B767&lt;=_TM2,OR(TH!L767="1111",TH!M767="1111")),TH!D767,""),"")</f>
        <v/>
      </c>
      <c r="B767" s="36">
        <f t="shared" si="33"/>
        <v>10</v>
      </c>
      <c r="C767" s="188">
        <f t="shared" si="34"/>
        <v>41563</v>
      </c>
      <c r="D767" s="181" t="s">
        <v>1023</v>
      </c>
      <c r="E767" s="181">
        <v>41563</v>
      </c>
      <c r="F767" s="186" t="s">
        <v>693</v>
      </c>
      <c r="G767" s="186" t="s">
        <v>926</v>
      </c>
      <c r="H767" s="190" t="s">
        <v>710</v>
      </c>
      <c r="I767" s="249"/>
      <c r="J767" s="249"/>
      <c r="K767" s="595">
        <v>1045800</v>
      </c>
      <c r="L767" s="191" t="s">
        <v>262</v>
      </c>
      <c r="M767" s="191" t="s">
        <v>425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IF(OR(TH!L767=TH!$U$7,M767=TH!$U$7),"x","")</f>
        <v/>
      </c>
      <c r="V767" s="52" t="str">
        <f>IF(AND(B767&gt;='IN-NX'!$P$3,B767&lt;='IN-NX'!$Q$3,'IN-NX'!$D$7=D767,OR(LEFT(L767,2)="15",AND(LEFT(M767,2)&lt;&gt;"15",LEFT(M767,2)&lt;&gt;"33"))),"x","")</f>
        <v/>
      </c>
      <c r="W767" s="52" t="str">
        <f>IF(AND(OR(LEFT(TH!L767,2)="15",LEFT(TH!M767,2)="15"),'152-CT'!$J$8=TH!F767),"x","")</f>
        <v/>
      </c>
      <c r="X767" s="52" t="str">
        <f>IF(AND(OR(LEFT(TH!L767,2)="15",LEFT(TH!M767,2)="15"),TK!$E$7=TH!F767),"x","")</f>
        <v/>
      </c>
      <c r="Y767" s="52" t="str">
        <f>IF(AND(B767&lt;=NKC!$N$8,B767&gt;=NKC!$M$8),"x","")</f>
        <v/>
      </c>
      <c r="Z767" s="769"/>
      <c r="AA767" s="587" t="str">
        <f>IF(VLOOKUP(H767,DS_131,1,0)&lt;&gt;"","","x")</f>
        <v/>
      </c>
    </row>
    <row r="768" spans="1:28" ht="15.75" customHeight="1">
      <c r="A768" s="201" t="str">
        <f>IF(B768&lt;&gt;"",IF(AND(B768&gt;=_TM1,B768&lt;=_TM2,OR(TH!L768="1111",TH!M768="1111")),TH!D768,""),"")</f>
        <v/>
      </c>
      <c r="B768" s="36">
        <f t="shared" si="33"/>
        <v>10</v>
      </c>
      <c r="C768" s="188">
        <f t="shared" si="34"/>
        <v>41563</v>
      </c>
      <c r="D768" s="181" t="s">
        <v>1024</v>
      </c>
      <c r="E768" s="181">
        <v>41563</v>
      </c>
      <c r="F768" s="186" t="s">
        <v>1126</v>
      </c>
      <c r="G768" s="186" t="s">
        <v>927</v>
      </c>
      <c r="H768" s="7" t="s">
        <v>511</v>
      </c>
      <c r="I768" s="249">
        <v>1400</v>
      </c>
      <c r="J768" s="249">
        <v>4890</v>
      </c>
      <c r="K768" s="38">
        <f>ROUND(I768*J768,0)</f>
        <v>6846000</v>
      </c>
      <c r="L768" s="191" t="s">
        <v>262</v>
      </c>
      <c r="M768" s="191" t="s">
        <v>172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IF(OR(TH!L768=TH!$U$7,M768=TH!$U$7),"x","")</f>
        <v/>
      </c>
      <c r="V768" s="52" t="str">
        <f>IF(AND(B768&gt;='IN-NX'!$P$3,B768&lt;='IN-NX'!$Q$3,'IN-NX'!$D$7=D768,OR(LEFT(L768,2)="15",AND(LEFT(M768,2)&lt;&gt;"15",LEFT(M768,2)&lt;&gt;"33"))),"x","")</f>
        <v/>
      </c>
      <c r="W768" s="52" t="str">
        <f>IF(AND(OR(LEFT(TH!L768,2)="15",LEFT(TH!M768,2)="15"),'152-CT'!$J$8=TH!F768),"x","")</f>
        <v/>
      </c>
      <c r="X768" s="52" t="str">
        <f>IF(AND(OR(LEFT(TH!L768,2)="15",LEFT(TH!M768,2)="15"),TK!$E$7=TH!F768),"x","")</f>
        <v/>
      </c>
      <c r="Y768" s="52" t="str">
        <f>IF(AND(B768&lt;=NKC!$N$8,B768&gt;=NKC!$M$8),"x","")</f>
        <v/>
      </c>
      <c r="Z768" s="769"/>
      <c r="AA768" s="587"/>
    </row>
    <row r="769" spans="1:27" ht="15.75" customHeight="1">
      <c r="A769" s="201" t="str">
        <f>IF(B769&lt;&gt;"",IF(AND(B769&gt;=_TM1,B769&lt;=_TM2,OR(TH!L769="1111",TH!M769="1111")),TH!D769,""),"")</f>
        <v/>
      </c>
      <c r="B769" s="36">
        <f t="shared" si="33"/>
        <v>10</v>
      </c>
      <c r="C769" s="188">
        <f t="shared" si="34"/>
        <v>41563</v>
      </c>
      <c r="D769" s="181" t="s">
        <v>1024</v>
      </c>
      <c r="E769" s="181">
        <v>41563</v>
      </c>
      <c r="F769" s="186" t="s">
        <v>693</v>
      </c>
      <c r="G769" s="597" t="s">
        <v>927</v>
      </c>
      <c r="H769" s="7" t="s">
        <v>511</v>
      </c>
      <c r="I769" s="249"/>
      <c r="J769" s="249"/>
      <c r="K769" s="595">
        <v>684600</v>
      </c>
      <c r="L769" s="191" t="s">
        <v>262</v>
      </c>
      <c r="M769" s="191" t="s">
        <v>425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IF(OR(TH!L769=TH!$U$7,M769=TH!$U$7),"x","")</f>
        <v/>
      </c>
      <c r="V769" s="52" t="str">
        <f>IF(AND(B769&gt;='IN-NX'!$P$3,B769&lt;='IN-NX'!$Q$3,'IN-NX'!$D$7=D769,OR(LEFT(L769,2)="15",AND(LEFT(M769,2)&lt;&gt;"15",LEFT(M769,2)&lt;&gt;"33"))),"x","")</f>
        <v/>
      </c>
      <c r="W769" s="52" t="str">
        <f>IF(AND(OR(LEFT(TH!L769,2)="15",LEFT(TH!M769,2)="15"),'152-CT'!$J$8=TH!F769),"x","")</f>
        <v/>
      </c>
      <c r="X769" s="52" t="str">
        <f>IF(AND(OR(LEFT(TH!L769,2)="15",LEFT(TH!M769,2)="15"),TK!$E$7=TH!F769),"x","")</f>
        <v/>
      </c>
      <c r="Y769" s="52" t="str">
        <f>IF(AND(B769&lt;=NKC!$N$8,B769&gt;=NKC!$M$8),"x","")</f>
        <v/>
      </c>
      <c r="Z769" s="769"/>
      <c r="AA769" s="587" t="str">
        <f>IF(VLOOKUP(H769,DS_131,1,0)&lt;&gt;"","","x")</f>
        <v/>
      </c>
    </row>
    <row r="770" spans="1:27" ht="15.75" customHeight="1">
      <c r="A770" s="201" t="str">
        <f>IF(B770&lt;&gt;"",IF(AND(B770&gt;=_TM1,B770&lt;=_TM2,OR(TH!L770="1111",TH!M770="1111")),TH!D770,""),"")</f>
        <v/>
      </c>
      <c r="B770" s="36">
        <f t="shared" si="33"/>
        <v>10</v>
      </c>
      <c r="C770" s="188">
        <f t="shared" si="34"/>
        <v>41563</v>
      </c>
      <c r="D770" s="181" t="s">
        <v>1025</v>
      </c>
      <c r="E770" s="181">
        <v>41563</v>
      </c>
      <c r="F770" s="189" t="s">
        <v>1116</v>
      </c>
      <c r="G770" s="186" t="s">
        <v>928</v>
      </c>
      <c r="H770" s="7" t="s">
        <v>863</v>
      </c>
      <c r="I770" s="249">
        <v>5391</v>
      </c>
      <c r="J770" s="249">
        <v>4700</v>
      </c>
      <c r="K770" s="38">
        <f>ROUND(I770*J770,0)</f>
        <v>25337700</v>
      </c>
      <c r="L770" s="191" t="s">
        <v>262</v>
      </c>
      <c r="M770" s="191" t="s">
        <v>172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IF(OR(TH!L770=TH!$U$7,M770=TH!$U$7),"x","")</f>
        <v/>
      </c>
      <c r="V770" s="52" t="str">
        <f>IF(AND(B770&gt;='IN-NX'!$P$3,B770&lt;='IN-NX'!$Q$3,'IN-NX'!$D$7=D770,OR(LEFT(L770,2)="15",AND(LEFT(M770,2)&lt;&gt;"15",LEFT(M770,2)&lt;&gt;"33"))),"x","")</f>
        <v/>
      </c>
      <c r="W770" s="52" t="str">
        <f>IF(AND(OR(LEFT(TH!L770,2)="15",LEFT(TH!M770,2)="15"),'152-CT'!$J$8=TH!F770),"x","")</f>
        <v/>
      </c>
      <c r="X770" s="52" t="str">
        <f>IF(AND(OR(LEFT(TH!L770,2)="15",LEFT(TH!M770,2)="15"),TK!$E$7=TH!F770),"x","")</f>
        <v/>
      </c>
      <c r="Y770" s="52" t="str">
        <f>IF(AND(B770&lt;=NKC!$N$8,B770&gt;=NKC!$M$8),"x","")</f>
        <v/>
      </c>
      <c r="Z770" s="769"/>
      <c r="AA770" s="587"/>
    </row>
    <row r="771" spans="1:27" ht="15.75" customHeight="1">
      <c r="A771" s="201" t="str">
        <f>IF(B771&lt;&gt;"",IF(AND(B771&gt;=_TM1,B771&lt;=_TM2,OR(TH!L771="1111",TH!M771="1111")),TH!D771,""),"")</f>
        <v/>
      </c>
      <c r="B771" s="36">
        <f t="shared" si="33"/>
        <v>10</v>
      </c>
      <c r="C771" s="188">
        <f t="shared" si="34"/>
        <v>41563</v>
      </c>
      <c r="D771" s="181" t="s">
        <v>1025</v>
      </c>
      <c r="E771" s="181">
        <v>41563</v>
      </c>
      <c r="F771" s="186" t="s">
        <v>693</v>
      </c>
      <c r="G771" s="186" t="s">
        <v>928</v>
      </c>
      <c r="H771" s="190" t="s">
        <v>863</v>
      </c>
      <c r="I771" s="249"/>
      <c r="J771" s="249"/>
      <c r="K771" s="595">
        <v>2533770</v>
      </c>
      <c r="L771" s="191" t="s">
        <v>262</v>
      </c>
      <c r="M771" s="191" t="s">
        <v>425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IF(OR(TH!L771=TH!$U$7,M771=TH!$U$7),"x","")</f>
        <v/>
      </c>
      <c r="V771" s="52" t="str">
        <f>IF(AND(B771&gt;='IN-NX'!$P$3,B771&lt;='IN-NX'!$Q$3,'IN-NX'!$D$7=D771,OR(LEFT(L771,2)="15",AND(LEFT(M771,2)&lt;&gt;"15",LEFT(M771,2)&lt;&gt;"33"))),"x","")</f>
        <v/>
      </c>
      <c r="W771" s="52" t="str">
        <f>IF(AND(OR(LEFT(TH!L771,2)="15",LEFT(TH!M771,2)="15"),'152-CT'!$J$8=TH!F771),"x","")</f>
        <v/>
      </c>
      <c r="X771" s="52" t="str">
        <f>IF(AND(OR(LEFT(TH!L771,2)="15",LEFT(TH!M771,2)="15"),TK!$E$7=TH!F771),"x","")</f>
        <v/>
      </c>
      <c r="Y771" s="52" t="str">
        <f>IF(AND(B771&lt;=NKC!$N$8,B771&gt;=NKC!$M$8),"x","")</f>
        <v/>
      </c>
      <c r="Z771" s="769"/>
      <c r="AA771" s="587" t="str">
        <f>IF(VLOOKUP(H771,DS_131,1,0)&lt;&gt;"","","x")</f>
        <v/>
      </c>
    </row>
    <row r="772" spans="1:27" ht="15.75" customHeight="1">
      <c r="A772" s="201" t="str">
        <f>IF(B772&lt;&gt;"",IF(AND(B772&gt;=_TM1,B772&lt;=_TM2,OR(TH!L772="1111",TH!M772="1111")),TH!D772,""),"")</f>
        <v/>
      </c>
      <c r="B772" s="36">
        <f t="shared" si="33"/>
        <v>10</v>
      </c>
      <c r="C772" s="188">
        <f t="shared" si="34"/>
        <v>41565</v>
      </c>
      <c r="D772" s="181" t="s">
        <v>1026</v>
      </c>
      <c r="E772" s="181">
        <v>41565</v>
      </c>
      <c r="F772" s="186" t="s">
        <v>907</v>
      </c>
      <c r="G772" s="597" t="s">
        <v>929</v>
      </c>
      <c r="H772" s="190" t="s">
        <v>517</v>
      </c>
      <c r="I772" s="249">
        <v>100</v>
      </c>
      <c r="J772" s="249">
        <v>18600</v>
      </c>
      <c r="K772" s="38">
        <f>ROUND(I772*J772,0)</f>
        <v>1860000</v>
      </c>
      <c r="L772" s="191" t="s">
        <v>262</v>
      </c>
      <c r="M772" s="191" t="s">
        <v>172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IF(OR(TH!L772=TH!$U$7,M772=TH!$U$7),"x","")</f>
        <v/>
      </c>
      <c r="V772" s="52" t="str">
        <f>IF(AND(B772&gt;='IN-NX'!$P$3,B772&lt;='IN-NX'!$Q$3,'IN-NX'!$D$7=D772,OR(LEFT(L772,2)="15",AND(LEFT(M772,2)&lt;&gt;"15",LEFT(M772,2)&lt;&gt;"33"))),"x","")</f>
        <v/>
      </c>
      <c r="W772" s="52" t="str">
        <f>IF(AND(OR(LEFT(TH!L772,2)="15",LEFT(TH!M772,2)="15"),'152-CT'!$J$8=TH!F772),"x","")</f>
        <v/>
      </c>
      <c r="X772" s="52" t="str">
        <f>IF(AND(OR(LEFT(TH!L772,2)="15",LEFT(TH!M772,2)="15"),TK!$E$7=TH!F772),"x","")</f>
        <v/>
      </c>
      <c r="Y772" s="52" t="str">
        <f>IF(AND(B772&lt;=NKC!$N$8,B772&gt;=NKC!$M$8),"x","")</f>
        <v/>
      </c>
      <c r="Z772" s="769"/>
      <c r="AA772" s="587"/>
    </row>
    <row r="773" spans="1:27" ht="15.75" customHeight="1">
      <c r="A773" s="201" t="str">
        <f>IF(B773&lt;&gt;"",IF(AND(B773&gt;=_TM1,B773&lt;=_TM2,OR(TH!L773="1111",TH!M773="1111")),TH!D773,""),"")</f>
        <v/>
      </c>
      <c r="B773" s="36">
        <f t="shared" si="33"/>
        <v>10</v>
      </c>
      <c r="C773" s="188">
        <f t="shared" si="34"/>
        <v>41565</v>
      </c>
      <c r="D773" s="181" t="s">
        <v>1026</v>
      </c>
      <c r="E773" s="181">
        <v>41565</v>
      </c>
      <c r="F773" s="186" t="s">
        <v>693</v>
      </c>
      <c r="G773" s="186" t="s">
        <v>929</v>
      </c>
      <c r="H773" s="190" t="s">
        <v>517</v>
      </c>
      <c r="I773" s="249"/>
      <c r="J773" s="249"/>
      <c r="K773" s="595">
        <v>186000</v>
      </c>
      <c r="L773" s="191" t="s">
        <v>262</v>
      </c>
      <c r="M773" s="191" t="s">
        <v>425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IF(OR(TH!L773=TH!$U$7,M773=TH!$U$7),"x","")</f>
        <v/>
      </c>
      <c r="V773" s="52" t="str">
        <f>IF(AND(B773&gt;='IN-NX'!$P$3,B773&lt;='IN-NX'!$Q$3,'IN-NX'!$D$7=D773,OR(LEFT(L773,2)="15",AND(LEFT(M773,2)&lt;&gt;"15",LEFT(M773,2)&lt;&gt;"33"))),"x","")</f>
        <v/>
      </c>
      <c r="W773" s="52" t="str">
        <f>IF(AND(OR(LEFT(TH!L773,2)="15",LEFT(TH!M773,2)="15"),'152-CT'!$J$8=TH!F773),"x","")</f>
        <v/>
      </c>
      <c r="X773" s="52" t="str">
        <f>IF(AND(OR(LEFT(TH!L773,2)="15",LEFT(TH!M773,2)="15"),TK!$E$7=TH!F773),"x","")</f>
        <v/>
      </c>
      <c r="Y773" s="52" t="str">
        <f>IF(AND(B773&lt;=NKC!$N$8,B773&gt;=NKC!$M$8),"x","")</f>
        <v/>
      </c>
      <c r="Z773" s="769"/>
      <c r="AA773" s="587" t="str">
        <f>IF(VLOOKUP(H773,DS_131,1,0)&lt;&gt;"","","x")</f>
        <v/>
      </c>
    </row>
    <row r="774" spans="1:27" ht="15.75" customHeight="1">
      <c r="A774" s="201" t="str">
        <f>IF(B774&lt;&gt;"",IF(AND(B774&gt;=_TM1,B774&lt;=_TM2,OR(TH!L774="1111",TH!M774="1111")),TH!D774,""),"")</f>
        <v/>
      </c>
      <c r="B774" s="36">
        <f t="shared" si="33"/>
        <v>10</v>
      </c>
      <c r="C774" s="188">
        <f t="shared" si="34"/>
        <v>41566</v>
      </c>
      <c r="D774" s="181" t="s">
        <v>1027</v>
      </c>
      <c r="E774" s="181">
        <v>41566</v>
      </c>
      <c r="F774" s="186" t="s">
        <v>1108</v>
      </c>
      <c r="G774" s="186" t="s">
        <v>930</v>
      </c>
      <c r="H774" s="7" t="s">
        <v>757</v>
      </c>
      <c r="I774" s="249">
        <v>1157</v>
      </c>
      <c r="J774" s="249">
        <v>4700</v>
      </c>
      <c r="K774" s="38">
        <f>ROUND(I774*J774,0)</f>
        <v>5437900</v>
      </c>
      <c r="L774" s="191" t="s">
        <v>262</v>
      </c>
      <c r="M774" s="191" t="s">
        <v>172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IF(OR(TH!L774=TH!$U$7,M774=TH!$U$7),"x","")</f>
        <v/>
      </c>
      <c r="V774" s="52" t="str">
        <f>IF(AND(B774&gt;='IN-NX'!$P$3,B774&lt;='IN-NX'!$Q$3,'IN-NX'!$D$7=D774,OR(LEFT(L774,2)="15",AND(LEFT(M774,2)&lt;&gt;"15",LEFT(M774,2)&lt;&gt;"33"))),"x","")</f>
        <v/>
      </c>
      <c r="W774" s="52" t="str">
        <f>IF(AND(OR(LEFT(TH!L774,2)="15",LEFT(TH!M774,2)="15"),'152-CT'!$J$8=TH!F774),"x","")</f>
        <v/>
      </c>
      <c r="X774" s="52" t="str">
        <f>IF(AND(OR(LEFT(TH!L774,2)="15",LEFT(TH!M774,2)="15"),TK!$E$7=TH!F774),"x","")</f>
        <v/>
      </c>
      <c r="Y774" s="52" t="str">
        <f>IF(AND(B774&lt;=NKC!$N$8,B774&gt;=NKC!$M$8),"x","")</f>
        <v/>
      </c>
      <c r="Z774" s="769"/>
      <c r="AA774" s="587"/>
    </row>
    <row r="775" spans="1:27" ht="15.75" customHeight="1">
      <c r="A775" s="201" t="str">
        <f>IF(B775&lt;&gt;"",IF(AND(B775&gt;=_TM1,B775&lt;=_TM2,OR(TH!L775="1111",TH!M775="1111")),TH!D775,""),"")</f>
        <v/>
      </c>
      <c r="B775" s="36">
        <f t="shared" si="33"/>
        <v>10</v>
      </c>
      <c r="C775" s="188">
        <f t="shared" si="34"/>
        <v>41566</v>
      </c>
      <c r="D775" s="181" t="s">
        <v>1027</v>
      </c>
      <c r="E775" s="181">
        <v>41566</v>
      </c>
      <c r="F775" s="186" t="s">
        <v>931</v>
      </c>
      <c r="G775" s="186" t="s">
        <v>930</v>
      </c>
      <c r="H775" s="7" t="s">
        <v>757</v>
      </c>
      <c r="I775" s="249">
        <v>220</v>
      </c>
      <c r="J775" s="249">
        <v>8280</v>
      </c>
      <c r="K775" s="38">
        <f>ROUND(I775*J775,0)</f>
        <v>1821600</v>
      </c>
      <c r="L775" s="191" t="s">
        <v>262</v>
      </c>
      <c r="M775" s="191" t="s">
        <v>172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IF(OR(TH!L775=TH!$U$7,M775=TH!$U$7),"x","")</f>
        <v/>
      </c>
      <c r="V775" s="52" t="str">
        <f>IF(AND(B775&gt;='IN-NX'!$P$3,B775&lt;='IN-NX'!$Q$3,'IN-NX'!$D$7=D775,OR(LEFT(L775,2)="15",AND(LEFT(M775,2)&lt;&gt;"15",LEFT(M775,2)&lt;&gt;"33"))),"x","")</f>
        <v/>
      </c>
      <c r="W775" s="52" t="str">
        <f>IF(AND(OR(LEFT(TH!L775,2)="15",LEFT(TH!M775,2)="15"),'152-CT'!$J$8=TH!F775),"x","")</f>
        <v/>
      </c>
      <c r="X775" s="52" t="str">
        <f>IF(AND(OR(LEFT(TH!L775,2)="15",LEFT(TH!M775,2)="15"),TK!$E$7=TH!F775),"x","")</f>
        <v/>
      </c>
      <c r="Y775" s="52" t="str">
        <f>IF(AND(B775&lt;=NKC!$N$8,B775&gt;=NKC!$M$8),"x","")</f>
        <v/>
      </c>
      <c r="Z775" s="769"/>
      <c r="AA775" s="587"/>
    </row>
    <row r="776" spans="1:27" ht="15.75" customHeight="1">
      <c r="A776" s="201" t="str">
        <f>IF(B776&lt;&gt;"",IF(AND(B776&gt;=_TM1,B776&lt;=_TM2,OR(TH!L776="1111",TH!M776="1111")),TH!D776,""),"")</f>
        <v/>
      </c>
      <c r="B776" s="36">
        <f t="shared" si="33"/>
        <v>10</v>
      </c>
      <c r="C776" s="188">
        <f t="shared" si="34"/>
        <v>41566</v>
      </c>
      <c r="D776" s="181" t="s">
        <v>1027</v>
      </c>
      <c r="E776" s="181">
        <v>41566</v>
      </c>
      <c r="F776" s="186" t="s">
        <v>693</v>
      </c>
      <c r="G776" s="478" t="s">
        <v>930</v>
      </c>
      <c r="H776" s="7" t="s">
        <v>757</v>
      </c>
      <c r="I776" s="249"/>
      <c r="J776" s="249"/>
      <c r="K776" s="595">
        <v>725950</v>
      </c>
      <c r="L776" s="191" t="s">
        <v>262</v>
      </c>
      <c r="M776" s="191" t="s">
        <v>425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IF(OR(TH!L776=TH!$U$7,M776=TH!$U$7),"x","")</f>
        <v/>
      </c>
      <c r="V776" s="52" t="str">
        <f>IF(AND(B776&gt;='IN-NX'!$P$3,B776&lt;='IN-NX'!$Q$3,'IN-NX'!$D$7=D776,OR(LEFT(L776,2)="15",AND(LEFT(M776,2)&lt;&gt;"15",LEFT(M776,2)&lt;&gt;"33"))),"x","")</f>
        <v/>
      </c>
      <c r="W776" s="52" t="str">
        <f>IF(AND(OR(LEFT(TH!L776,2)="15",LEFT(TH!M776,2)="15"),'152-CT'!$J$8=TH!F776),"x","")</f>
        <v/>
      </c>
      <c r="X776" s="52" t="str">
        <f>IF(AND(OR(LEFT(TH!L776,2)="15",LEFT(TH!M776,2)="15"),TK!$E$7=TH!F776),"x","")</f>
        <v/>
      </c>
      <c r="Y776" s="52" t="str">
        <f>IF(AND(B776&lt;=NKC!$N$8,B776&gt;=NKC!$M$8),"x","")</f>
        <v/>
      </c>
      <c r="Z776" s="769"/>
      <c r="AA776" s="587" t="str">
        <f>IF(VLOOKUP(H776,DS_131,1,0)&lt;&gt;"","","x")</f>
        <v/>
      </c>
    </row>
    <row r="777" spans="1:27" ht="15.75" customHeight="1">
      <c r="A777" s="201" t="str">
        <f>IF(B777&lt;&gt;"",IF(AND(B777&gt;=_TM1,B777&lt;=_TM2,OR(TH!L777="1111",TH!M777="1111")),TH!D777,""),"")</f>
        <v/>
      </c>
      <c r="B777" s="36">
        <f t="shared" si="33"/>
        <v>10</v>
      </c>
      <c r="C777" s="188">
        <f t="shared" si="34"/>
        <v>41568</v>
      </c>
      <c r="D777" s="181" t="s">
        <v>1028</v>
      </c>
      <c r="E777" s="181">
        <v>41568</v>
      </c>
      <c r="F777" s="189" t="s">
        <v>698</v>
      </c>
      <c r="G777" s="186" t="s">
        <v>932</v>
      </c>
      <c r="H777" s="7" t="s">
        <v>470</v>
      </c>
      <c r="I777" s="249">
        <v>529</v>
      </c>
      <c r="J777" s="249">
        <v>8740</v>
      </c>
      <c r="K777" s="38">
        <f>ROUND(I777*J777,0)</f>
        <v>4623460</v>
      </c>
      <c r="L777" s="191" t="s">
        <v>262</v>
      </c>
      <c r="M777" s="191" t="s">
        <v>172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IF(OR(TH!L777=TH!$U$7,M777=TH!$U$7),"x","")</f>
        <v/>
      </c>
      <c r="V777" s="52" t="str">
        <f>IF(AND(B777&gt;='IN-NX'!$P$3,B777&lt;='IN-NX'!$Q$3,'IN-NX'!$D$7=D777,OR(LEFT(L777,2)="15",AND(LEFT(M777,2)&lt;&gt;"15",LEFT(M777,2)&lt;&gt;"33"))),"x","")</f>
        <v/>
      </c>
      <c r="W777" s="52" t="str">
        <f>IF(AND(OR(LEFT(TH!L777,2)="15",LEFT(TH!M777,2)="15"),'152-CT'!$J$8=TH!F777),"x","")</f>
        <v/>
      </c>
      <c r="X777" s="52" t="str">
        <f>IF(AND(OR(LEFT(TH!L777,2)="15",LEFT(TH!M777,2)="15"),TK!$E$7=TH!F777),"x","")</f>
        <v/>
      </c>
      <c r="Y777" s="52" t="str">
        <f>IF(AND(B777&lt;=NKC!$N$8,B777&gt;=NKC!$M$8),"x","")</f>
        <v/>
      </c>
      <c r="Z777" s="769"/>
      <c r="AA777" s="587"/>
    </row>
    <row r="778" spans="1:27" ht="15.75" customHeight="1">
      <c r="A778" s="201" t="str">
        <f>IF(B778&lt;&gt;"",IF(AND(B778&gt;=_TM1,B778&lt;=_TM2,OR(TH!L778="1111",TH!M778="1111")),TH!D778,""),"")</f>
        <v/>
      </c>
      <c r="B778" s="36">
        <f t="shared" si="33"/>
        <v>10</v>
      </c>
      <c r="C778" s="188">
        <f t="shared" si="34"/>
        <v>41568</v>
      </c>
      <c r="D778" s="181" t="s">
        <v>1028</v>
      </c>
      <c r="E778" s="181">
        <v>41568</v>
      </c>
      <c r="F778" s="186" t="s">
        <v>693</v>
      </c>
      <c r="G778" s="478" t="s">
        <v>932</v>
      </c>
      <c r="H778" s="7" t="s">
        <v>470</v>
      </c>
      <c r="I778" s="249"/>
      <c r="J778" s="249"/>
      <c r="K778" s="595">
        <v>462346</v>
      </c>
      <c r="L778" s="191" t="s">
        <v>262</v>
      </c>
      <c r="M778" s="191" t="s">
        <v>425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IF(OR(TH!L778=TH!$U$7,M778=TH!$U$7),"x","")</f>
        <v/>
      </c>
      <c r="V778" s="52" t="str">
        <f>IF(AND(B778&gt;='IN-NX'!$P$3,B778&lt;='IN-NX'!$Q$3,'IN-NX'!$D$7=D778,OR(LEFT(L778,2)="15",AND(LEFT(M778,2)&lt;&gt;"15",LEFT(M778,2)&lt;&gt;"33"))),"x","")</f>
        <v/>
      </c>
      <c r="W778" s="52" t="str">
        <f>IF(AND(OR(LEFT(TH!L778,2)="15",LEFT(TH!M778,2)="15"),'152-CT'!$J$8=TH!F778),"x","")</f>
        <v/>
      </c>
      <c r="X778" s="52" t="str">
        <f>IF(AND(OR(LEFT(TH!L778,2)="15",LEFT(TH!M778,2)="15"),TK!$E$7=TH!F778),"x","")</f>
        <v/>
      </c>
      <c r="Y778" s="52" t="str">
        <f>IF(AND(B778&lt;=NKC!$N$8,B778&gt;=NKC!$M$8),"x","")</f>
        <v/>
      </c>
      <c r="Z778" s="769"/>
      <c r="AA778" s="587" t="str">
        <f>IF(VLOOKUP(H778,DS_131,1,0)&lt;&gt;"","","x")</f>
        <v/>
      </c>
    </row>
    <row r="779" spans="1:27" ht="15.75" customHeight="1">
      <c r="A779" s="201" t="str">
        <f>IF(B779&lt;&gt;"",IF(AND(B779&gt;=_TM1,B779&lt;=_TM2,OR(TH!L779="1111",TH!M779="1111")),TH!D779,""),"")</f>
        <v/>
      </c>
      <c r="B779" s="36">
        <f t="shared" si="33"/>
        <v>10</v>
      </c>
      <c r="C779" s="188">
        <f t="shared" si="34"/>
        <v>41568</v>
      </c>
      <c r="D779" s="181" t="s">
        <v>1029</v>
      </c>
      <c r="E779" s="181">
        <v>41568</v>
      </c>
      <c r="F779" s="186" t="s">
        <v>933</v>
      </c>
      <c r="G779" s="186" t="s">
        <v>934</v>
      </c>
      <c r="H779" s="7" t="s">
        <v>919</v>
      </c>
      <c r="I779" s="249">
        <v>80</v>
      </c>
      <c r="J779" s="249">
        <v>3600</v>
      </c>
      <c r="K779" s="38">
        <f t="shared" ref="K779:K784" si="35">ROUND(I779*J779,0)</f>
        <v>288000</v>
      </c>
      <c r="L779" s="191" t="s">
        <v>262</v>
      </c>
      <c r="M779" s="191" t="s">
        <v>172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IF(OR(TH!L779=TH!$U$7,M779=TH!$U$7),"x","")</f>
        <v/>
      </c>
      <c r="V779" s="52" t="str">
        <f>IF(AND(B779&gt;='IN-NX'!$P$3,B779&lt;='IN-NX'!$Q$3,'IN-NX'!$D$7=D779,OR(LEFT(L779,2)="15",AND(LEFT(M779,2)&lt;&gt;"15",LEFT(M779,2)&lt;&gt;"33"))),"x","")</f>
        <v/>
      </c>
      <c r="W779" s="52" t="str">
        <f>IF(AND(OR(LEFT(TH!L779,2)="15",LEFT(TH!M779,2)="15"),'152-CT'!$J$8=TH!F779),"x","")</f>
        <v/>
      </c>
      <c r="X779" s="52" t="str">
        <f>IF(AND(OR(LEFT(TH!L779,2)="15",LEFT(TH!M779,2)="15"),TK!$E$7=TH!F779),"x","")</f>
        <v/>
      </c>
      <c r="Y779" s="52" t="str">
        <f>IF(AND(B779&lt;=NKC!$N$8,B779&gt;=NKC!$M$8),"x","")</f>
        <v/>
      </c>
      <c r="Z779" s="769"/>
      <c r="AA779" s="587"/>
    </row>
    <row r="780" spans="1:27" ht="15.75" customHeight="1">
      <c r="A780" s="201" t="str">
        <f>IF(B780&lt;&gt;"",IF(AND(B780&gt;=_TM1,B780&lt;=_TM2,OR(TH!L780="1111",TH!M780="1111")),TH!D780,""),"")</f>
        <v/>
      </c>
      <c r="B780" s="36">
        <f t="shared" si="33"/>
        <v>10</v>
      </c>
      <c r="C780" s="188">
        <f t="shared" si="34"/>
        <v>41568</v>
      </c>
      <c r="D780" s="181" t="s">
        <v>1029</v>
      </c>
      <c r="E780" s="181">
        <v>41568</v>
      </c>
      <c r="F780" s="186" t="s">
        <v>935</v>
      </c>
      <c r="G780" s="478" t="s">
        <v>934</v>
      </c>
      <c r="H780" s="7" t="s">
        <v>919</v>
      </c>
      <c r="I780" s="249">
        <v>80</v>
      </c>
      <c r="J780" s="249">
        <v>3600</v>
      </c>
      <c r="K780" s="38">
        <f t="shared" si="35"/>
        <v>288000</v>
      </c>
      <c r="L780" s="191" t="s">
        <v>262</v>
      </c>
      <c r="M780" s="191" t="s">
        <v>172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IF(OR(TH!L780=TH!$U$7,M780=TH!$U$7),"x","")</f>
        <v/>
      </c>
      <c r="V780" s="52" t="str">
        <f>IF(AND(B780&gt;='IN-NX'!$P$3,B780&lt;='IN-NX'!$Q$3,'IN-NX'!$D$7=D780,OR(LEFT(L780,2)="15",AND(LEFT(M780,2)&lt;&gt;"15",LEFT(M780,2)&lt;&gt;"33"))),"x","")</f>
        <v/>
      </c>
      <c r="W780" s="52" t="str">
        <f>IF(AND(OR(LEFT(TH!L780,2)="15",LEFT(TH!M780,2)="15"),'152-CT'!$J$8=TH!F780),"x","")</f>
        <v/>
      </c>
      <c r="X780" s="52" t="str">
        <f>IF(AND(OR(LEFT(TH!L780,2)="15",LEFT(TH!M780,2)="15"),TK!$E$7=TH!F780),"x","")</f>
        <v/>
      </c>
      <c r="Y780" s="52" t="str">
        <f>IF(AND(B780&lt;=NKC!$N$8,B780&gt;=NKC!$M$8),"x","")</f>
        <v/>
      </c>
      <c r="Z780" s="769"/>
      <c r="AA780" s="587"/>
    </row>
    <row r="781" spans="1:27" ht="15.75" customHeight="1">
      <c r="A781" s="201" t="str">
        <f>IF(B781&lt;&gt;"",IF(AND(B781&gt;=_TM1,B781&lt;=_TM2,OR(TH!L781="1111",TH!M781="1111")),TH!D781,""),"")</f>
        <v/>
      </c>
      <c r="B781" s="36">
        <f t="shared" si="33"/>
        <v>10</v>
      </c>
      <c r="C781" s="188">
        <f t="shared" si="34"/>
        <v>41568</v>
      </c>
      <c r="D781" s="181" t="s">
        <v>1029</v>
      </c>
      <c r="E781" s="181">
        <v>41568</v>
      </c>
      <c r="F781" s="186" t="s">
        <v>1130</v>
      </c>
      <c r="G781" s="186" t="s">
        <v>934</v>
      </c>
      <c r="H781" s="7" t="s">
        <v>919</v>
      </c>
      <c r="I781" s="249">
        <v>79</v>
      </c>
      <c r="J781" s="249">
        <v>4850</v>
      </c>
      <c r="K781" s="38">
        <f t="shared" si="35"/>
        <v>383150</v>
      </c>
      <c r="L781" s="191" t="s">
        <v>262</v>
      </c>
      <c r="M781" s="191" t="s">
        <v>172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IF(OR(TH!L781=TH!$U$7,M781=TH!$U$7),"x","")</f>
        <v/>
      </c>
      <c r="V781" s="52" t="str">
        <f>IF(AND(B781&gt;='IN-NX'!$P$3,B781&lt;='IN-NX'!$Q$3,'IN-NX'!$D$7=D781,OR(LEFT(L781,2)="15",AND(LEFT(M781,2)&lt;&gt;"15",LEFT(M781,2)&lt;&gt;"33"))),"x","")</f>
        <v/>
      </c>
      <c r="W781" s="52" t="str">
        <f>IF(AND(OR(LEFT(TH!L781,2)="15",LEFT(TH!M781,2)="15"),'152-CT'!$J$8=TH!F781),"x","")</f>
        <v/>
      </c>
      <c r="X781" s="52" t="str">
        <f>IF(AND(OR(LEFT(TH!L781,2)="15",LEFT(TH!M781,2)="15"),TK!$E$7=TH!F781),"x","")</f>
        <v/>
      </c>
      <c r="Y781" s="52" t="str">
        <f>IF(AND(B781&lt;=NKC!$N$8,B781&gt;=NKC!$M$8),"x","")</f>
        <v/>
      </c>
      <c r="Z781" s="769"/>
      <c r="AA781" s="587"/>
    </row>
    <row r="782" spans="1:27" ht="15.75" customHeight="1">
      <c r="A782" s="201" t="str">
        <f>IF(B782&lt;&gt;"",IF(AND(B782&gt;=_TM1,B782&lt;=_TM2,OR(TH!L782="1111",TH!M782="1111")),TH!D782,""),"")</f>
        <v/>
      </c>
      <c r="B782" s="36">
        <f t="shared" si="33"/>
        <v>10</v>
      </c>
      <c r="C782" s="188">
        <f t="shared" si="34"/>
        <v>41568</v>
      </c>
      <c r="D782" s="181" t="s">
        <v>1029</v>
      </c>
      <c r="E782" s="181">
        <v>41568</v>
      </c>
      <c r="F782" s="186" t="s">
        <v>1127</v>
      </c>
      <c r="G782" s="478" t="s">
        <v>934</v>
      </c>
      <c r="H782" s="7" t="s">
        <v>919</v>
      </c>
      <c r="I782" s="249">
        <v>82</v>
      </c>
      <c r="J782" s="249">
        <v>4200</v>
      </c>
      <c r="K782" s="38">
        <f t="shared" si="35"/>
        <v>344400</v>
      </c>
      <c r="L782" s="191" t="s">
        <v>262</v>
      </c>
      <c r="M782" s="191" t="s">
        <v>172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IF(OR(TH!L782=TH!$U$7,M782=TH!$U$7),"x","")</f>
        <v/>
      </c>
      <c r="V782" s="52" t="str">
        <f>IF(AND(B782&gt;='IN-NX'!$P$3,B782&lt;='IN-NX'!$Q$3,'IN-NX'!$D$7=D782,OR(LEFT(L782,2)="15",AND(LEFT(M782,2)&lt;&gt;"15",LEFT(M782,2)&lt;&gt;"33"))),"x","")</f>
        <v/>
      </c>
      <c r="W782" s="52" t="str">
        <f>IF(AND(OR(LEFT(TH!L782,2)="15",LEFT(TH!M782,2)="15"),'152-CT'!$J$8=TH!F782),"x","")</f>
        <v/>
      </c>
      <c r="X782" s="52" t="str">
        <f>IF(AND(OR(LEFT(TH!L782,2)="15",LEFT(TH!M782,2)="15"),TK!$E$7=TH!F782),"x","")</f>
        <v/>
      </c>
      <c r="Y782" s="52" t="str">
        <f>IF(AND(B782&lt;=NKC!$N$8,B782&gt;=NKC!$M$8),"x","")</f>
        <v/>
      </c>
      <c r="Z782" s="769"/>
      <c r="AA782" s="587"/>
    </row>
    <row r="783" spans="1:27" ht="15.75" customHeight="1">
      <c r="A783" s="201" t="str">
        <f>IF(B783&lt;&gt;"",IF(AND(B783&gt;=_TM1,B783&lt;=_TM2,OR(TH!L783="1111",TH!M783="1111")),TH!D783,""),"")</f>
        <v/>
      </c>
      <c r="B783" s="36">
        <f t="shared" si="33"/>
        <v>10</v>
      </c>
      <c r="C783" s="188">
        <f t="shared" si="34"/>
        <v>41568</v>
      </c>
      <c r="D783" s="181" t="s">
        <v>1029</v>
      </c>
      <c r="E783" s="181">
        <v>41568</v>
      </c>
      <c r="F783" s="186" t="s">
        <v>936</v>
      </c>
      <c r="G783" s="186" t="s">
        <v>934</v>
      </c>
      <c r="H783" s="7" t="s">
        <v>919</v>
      </c>
      <c r="I783" s="249">
        <v>81</v>
      </c>
      <c r="J783" s="249">
        <v>6000</v>
      </c>
      <c r="K783" s="38">
        <f t="shared" si="35"/>
        <v>486000</v>
      </c>
      <c r="L783" s="191" t="s">
        <v>262</v>
      </c>
      <c r="M783" s="191" t="s">
        <v>172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IF(OR(TH!L783=TH!$U$7,M783=TH!$U$7),"x","")</f>
        <v/>
      </c>
      <c r="V783" s="52" t="str">
        <f>IF(AND(B783&gt;='IN-NX'!$P$3,B783&lt;='IN-NX'!$Q$3,'IN-NX'!$D$7=D783,OR(LEFT(L783,2)="15",AND(LEFT(M783,2)&lt;&gt;"15",LEFT(M783,2)&lt;&gt;"33"))),"x","")</f>
        <v/>
      </c>
      <c r="W783" s="52" t="str">
        <f>IF(AND(OR(LEFT(TH!L783,2)="15",LEFT(TH!M783,2)="15"),'152-CT'!$J$8=TH!F783),"x","")</f>
        <v/>
      </c>
      <c r="X783" s="52" t="str">
        <f>IF(AND(OR(LEFT(TH!L783,2)="15",LEFT(TH!M783,2)="15"),TK!$E$7=TH!F783),"x","")</f>
        <v/>
      </c>
      <c r="Y783" s="52" t="str">
        <f>IF(AND(B783&lt;=NKC!$N$8,B783&gt;=NKC!$M$8),"x","")</f>
        <v/>
      </c>
      <c r="Z783" s="769"/>
      <c r="AA783" s="587"/>
    </row>
    <row r="784" spans="1:27" ht="15.75" customHeight="1">
      <c r="A784" s="201" t="str">
        <f>IF(B784&lt;&gt;"",IF(AND(B784&gt;=_TM1,B784&lt;=_TM2,OR(TH!L784="1111",TH!M784="1111")),TH!D784,""),"")</f>
        <v/>
      </c>
      <c r="B784" s="36">
        <f t="shared" si="33"/>
        <v>10</v>
      </c>
      <c r="C784" s="188">
        <f t="shared" si="34"/>
        <v>41568</v>
      </c>
      <c r="D784" s="181" t="s">
        <v>1029</v>
      </c>
      <c r="E784" s="181">
        <v>41568</v>
      </c>
      <c r="F784" s="186" t="s">
        <v>937</v>
      </c>
      <c r="G784" s="478" t="s">
        <v>934</v>
      </c>
      <c r="H784" s="7" t="s">
        <v>919</v>
      </c>
      <c r="I784" s="249">
        <v>81</v>
      </c>
      <c r="J784" s="249">
        <v>6700</v>
      </c>
      <c r="K784" s="38">
        <f t="shared" si="35"/>
        <v>542700</v>
      </c>
      <c r="L784" s="191" t="s">
        <v>262</v>
      </c>
      <c r="M784" s="191" t="s">
        <v>172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IF(OR(TH!L784=TH!$U$7,M784=TH!$U$7),"x","")</f>
        <v/>
      </c>
      <c r="V784" s="52" t="str">
        <f>IF(AND(B784&gt;='IN-NX'!$P$3,B784&lt;='IN-NX'!$Q$3,'IN-NX'!$D$7=D784,OR(LEFT(L784,2)="15",AND(LEFT(M784,2)&lt;&gt;"15",LEFT(M784,2)&lt;&gt;"33"))),"x","")</f>
        <v/>
      </c>
      <c r="W784" s="52" t="str">
        <f>IF(AND(OR(LEFT(TH!L784,2)="15",LEFT(TH!M784,2)="15"),'152-CT'!$J$8=TH!F784),"x","")</f>
        <v/>
      </c>
      <c r="X784" s="52" t="str">
        <f>IF(AND(OR(LEFT(TH!L784,2)="15",LEFT(TH!M784,2)="15"),TK!$E$7=TH!F784),"x","")</f>
        <v/>
      </c>
      <c r="Y784" s="52" t="str">
        <f>IF(AND(B784&lt;=NKC!$N$8,B784&gt;=NKC!$M$8),"x","")</f>
        <v/>
      </c>
      <c r="Z784" s="769"/>
      <c r="AA784" s="587"/>
    </row>
    <row r="785" spans="1:27" ht="15.75" customHeight="1">
      <c r="A785" s="201" t="str">
        <f>IF(B785&lt;&gt;"",IF(AND(B785&gt;=_TM1,B785&lt;=_TM2,OR(TH!L785="1111",TH!M785="1111")),TH!D785,""),"")</f>
        <v/>
      </c>
      <c r="B785" s="36">
        <f t="shared" si="33"/>
        <v>10</v>
      </c>
      <c r="C785" s="188">
        <f t="shared" si="34"/>
        <v>41568</v>
      </c>
      <c r="D785" s="181" t="s">
        <v>1029</v>
      </c>
      <c r="E785" s="181">
        <v>41568</v>
      </c>
      <c r="F785" s="186" t="s">
        <v>693</v>
      </c>
      <c r="G785" s="186" t="s">
        <v>934</v>
      </c>
      <c r="H785" s="190" t="s">
        <v>919</v>
      </c>
      <c r="I785" s="249"/>
      <c r="J785" s="249"/>
      <c r="K785" s="595">
        <v>233225</v>
      </c>
      <c r="L785" s="191" t="s">
        <v>262</v>
      </c>
      <c r="M785" s="191" t="s">
        <v>425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IF(OR(TH!L785=TH!$U$7,M785=TH!$U$7),"x","")</f>
        <v/>
      </c>
      <c r="V785" s="52" t="str">
        <f>IF(AND(B785&gt;='IN-NX'!$P$3,B785&lt;='IN-NX'!$Q$3,'IN-NX'!$D$7=D785,OR(LEFT(L785,2)="15",AND(LEFT(M785,2)&lt;&gt;"15",LEFT(M785,2)&lt;&gt;"33"))),"x","")</f>
        <v/>
      </c>
      <c r="W785" s="52" t="str">
        <f>IF(AND(OR(LEFT(TH!L785,2)="15",LEFT(TH!M785,2)="15"),'152-CT'!$J$8=TH!F785),"x","")</f>
        <v/>
      </c>
      <c r="X785" s="52" t="str">
        <f>IF(AND(OR(LEFT(TH!L785,2)="15",LEFT(TH!M785,2)="15"),TK!$E$7=TH!F785),"x","")</f>
        <v/>
      </c>
      <c r="Y785" s="52" t="str">
        <f>IF(AND(B785&lt;=NKC!$N$8,B785&gt;=NKC!$M$8),"x","")</f>
        <v/>
      </c>
      <c r="Z785" s="769"/>
      <c r="AA785" s="587" t="str">
        <f>IF(VLOOKUP(H785,DS_131,1,0)&lt;&gt;"","","x")</f>
        <v/>
      </c>
    </row>
    <row r="786" spans="1:27" ht="15.75" customHeight="1">
      <c r="A786" s="201" t="str">
        <f>IF(B786&lt;&gt;"",IF(AND(B786&gt;=_TM1,B786&lt;=_TM2,OR(TH!L786="1111",TH!M786="1111")),TH!D786,""),"")</f>
        <v/>
      </c>
      <c r="B786" s="36">
        <f t="shared" si="33"/>
        <v>10</v>
      </c>
      <c r="C786" s="188">
        <f t="shared" si="34"/>
        <v>41568</v>
      </c>
      <c r="D786" s="181" t="s">
        <v>1030</v>
      </c>
      <c r="E786" s="181">
        <v>41568</v>
      </c>
      <c r="F786" s="186" t="s">
        <v>938</v>
      </c>
      <c r="G786" s="478" t="s">
        <v>939</v>
      </c>
      <c r="H786" s="190" t="s">
        <v>919</v>
      </c>
      <c r="I786" s="249">
        <v>80</v>
      </c>
      <c r="J786" s="249">
        <v>4500</v>
      </c>
      <c r="K786" s="38">
        <f t="shared" ref="K786:K793" si="36">ROUND(I786*J786,0)</f>
        <v>360000</v>
      </c>
      <c r="L786" s="191" t="s">
        <v>262</v>
      </c>
      <c r="M786" s="191" t="s">
        <v>172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IF(OR(TH!L786=TH!$U$7,M786=TH!$U$7),"x","")</f>
        <v/>
      </c>
      <c r="V786" s="52" t="str">
        <f>IF(AND(B786&gt;='IN-NX'!$P$3,B786&lt;='IN-NX'!$Q$3,'IN-NX'!$D$7=D786,OR(LEFT(L786,2)="15",AND(LEFT(M786,2)&lt;&gt;"15",LEFT(M786,2)&lt;&gt;"33"))),"x","")</f>
        <v/>
      </c>
      <c r="W786" s="52" t="str">
        <f>IF(AND(OR(LEFT(TH!L786,2)="15",LEFT(TH!M786,2)="15"),'152-CT'!$J$8=TH!F786),"x","")</f>
        <v/>
      </c>
      <c r="X786" s="52" t="str">
        <f>IF(AND(OR(LEFT(TH!L786,2)="15",LEFT(TH!M786,2)="15"),TK!$E$7=TH!F786),"x","")</f>
        <v/>
      </c>
      <c r="Y786" s="52" t="str">
        <f>IF(AND(B786&lt;=NKC!$N$8,B786&gt;=NKC!$M$8),"x","")</f>
        <v/>
      </c>
      <c r="Z786" s="769"/>
      <c r="AA786" s="587"/>
    </row>
    <row r="787" spans="1:27" ht="15.75" customHeight="1">
      <c r="A787" s="201" t="str">
        <f>IF(B787&lt;&gt;"",IF(AND(B787&gt;=_TM1,B787&lt;=_TM2,OR(TH!L787="1111",TH!M787="1111")),TH!D787,""),"")</f>
        <v/>
      </c>
      <c r="B787" s="36">
        <f t="shared" si="33"/>
        <v>10</v>
      </c>
      <c r="C787" s="188">
        <f t="shared" si="34"/>
        <v>41568</v>
      </c>
      <c r="D787" s="181" t="s">
        <v>1030</v>
      </c>
      <c r="E787" s="181">
        <v>41568</v>
      </c>
      <c r="F787" s="186" t="s">
        <v>940</v>
      </c>
      <c r="G787" s="186" t="s">
        <v>939</v>
      </c>
      <c r="H787" s="190" t="s">
        <v>919</v>
      </c>
      <c r="I787" s="249">
        <v>59</v>
      </c>
      <c r="J787" s="249">
        <v>4800</v>
      </c>
      <c r="K787" s="38">
        <f t="shared" si="36"/>
        <v>283200</v>
      </c>
      <c r="L787" s="191" t="s">
        <v>262</v>
      </c>
      <c r="M787" s="191" t="s">
        <v>172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IF(OR(TH!L787=TH!$U$7,M787=TH!$U$7),"x","")</f>
        <v/>
      </c>
      <c r="V787" s="52" t="str">
        <f>IF(AND(B787&gt;='IN-NX'!$P$3,B787&lt;='IN-NX'!$Q$3,'IN-NX'!$D$7=D787,OR(LEFT(L787,2)="15",AND(LEFT(M787,2)&lt;&gt;"15",LEFT(M787,2)&lt;&gt;"33"))),"x","")</f>
        <v/>
      </c>
      <c r="W787" s="52" t="str">
        <f>IF(AND(OR(LEFT(TH!L787,2)="15",LEFT(TH!M787,2)="15"),'152-CT'!$J$8=TH!F787),"x","")</f>
        <v/>
      </c>
      <c r="X787" s="52" t="str">
        <f>IF(AND(OR(LEFT(TH!L787,2)="15",LEFT(TH!M787,2)="15"),TK!$E$7=TH!F787),"x","")</f>
        <v/>
      </c>
      <c r="Y787" s="52" t="str">
        <f>IF(AND(B787&lt;=NKC!$N$8,B787&gt;=NKC!$M$8),"x","")</f>
        <v/>
      </c>
      <c r="AA787" s="587"/>
    </row>
    <row r="788" spans="1:27" ht="15.75" customHeight="1">
      <c r="A788" s="201" t="str">
        <f>IF(B788&lt;&gt;"",IF(AND(B788&gt;=_TM1,B788&lt;=_TM2,OR(TH!L788="1111",TH!M788="1111")),TH!D788,""),"")</f>
        <v/>
      </c>
      <c r="B788" s="36">
        <f t="shared" si="33"/>
        <v>10</v>
      </c>
      <c r="C788" s="188">
        <f t="shared" si="34"/>
        <v>41568</v>
      </c>
      <c r="D788" s="181" t="s">
        <v>1030</v>
      </c>
      <c r="E788" s="181">
        <v>41568</v>
      </c>
      <c r="F788" s="186" t="s">
        <v>941</v>
      </c>
      <c r="G788" s="186" t="s">
        <v>939</v>
      </c>
      <c r="H788" s="190" t="s">
        <v>919</v>
      </c>
      <c r="I788" s="249">
        <v>80</v>
      </c>
      <c r="J788" s="249">
        <v>6800</v>
      </c>
      <c r="K788" s="38">
        <f t="shared" si="36"/>
        <v>544000</v>
      </c>
      <c r="L788" s="191" t="s">
        <v>262</v>
      </c>
      <c r="M788" s="191" t="s">
        <v>172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IF(OR(TH!L788=TH!$U$7,M788=TH!$U$7),"x","")</f>
        <v/>
      </c>
      <c r="V788" s="52" t="str">
        <f>IF(AND(B788&gt;='IN-NX'!$P$3,B788&lt;='IN-NX'!$Q$3,'IN-NX'!$D$7=D788,OR(LEFT(L788,2)="15",AND(LEFT(M788,2)&lt;&gt;"15",LEFT(M788,2)&lt;&gt;"33"))),"x","")</f>
        <v/>
      </c>
      <c r="W788" s="52" t="str">
        <f>IF(AND(OR(LEFT(TH!L788,2)="15",LEFT(TH!M788,2)="15"),'152-CT'!$J$8=TH!F788),"x","")</f>
        <v/>
      </c>
      <c r="X788" s="52" t="str">
        <f>IF(AND(OR(LEFT(TH!L788,2)="15",LEFT(TH!M788,2)="15"),TK!$E$7=TH!F788),"x","")</f>
        <v/>
      </c>
      <c r="Y788" s="52" t="str">
        <f>IF(AND(B788&lt;=NKC!$N$8,B788&gt;=NKC!$M$8),"x","")</f>
        <v/>
      </c>
      <c r="AA788" s="587"/>
    </row>
    <row r="789" spans="1:27" ht="15.75" customHeight="1">
      <c r="A789" s="201" t="str">
        <f>IF(B789&lt;&gt;"",IF(AND(B789&gt;=_TM1,B789&lt;=_TM2,OR(TH!L789="1111",TH!M789="1111")),TH!D789,""),"")</f>
        <v/>
      </c>
      <c r="B789" s="36">
        <f t="shared" si="33"/>
        <v>10</v>
      </c>
      <c r="C789" s="188">
        <f t="shared" si="34"/>
        <v>41568</v>
      </c>
      <c r="D789" s="181" t="s">
        <v>1030</v>
      </c>
      <c r="E789" s="181">
        <v>41568</v>
      </c>
      <c r="F789" s="186" t="s">
        <v>942</v>
      </c>
      <c r="G789" s="186" t="s">
        <v>939</v>
      </c>
      <c r="H789" s="190" t="s">
        <v>919</v>
      </c>
      <c r="I789" s="249">
        <v>15</v>
      </c>
      <c r="J789" s="249">
        <v>9500</v>
      </c>
      <c r="K789" s="38">
        <f t="shared" si="36"/>
        <v>142500</v>
      </c>
      <c r="L789" s="191" t="s">
        <v>262</v>
      </c>
      <c r="M789" s="191" t="s">
        <v>172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IF(OR(TH!L789=TH!$U$7,M789=TH!$U$7),"x","")</f>
        <v/>
      </c>
      <c r="V789" s="52" t="str">
        <f>IF(AND(B789&gt;='IN-NX'!$P$3,B789&lt;='IN-NX'!$Q$3,'IN-NX'!$D$7=D789,OR(LEFT(L789,2)="15",AND(LEFT(M789,2)&lt;&gt;"15",LEFT(M789,2)&lt;&gt;"33"))),"x","")</f>
        <v/>
      </c>
      <c r="W789" s="52" t="str">
        <f>IF(AND(OR(LEFT(TH!L789,2)="15",LEFT(TH!M789,2)="15"),'152-CT'!$J$8=TH!F789),"x","")</f>
        <v/>
      </c>
      <c r="X789" s="52" t="str">
        <f>IF(AND(OR(LEFT(TH!L789,2)="15",LEFT(TH!M789,2)="15"),TK!$E$7=TH!F789),"x","")</f>
        <v/>
      </c>
      <c r="Y789" s="52" t="str">
        <f>IF(AND(B789&lt;=NKC!$N$8,B789&gt;=NKC!$M$8),"x","")</f>
        <v/>
      </c>
      <c r="AA789" s="587"/>
    </row>
    <row r="790" spans="1:27" ht="15.75" customHeight="1">
      <c r="A790" s="201" t="str">
        <f>IF(B790&lt;&gt;"",IF(AND(B790&gt;=_TM1,B790&lt;=_TM2,OR(TH!L790="1111",TH!M790="1111")),TH!D790,""),"")</f>
        <v/>
      </c>
      <c r="B790" s="36">
        <f t="shared" si="33"/>
        <v>10</v>
      </c>
      <c r="C790" s="188">
        <f t="shared" si="34"/>
        <v>41568</v>
      </c>
      <c r="D790" s="181" t="s">
        <v>1030</v>
      </c>
      <c r="E790" s="181">
        <v>41568</v>
      </c>
      <c r="F790" s="186" t="s">
        <v>943</v>
      </c>
      <c r="G790" s="478" t="s">
        <v>939</v>
      </c>
      <c r="H790" s="190" t="s">
        <v>919</v>
      </c>
      <c r="I790" s="249">
        <v>21</v>
      </c>
      <c r="J790" s="249">
        <v>7700</v>
      </c>
      <c r="K790" s="38">
        <f t="shared" si="36"/>
        <v>161700</v>
      </c>
      <c r="L790" s="191" t="s">
        <v>262</v>
      </c>
      <c r="M790" s="191" t="s">
        <v>172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IF(OR(TH!L790=TH!$U$7,M790=TH!$U$7),"x","")</f>
        <v/>
      </c>
      <c r="V790" s="52" t="str">
        <f>IF(AND(B790&gt;='IN-NX'!$P$3,B790&lt;='IN-NX'!$Q$3,'IN-NX'!$D$7=D790,OR(LEFT(L790,2)="15",AND(LEFT(M790,2)&lt;&gt;"15",LEFT(M790,2)&lt;&gt;"33"))),"x","")</f>
        <v/>
      </c>
      <c r="W790" s="52" t="str">
        <f>IF(AND(OR(LEFT(TH!L790,2)="15",LEFT(TH!M790,2)="15"),'152-CT'!$J$8=TH!F790),"x","")</f>
        <v/>
      </c>
      <c r="X790" s="52" t="str">
        <f>IF(AND(OR(LEFT(TH!L790,2)="15",LEFT(TH!M790,2)="15"),TK!$E$7=TH!F790),"x","")</f>
        <v/>
      </c>
      <c r="Y790" s="52" t="str">
        <f>IF(AND(B790&lt;=NKC!$N$8,B790&gt;=NKC!$M$8),"x","")</f>
        <v/>
      </c>
      <c r="AA790" s="587"/>
    </row>
    <row r="791" spans="1:27" ht="15.75" customHeight="1">
      <c r="A791" s="201" t="str">
        <f>IF(B791&lt;&gt;"",IF(AND(B791&gt;=_TM1,B791&lt;=_TM2,OR(TH!L791="1111",TH!M791="1111")),TH!D791,""),"")</f>
        <v/>
      </c>
      <c r="B791" s="36">
        <f t="shared" si="33"/>
        <v>10</v>
      </c>
      <c r="C791" s="188">
        <f t="shared" si="34"/>
        <v>41568</v>
      </c>
      <c r="D791" s="181" t="s">
        <v>1030</v>
      </c>
      <c r="E791" s="181">
        <v>41568</v>
      </c>
      <c r="F791" s="186" t="s">
        <v>944</v>
      </c>
      <c r="G791" s="186" t="s">
        <v>939</v>
      </c>
      <c r="H791" s="190" t="s">
        <v>919</v>
      </c>
      <c r="I791" s="249">
        <v>8</v>
      </c>
      <c r="J791" s="249">
        <v>9700</v>
      </c>
      <c r="K791" s="38">
        <f t="shared" si="36"/>
        <v>77600</v>
      </c>
      <c r="L791" s="191" t="s">
        <v>262</v>
      </c>
      <c r="M791" s="191" t="s">
        <v>172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IF(OR(TH!L791=TH!$U$7,M791=TH!$U$7),"x","")</f>
        <v/>
      </c>
      <c r="V791" s="52" t="str">
        <f>IF(AND(B791&gt;='IN-NX'!$P$3,B791&lt;='IN-NX'!$Q$3,'IN-NX'!$D$7=D791,OR(LEFT(L791,2)="15",AND(LEFT(M791,2)&lt;&gt;"15",LEFT(M791,2)&lt;&gt;"33"))),"x","")</f>
        <v/>
      </c>
      <c r="W791" s="52" t="str">
        <f>IF(AND(OR(LEFT(TH!L791,2)="15",LEFT(TH!M791,2)="15"),'152-CT'!$J$8=TH!F791),"x","")</f>
        <v/>
      </c>
      <c r="X791" s="52" t="str">
        <f>IF(AND(OR(LEFT(TH!L791,2)="15",LEFT(TH!M791,2)="15"),TK!$E$7=TH!F791),"x","")</f>
        <v/>
      </c>
      <c r="Y791" s="52" t="str">
        <f>IF(AND(B791&lt;=NKC!$N$8,B791&gt;=NKC!$M$8),"x","")</f>
        <v/>
      </c>
      <c r="AA791" s="587"/>
    </row>
    <row r="792" spans="1:27" ht="15.75" customHeight="1">
      <c r="A792" s="201" t="str">
        <f>IF(B792&lt;&gt;"",IF(AND(B792&gt;=_TM1,B792&lt;=_TM2,OR(TH!L792="1111",TH!M792="1111")),TH!D792,""),"")</f>
        <v/>
      </c>
      <c r="B792" s="36">
        <f t="shared" si="33"/>
        <v>10</v>
      </c>
      <c r="C792" s="188">
        <f t="shared" si="34"/>
        <v>41568</v>
      </c>
      <c r="D792" s="181" t="s">
        <v>1030</v>
      </c>
      <c r="E792" s="181">
        <v>41568</v>
      </c>
      <c r="F792" s="186" t="s">
        <v>945</v>
      </c>
      <c r="G792" s="478" t="s">
        <v>939</v>
      </c>
      <c r="H792" s="190" t="s">
        <v>919</v>
      </c>
      <c r="I792" s="249">
        <v>10</v>
      </c>
      <c r="J792" s="249">
        <v>10350</v>
      </c>
      <c r="K792" s="38">
        <f t="shared" si="36"/>
        <v>103500</v>
      </c>
      <c r="L792" s="191" t="s">
        <v>262</v>
      </c>
      <c r="M792" s="191" t="s">
        <v>172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IF(OR(TH!L792=TH!$U$7,M792=TH!$U$7),"x","")</f>
        <v/>
      </c>
      <c r="V792" s="52" t="str">
        <f>IF(AND(B792&gt;='IN-NX'!$P$3,B792&lt;='IN-NX'!$Q$3,'IN-NX'!$D$7=D792,OR(LEFT(L792,2)="15",AND(LEFT(M792,2)&lt;&gt;"15",LEFT(M792,2)&lt;&gt;"33"))),"x","")</f>
        <v/>
      </c>
      <c r="W792" s="52" t="str">
        <f>IF(AND(OR(LEFT(TH!L792,2)="15",LEFT(TH!M792,2)="15"),'152-CT'!$J$8=TH!F792),"x","")</f>
        <v/>
      </c>
      <c r="X792" s="52" t="str">
        <f>IF(AND(OR(LEFT(TH!L792,2)="15",LEFT(TH!M792,2)="15"),TK!$E$7=TH!F792),"x","")</f>
        <v/>
      </c>
      <c r="Y792" s="52" t="str">
        <f>IF(AND(B792&lt;=NKC!$N$8,B792&gt;=NKC!$M$8),"x","")</f>
        <v/>
      </c>
      <c r="AA792" s="587"/>
    </row>
    <row r="793" spans="1:27" ht="15.75" customHeight="1">
      <c r="A793" s="201" t="str">
        <f>IF(B793&lt;&gt;"",IF(AND(B793&gt;=_TM1,B793&lt;=_TM2,OR(TH!L793="1111",TH!M793="1111")),TH!D793,""),"")</f>
        <v/>
      </c>
      <c r="B793" s="36">
        <f t="shared" si="33"/>
        <v>10</v>
      </c>
      <c r="C793" s="188">
        <f t="shared" si="34"/>
        <v>41568</v>
      </c>
      <c r="D793" s="181" t="s">
        <v>1030</v>
      </c>
      <c r="E793" s="181">
        <v>41568</v>
      </c>
      <c r="F793" s="186" t="s">
        <v>946</v>
      </c>
      <c r="G793" s="186" t="s">
        <v>939</v>
      </c>
      <c r="H793" s="190" t="s">
        <v>919</v>
      </c>
      <c r="I793" s="249">
        <v>10</v>
      </c>
      <c r="J793" s="249">
        <v>12600</v>
      </c>
      <c r="K793" s="38">
        <f t="shared" si="36"/>
        <v>126000</v>
      </c>
      <c r="L793" s="191" t="s">
        <v>262</v>
      </c>
      <c r="M793" s="191" t="s">
        <v>172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IF(OR(TH!L793=TH!$U$7,M793=TH!$U$7),"x","")</f>
        <v/>
      </c>
      <c r="V793" s="52" t="str">
        <f>IF(AND(B793&gt;='IN-NX'!$P$3,B793&lt;='IN-NX'!$Q$3,'IN-NX'!$D$7=D793,OR(LEFT(L793,2)="15",AND(LEFT(M793,2)&lt;&gt;"15",LEFT(M793,2)&lt;&gt;"33"))),"x","")</f>
        <v/>
      </c>
      <c r="W793" s="52" t="str">
        <f>IF(AND(OR(LEFT(TH!L793,2)="15",LEFT(TH!M793,2)="15"),'152-CT'!$J$8=TH!F793),"x","")</f>
        <v/>
      </c>
      <c r="X793" s="52" t="str">
        <f>IF(AND(OR(LEFT(TH!L793,2)="15",LEFT(TH!M793,2)="15"),TK!$E$7=TH!F793),"x","")</f>
        <v/>
      </c>
      <c r="Y793" s="52" t="str">
        <f>IF(AND(B793&lt;=NKC!$N$8,B793&gt;=NKC!$M$8),"x","")</f>
        <v/>
      </c>
      <c r="Z793" s="769"/>
      <c r="AA793" s="587"/>
    </row>
    <row r="794" spans="1:27" ht="15.75" customHeight="1">
      <c r="A794" s="201" t="str">
        <f>IF(B794&lt;&gt;"",IF(AND(B794&gt;=_TM1,B794&lt;=_TM2,OR(TH!L794="1111",TH!M794="1111")),TH!D794,""),"")</f>
        <v/>
      </c>
      <c r="B794" s="36">
        <f t="shared" si="33"/>
        <v>10</v>
      </c>
      <c r="C794" s="188">
        <f t="shared" si="34"/>
        <v>41568</v>
      </c>
      <c r="D794" s="181" t="s">
        <v>1030</v>
      </c>
      <c r="E794" s="181">
        <v>41568</v>
      </c>
      <c r="F794" s="186" t="s">
        <v>693</v>
      </c>
      <c r="G794" s="478" t="s">
        <v>939</v>
      </c>
      <c r="H794" s="190" t="s">
        <v>919</v>
      </c>
      <c r="I794" s="249"/>
      <c r="J794" s="249"/>
      <c r="K794" s="595">
        <v>179850</v>
      </c>
      <c r="L794" s="191" t="s">
        <v>262</v>
      </c>
      <c r="M794" s="191" t="s">
        <v>425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IF(OR(TH!L794=TH!$U$7,M794=TH!$U$7),"x","")</f>
        <v/>
      </c>
      <c r="V794" s="52" t="str">
        <f>IF(AND(B794&gt;='IN-NX'!$P$3,B794&lt;='IN-NX'!$Q$3,'IN-NX'!$D$7=D794,OR(LEFT(L794,2)="15",AND(LEFT(M794,2)&lt;&gt;"15",LEFT(M794,2)&lt;&gt;"33"))),"x","")</f>
        <v/>
      </c>
      <c r="W794" s="52" t="str">
        <f>IF(AND(OR(LEFT(TH!L794,2)="15",LEFT(TH!M794,2)="15"),'152-CT'!$J$8=TH!F794),"x","")</f>
        <v/>
      </c>
      <c r="X794" s="52" t="str">
        <f>IF(AND(OR(LEFT(TH!L794,2)="15",LEFT(TH!M794,2)="15"),TK!$E$7=TH!F794),"x","")</f>
        <v/>
      </c>
      <c r="Y794" s="52" t="str">
        <f>IF(AND(B794&lt;=NKC!$N$8,B794&gt;=NKC!$M$8),"x","")</f>
        <v/>
      </c>
      <c r="Z794" s="769"/>
      <c r="AA794" s="587" t="str">
        <f>IF(VLOOKUP(H794,DS_131,1,0)&lt;&gt;"","","x")</f>
        <v/>
      </c>
    </row>
    <row r="795" spans="1:27" ht="15.75" customHeight="1">
      <c r="A795" s="201" t="str">
        <f>IF(B795&lt;&gt;"",IF(AND(B795&gt;=_TM1,B795&lt;=_TM2,OR(TH!L795="1111",TH!M795="1111")),TH!D795,""),"")</f>
        <v/>
      </c>
      <c r="B795" s="36">
        <f t="shared" si="33"/>
        <v>10</v>
      </c>
      <c r="C795" s="188">
        <f t="shared" si="34"/>
        <v>41568</v>
      </c>
      <c r="D795" s="181" t="s">
        <v>1031</v>
      </c>
      <c r="E795" s="181">
        <v>41568</v>
      </c>
      <c r="F795" s="186" t="s">
        <v>947</v>
      </c>
      <c r="G795" s="186" t="s">
        <v>948</v>
      </c>
      <c r="H795" s="190" t="s">
        <v>919</v>
      </c>
      <c r="I795" s="249">
        <v>62</v>
      </c>
      <c r="J795" s="249">
        <v>7650</v>
      </c>
      <c r="K795" s="38">
        <f t="shared" ref="K795:K802" si="37">ROUND(I795*J795,0)</f>
        <v>474300</v>
      </c>
      <c r="L795" s="191" t="s">
        <v>262</v>
      </c>
      <c r="M795" s="191" t="s">
        <v>172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IF(OR(TH!L795=TH!$U$7,M795=TH!$U$7),"x","")</f>
        <v/>
      </c>
      <c r="V795" s="52" t="str">
        <f>IF(AND(B795&gt;='IN-NX'!$P$3,B795&lt;='IN-NX'!$Q$3,'IN-NX'!$D$7=D795,OR(LEFT(L795,2)="15",AND(LEFT(M795,2)&lt;&gt;"15",LEFT(M795,2)&lt;&gt;"33"))),"x","")</f>
        <v/>
      </c>
      <c r="W795" s="52" t="str">
        <f>IF(AND(OR(LEFT(TH!L795,2)="15",LEFT(TH!M795,2)="15"),'152-CT'!$J$8=TH!F795),"x","")</f>
        <v/>
      </c>
      <c r="X795" s="52" t="str">
        <f>IF(AND(OR(LEFT(TH!L795,2)="15",LEFT(TH!M795,2)="15"),TK!$E$7=TH!F795),"x","")</f>
        <v/>
      </c>
      <c r="Y795" s="52" t="str">
        <f>IF(AND(B795&lt;=NKC!$N$8,B795&gt;=NKC!$M$8),"x","")</f>
        <v/>
      </c>
      <c r="Z795" s="769"/>
      <c r="AA795" s="587"/>
    </row>
    <row r="796" spans="1:27" ht="15.75" customHeight="1">
      <c r="A796" s="201" t="str">
        <f>IF(B796&lt;&gt;"",IF(AND(B796&gt;=_TM1,B796&lt;=_TM2,OR(TH!L796="1111",TH!M796="1111")),TH!D796,""),"")</f>
        <v/>
      </c>
      <c r="B796" s="36">
        <f t="shared" si="33"/>
        <v>10</v>
      </c>
      <c r="C796" s="188">
        <f t="shared" si="34"/>
        <v>41568</v>
      </c>
      <c r="D796" s="181" t="s">
        <v>1031</v>
      </c>
      <c r="E796" s="181">
        <v>41568</v>
      </c>
      <c r="F796" s="186" t="s">
        <v>949</v>
      </c>
      <c r="G796" s="478" t="s">
        <v>950</v>
      </c>
      <c r="H796" s="190" t="s">
        <v>919</v>
      </c>
      <c r="I796" s="249">
        <v>50</v>
      </c>
      <c r="J796" s="249">
        <v>13500</v>
      </c>
      <c r="K796" s="38">
        <f t="shared" si="37"/>
        <v>675000</v>
      </c>
      <c r="L796" s="191" t="s">
        <v>262</v>
      </c>
      <c r="M796" s="191" t="s">
        <v>172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IF(OR(TH!L796=TH!$U$7,M796=TH!$U$7),"x","")</f>
        <v/>
      </c>
      <c r="V796" s="52" t="str">
        <f>IF(AND(B796&gt;='IN-NX'!$P$3,B796&lt;='IN-NX'!$Q$3,'IN-NX'!$D$7=D796,OR(LEFT(L796,2)="15",AND(LEFT(M796,2)&lt;&gt;"15",LEFT(M796,2)&lt;&gt;"33"))),"x","")</f>
        <v/>
      </c>
      <c r="W796" s="52" t="str">
        <f>IF(AND(OR(LEFT(TH!L796,2)="15",LEFT(TH!M796,2)="15"),'152-CT'!$J$8=TH!F796),"x","")</f>
        <v/>
      </c>
      <c r="X796" s="52" t="str">
        <f>IF(AND(OR(LEFT(TH!L796,2)="15",LEFT(TH!M796,2)="15"),TK!$E$7=TH!F796),"x","")</f>
        <v/>
      </c>
      <c r="Y796" s="52" t="str">
        <f>IF(AND(B796&lt;=NKC!$N$8,B796&gt;=NKC!$M$8),"x","")</f>
        <v/>
      </c>
      <c r="Z796" s="769"/>
      <c r="AA796" s="587"/>
    </row>
    <row r="797" spans="1:27" ht="15.75" customHeight="1">
      <c r="A797" s="201" t="str">
        <f>IF(B797&lt;&gt;"",IF(AND(B797&gt;=_TM1,B797&lt;=_TM2,OR(TH!L797="1111",TH!M797="1111")),TH!D797,""),"")</f>
        <v/>
      </c>
      <c r="B797" s="36">
        <f t="shared" si="33"/>
        <v>10</v>
      </c>
      <c r="C797" s="188">
        <f t="shared" si="34"/>
        <v>41568</v>
      </c>
      <c r="D797" s="181" t="s">
        <v>1031</v>
      </c>
      <c r="E797" s="181">
        <v>41568</v>
      </c>
      <c r="F797" s="186" t="s">
        <v>951</v>
      </c>
      <c r="G797" s="186" t="s">
        <v>952</v>
      </c>
      <c r="H797" s="190" t="s">
        <v>919</v>
      </c>
      <c r="I797" s="249">
        <v>51</v>
      </c>
      <c r="J797" s="249">
        <v>12100</v>
      </c>
      <c r="K797" s="38">
        <f t="shared" si="37"/>
        <v>617100</v>
      </c>
      <c r="L797" s="191" t="s">
        <v>262</v>
      </c>
      <c r="M797" s="191" t="s">
        <v>172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IF(OR(TH!L797=TH!$U$7,M797=TH!$U$7),"x","")</f>
        <v/>
      </c>
      <c r="V797" s="52" t="str">
        <f>IF(AND(B797&gt;='IN-NX'!$P$3,B797&lt;='IN-NX'!$Q$3,'IN-NX'!$D$7=D797,OR(LEFT(L797,2)="15",AND(LEFT(M797,2)&lt;&gt;"15",LEFT(M797,2)&lt;&gt;"33"))),"x","")</f>
        <v/>
      </c>
      <c r="W797" s="52" t="str">
        <f>IF(AND(OR(LEFT(TH!L797,2)="15",LEFT(TH!M797,2)="15"),'152-CT'!$J$8=TH!F797),"x","")</f>
        <v/>
      </c>
      <c r="X797" s="52" t="str">
        <f>IF(AND(OR(LEFT(TH!L797,2)="15",LEFT(TH!M797,2)="15"),TK!$E$7=TH!F797),"x","")</f>
        <v/>
      </c>
      <c r="Y797" s="52" t="str">
        <f>IF(AND(B797&lt;=NKC!$N$8,B797&gt;=NKC!$M$8),"x","")</f>
        <v/>
      </c>
      <c r="Z797" s="769"/>
      <c r="AA797" s="587"/>
    </row>
    <row r="798" spans="1:27" ht="15.75" customHeight="1">
      <c r="A798" s="201" t="str">
        <f>IF(B798&lt;&gt;"",IF(AND(B798&gt;=_TM1,B798&lt;=_TM2,OR(TH!L798="1111",TH!M798="1111")),TH!D798,""),"")</f>
        <v/>
      </c>
      <c r="B798" s="36">
        <f t="shared" si="33"/>
        <v>10</v>
      </c>
      <c r="C798" s="188">
        <f t="shared" si="34"/>
        <v>41568</v>
      </c>
      <c r="D798" s="181" t="s">
        <v>1031</v>
      </c>
      <c r="E798" s="181">
        <v>41568</v>
      </c>
      <c r="F798" s="186" t="s">
        <v>1124</v>
      </c>
      <c r="G798" s="478" t="s">
        <v>953</v>
      </c>
      <c r="H798" s="190" t="s">
        <v>919</v>
      </c>
      <c r="I798" s="249">
        <v>66</v>
      </c>
      <c r="J798" s="249">
        <v>4800</v>
      </c>
      <c r="K798" s="38">
        <f t="shared" si="37"/>
        <v>316800</v>
      </c>
      <c r="L798" s="191" t="s">
        <v>262</v>
      </c>
      <c r="M798" s="191" t="s">
        <v>172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IF(OR(TH!L798=TH!$U$7,M798=TH!$U$7),"x","")</f>
        <v/>
      </c>
      <c r="V798" s="52" t="str">
        <f>IF(AND(B798&gt;='IN-NX'!$P$3,B798&lt;='IN-NX'!$Q$3,'IN-NX'!$D$7=D798,OR(LEFT(L798,2)="15",AND(LEFT(M798,2)&lt;&gt;"15",LEFT(M798,2)&lt;&gt;"33"))),"x","")</f>
        <v/>
      </c>
      <c r="W798" s="52" t="str">
        <f>IF(AND(OR(LEFT(TH!L798,2)="15",LEFT(TH!M798,2)="15"),'152-CT'!$J$8=TH!F798),"x","")</f>
        <v/>
      </c>
      <c r="X798" s="52" t="str">
        <f>IF(AND(OR(LEFT(TH!L798,2)="15",LEFT(TH!M798,2)="15"),TK!$E$7=TH!F798),"x","")</f>
        <v/>
      </c>
      <c r="Y798" s="52" t="str">
        <f>IF(AND(B798&lt;=NKC!$N$8,B798&gt;=NKC!$M$8),"x","")</f>
        <v/>
      </c>
      <c r="Z798" s="769"/>
      <c r="AA798" s="587"/>
    </row>
    <row r="799" spans="1:27" ht="15.75" customHeight="1">
      <c r="A799" s="201" t="str">
        <f>IF(B799&lt;&gt;"",IF(AND(B799&gt;=_TM1,B799&lt;=_TM2,OR(TH!L799="1111",TH!M799="1111")),TH!D799,""),"")</f>
        <v/>
      </c>
      <c r="B799" s="36">
        <f t="shared" si="33"/>
        <v>10</v>
      </c>
      <c r="C799" s="188">
        <f t="shared" si="34"/>
        <v>41568</v>
      </c>
      <c r="D799" s="181" t="s">
        <v>1031</v>
      </c>
      <c r="E799" s="181">
        <v>41568</v>
      </c>
      <c r="F799" s="186" t="s">
        <v>1125</v>
      </c>
      <c r="G799" s="186" t="s">
        <v>611</v>
      </c>
      <c r="H799" s="190" t="s">
        <v>919</v>
      </c>
      <c r="I799" s="249">
        <v>62</v>
      </c>
      <c r="J799" s="249">
        <v>4700</v>
      </c>
      <c r="K799" s="38">
        <f t="shared" si="37"/>
        <v>291400</v>
      </c>
      <c r="L799" s="191" t="s">
        <v>262</v>
      </c>
      <c r="M799" s="191" t="s">
        <v>172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IF(OR(TH!L799=TH!$U$7,M799=TH!$U$7),"x","")</f>
        <v/>
      </c>
      <c r="V799" s="52" t="str">
        <f>IF(AND(B799&gt;='IN-NX'!$P$3,B799&lt;='IN-NX'!$Q$3,'IN-NX'!$D$7=D799,OR(LEFT(L799,2)="15",AND(LEFT(M799,2)&lt;&gt;"15",LEFT(M799,2)&lt;&gt;"33"))),"x","")</f>
        <v/>
      </c>
      <c r="W799" s="52" t="str">
        <f>IF(AND(OR(LEFT(TH!L799,2)="15",LEFT(TH!M799,2)="15"),'152-CT'!$J$8=TH!F799),"x","")</f>
        <v/>
      </c>
      <c r="X799" s="52" t="str">
        <f>IF(AND(OR(LEFT(TH!L799,2)="15",LEFT(TH!M799,2)="15"),TK!$E$7=TH!F799),"x","")</f>
        <v/>
      </c>
      <c r="Y799" s="52" t="str">
        <f>IF(AND(B799&lt;=NKC!$N$8,B799&gt;=NKC!$M$8),"x","")</f>
        <v/>
      </c>
      <c r="Z799" s="769"/>
      <c r="AA799" s="587"/>
    </row>
    <row r="800" spans="1:27" ht="15.75" customHeight="1">
      <c r="A800" s="201" t="str">
        <f>IF(B800&lt;&gt;"",IF(AND(B800&gt;=_TM1,B800&lt;=_TM2,OR(TH!L800="1111",TH!M800="1111")),TH!D800,""),"")</f>
        <v/>
      </c>
      <c r="B800" s="36">
        <f t="shared" si="33"/>
        <v>10</v>
      </c>
      <c r="C800" s="188">
        <f t="shared" si="34"/>
        <v>41568</v>
      </c>
      <c r="D800" s="181" t="s">
        <v>1031</v>
      </c>
      <c r="E800" s="181">
        <v>41568</v>
      </c>
      <c r="F800" s="186" t="s">
        <v>954</v>
      </c>
      <c r="G800" s="478" t="s">
        <v>955</v>
      </c>
      <c r="H800" s="190" t="s">
        <v>919</v>
      </c>
      <c r="I800" s="249">
        <v>16</v>
      </c>
      <c r="J800" s="249">
        <v>16600</v>
      </c>
      <c r="K800" s="38">
        <f t="shared" si="37"/>
        <v>265600</v>
      </c>
      <c r="L800" s="191" t="s">
        <v>262</v>
      </c>
      <c r="M800" s="191" t="s">
        <v>172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IF(OR(TH!L800=TH!$U$7,M800=TH!$U$7),"x","")</f>
        <v/>
      </c>
      <c r="V800" s="52" t="str">
        <f>IF(AND(B800&gt;='IN-NX'!$P$3,B800&lt;='IN-NX'!$Q$3,'IN-NX'!$D$7=D800,OR(LEFT(L800,2)="15",AND(LEFT(M800,2)&lt;&gt;"15",LEFT(M800,2)&lt;&gt;"33"))),"x","")</f>
        <v/>
      </c>
      <c r="W800" s="52" t="str">
        <f>IF(AND(OR(LEFT(TH!L800,2)="15",LEFT(TH!M800,2)="15"),'152-CT'!$J$8=TH!F800),"x","")</f>
        <v/>
      </c>
      <c r="X800" s="52" t="str">
        <f>IF(AND(OR(LEFT(TH!L800,2)="15",LEFT(TH!M800,2)="15"),TK!$E$7=TH!F800),"x","")</f>
        <v/>
      </c>
      <c r="Y800" s="52" t="str">
        <f>IF(AND(B800&lt;=NKC!$N$8,B800&gt;=NKC!$M$8),"x","")</f>
        <v/>
      </c>
      <c r="Z800" s="769"/>
      <c r="AA800" s="587"/>
    </row>
    <row r="801" spans="1:28" ht="15.75" customHeight="1">
      <c r="A801" s="201" t="str">
        <f>IF(B801&lt;&gt;"",IF(AND(B801&gt;=_TM1,B801&lt;=_TM2,OR(TH!L801="1111",TH!M801="1111")),TH!D801,""),"")</f>
        <v/>
      </c>
      <c r="B801" s="36">
        <f t="shared" si="33"/>
        <v>10</v>
      </c>
      <c r="C801" s="188">
        <f t="shared" si="34"/>
        <v>41568</v>
      </c>
      <c r="D801" s="181" t="s">
        <v>1031</v>
      </c>
      <c r="E801" s="181">
        <v>41568</v>
      </c>
      <c r="F801" s="186" t="s">
        <v>956</v>
      </c>
      <c r="G801" s="186" t="s">
        <v>957</v>
      </c>
      <c r="H801" s="190" t="s">
        <v>919</v>
      </c>
      <c r="I801" s="249">
        <v>13</v>
      </c>
      <c r="J801" s="249">
        <v>16300</v>
      </c>
      <c r="K801" s="38">
        <f t="shared" si="37"/>
        <v>211900</v>
      </c>
      <c r="L801" s="191" t="s">
        <v>262</v>
      </c>
      <c r="M801" s="191" t="s">
        <v>172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IF(OR(TH!L801=TH!$U$7,M801=TH!$U$7),"x","")</f>
        <v/>
      </c>
      <c r="V801" s="52" t="str">
        <f>IF(AND(B801&gt;='IN-NX'!$P$3,B801&lt;='IN-NX'!$Q$3,'IN-NX'!$D$7=D801,OR(LEFT(L801,2)="15",AND(LEFT(M801,2)&lt;&gt;"15",LEFT(M801,2)&lt;&gt;"33"))),"x","")</f>
        <v/>
      </c>
      <c r="W801" s="52" t="str">
        <f>IF(AND(OR(LEFT(TH!L801,2)="15",LEFT(TH!M801,2)="15"),'152-CT'!$J$8=TH!F801),"x","")</f>
        <v/>
      </c>
      <c r="X801" s="52" t="str">
        <f>IF(AND(OR(LEFT(TH!L801,2)="15",LEFT(TH!M801,2)="15"),TK!$E$7=TH!F801),"x","")</f>
        <v/>
      </c>
      <c r="Y801" s="52" t="str">
        <f>IF(AND(B801&lt;=NKC!$N$8,B801&gt;=NKC!$M$8),"x","")</f>
        <v/>
      </c>
      <c r="Z801" s="769"/>
      <c r="AA801" s="587"/>
    </row>
    <row r="802" spans="1:28" ht="15.75" customHeight="1">
      <c r="A802" s="201" t="str">
        <f>IF(B802&lt;&gt;"",IF(AND(B802&gt;=_TM1,B802&lt;=_TM2,OR(TH!L802="1111",TH!M802="1111")),TH!D802,""),"")</f>
        <v/>
      </c>
      <c r="B802" s="36">
        <f t="shared" si="33"/>
        <v>10</v>
      </c>
      <c r="C802" s="188">
        <f t="shared" si="34"/>
        <v>41568</v>
      </c>
      <c r="D802" s="181" t="s">
        <v>1031</v>
      </c>
      <c r="E802" s="181">
        <v>41568</v>
      </c>
      <c r="F802" s="186" t="s">
        <v>958</v>
      </c>
      <c r="G802" s="186" t="s">
        <v>959</v>
      </c>
      <c r="H802" s="190" t="s">
        <v>919</v>
      </c>
      <c r="I802" s="249">
        <v>13</v>
      </c>
      <c r="J802" s="249">
        <v>23850</v>
      </c>
      <c r="K802" s="38">
        <f t="shared" si="37"/>
        <v>310050</v>
      </c>
      <c r="L802" s="191" t="s">
        <v>262</v>
      </c>
      <c r="M802" s="191" t="s">
        <v>172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IF(OR(TH!L802=TH!$U$7,M802=TH!$U$7),"x","")</f>
        <v/>
      </c>
      <c r="V802" s="52" t="str">
        <f>IF(AND(B802&gt;='IN-NX'!$P$3,B802&lt;='IN-NX'!$Q$3,'IN-NX'!$D$7=D802,OR(LEFT(L802,2)="15",AND(LEFT(M802,2)&lt;&gt;"15",LEFT(M802,2)&lt;&gt;"33"))),"x","")</f>
        <v/>
      </c>
      <c r="W802" s="52" t="str">
        <f>IF(AND(OR(LEFT(TH!L802,2)="15",LEFT(TH!M802,2)="15"),'152-CT'!$J$8=TH!F802),"x","")</f>
        <v/>
      </c>
      <c r="X802" s="52" t="str">
        <f>IF(AND(OR(LEFT(TH!L802,2)="15",LEFT(TH!M802,2)="15"),TK!$E$7=TH!F802),"x","")</f>
        <v/>
      </c>
      <c r="Y802" s="52" t="str">
        <f>IF(AND(B802&lt;=NKC!$N$8,B802&gt;=NKC!$M$8),"x","")</f>
        <v/>
      </c>
      <c r="Z802" s="769"/>
      <c r="AA802" s="587"/>
    </row>
    <row r="803" spans="1:28" ht="15.75" customHeight="1">
      <c r="A803" s="201" t="str">
        <f>IF(B803&lt;&gt;"",IF(AND(B803&gt;=_TM1,B803&lt;=_TM2,OR(TH!L803="1111",TH!M803="1111")),TH!D803,""),"")</f>
        <v/>
      </c>
      <c r="B803" s="36">
        <f t="shared" si="33"/>
        <v>10</v>
      </c>
      <c r="C803" s="188">
        <f t="shared" si="34"/>
        <v>41568</v>
      </c>
      <c r="D803" s="181" t="s">
        <v>1031</v>
      </c>
      <c r="E803" s="181">
        <v>41568</v>
      </c>
      <c r="F803" s="186" t="s">
        <v>693</v>
      </c>
      <c r="G803" s="186" t="s">
        <v>948</v>
      </c>
      <c r="H803" s="190" t="s">
        <v>919</v>
      </c>
      <c r="I803" s="249"/>
      <c r="J803" s="249"/>
      <c r="K803" s="595">
        <v>316215</v>
      </c>
      <c r="L803" s="191" t="s">
        <v>262</v>
      </c>
      <c r="M803" s="191" t="s">
        <v>425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IF(OR(TH!L803=TH!$U$7,M803=TH!$U$7),"x","")</f>
        <v/>
      </c>
      <c r="V803" s="52" t="str">
        <f>IF(AND(B803&gt;='IN-NX'!$P$3,B803&lt;='IN-NX'!$Q$3,'IN-NX'!$D$7=D803,OR(LEFT(L803,2)="15",AND(LEFT(M803,2)&lt;&gt;"15",LEFT(M803,2)&lt;&gt;"33"))),"x","")</f>
        <v/>
      </c>
      <c r="W803" s="52" t="str">
        <f>IF(AND(OR(LEFT(TH!L803,2)="15",LEFT(TH!M803,2)="15"),'152-CT'!$J$8=TH!F803),"x","")</f>
        <v/>
      </c>
      <c r="X803" s="52" t="str">
        <f>IF(AND(OR(LEFT(TH!L803,2)="15",LEFT(TH!M803,2)="15"),TK!$E$7=TH!F803),"x","")</f>
        <v/>
      </c>
      <c r="Y803" s="52" t="str">
        <f>IF(AND(B803&lt;=NKC!$N$8,B803&gt;=NKC!$M$8),"x","")</f>
        <v/>
      </c>
      <c r="Z803" s="769"/>
      <c r="AA803" s="587" t="str">
        <f>IF(VLOOKUP(H803,DS_131,1,0)&lt;&gt;"","","x")</f>
        <v/>
      </c>
    </row>
    <row r="804" spans="1:28" ht="15.75" customHeight="1">
      <c r="A804" s="201" t="str">
        <f>IF(B804&lt;&gt;"",IF(AND(B804&gt;=_TM1,B804&lt;=_TM2,OR(TH!L804="1111",TH!M804="1111")),TH!D804,""),"")</f>
        <v/>
      </c>
      <c r="B804" s="36">
        <f t="shared" si="33"/>
        <v>10</v>
      </c>
      <c r="C804" s="188">
        <f t="shared" si="34"/>
        <v>41568</v>
      </c>
      <c r="D804" s="181" t="s">
        <v>1032</v>
      </c>
      <c r="E804" s="181">
        <v>41568</v>
      </c>
      <c r="F804" s="186" t="s">
        <v>1121</v>
      </c>
      <c r="G804" s="478" t="s">
        <v>950</v>
      </c>
      <c r="H804" s="190" t="s">
        <v>919</v>
      </c>
      <c r="I804" s="249">
        <v>200</v>
      </c>
      <c r="J804" s="249">
        <v>3900</v>
      </c>
      <c r="K804" s="38">
        <f>ROUND(I804*J804,0)</f>
        <v>780000</v>
      </c>
      <c r="L804" s="191" t="s">
        <v>262</v>
      </c>
      <c r="M804" s="191" t="s">
        <v>172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IF(OR(TH!L804=TH!$U$7,M804=TH!$U$7),"x","")</f>
        <v/>
      </c>
      <c r="V804" s="52" t="str">
        <f>IF(AND(B804&gt;='IN-NX'!$P$3,B804&lt;='IN-NX'!$Q$3,'IN-NX'!$D$7=D804,OR(LEFT(L804,2)="15",AND(LEFT(M804,2)&lt;&gt;"15",LEFT(M804,2)&lt;&gt;"33"))),"x","")</f>
        <v/>
      </c>
      <c r="W804" s="52" t="str">
        <f>IF(AND(OR(LEFT(TH!L804,2)="15",LEFT(TH!M804,2)="15"),'152-CT'!$J$8=TH!F804),"x","")</f>
        <v/>
      </c>
      <c r="X804" s="52" t="str">
        <f>IF(AND(OR(LEFT(TH!L804,2)="15",LEFT(TH!M804,2)="15"),TK!$E$7=TH!F804),"x","")</f>
        <v/>
      </c>
      <c r="Y804" s="52" t="str">
        <f>IF(AND(B804&lt;=NKC!$N$8,B804&gt;=NKC!$M$8),"x","")</f>
        <v/>
      </c>
      <c r="Z804" s="769"/>
      <c r="AA804" s="587"/>
    </row>
    <row r="805" spans="1:28" ht="15.75" customHeight="1">
      <c r="A805" s="201" t="str">
        <f>IF(B805&lt;&gt;"",IF(AND(B805&gt;=_TM1,B805&lt;=_TM2,OR(TH!L805="1111",TH!M805="1111")),TH!D805,""),"")</f>
        <v/>
      </c>
      <c r="B805" s="36">
        <f t="shared" si="33"/>
        <v>10</v>
      </c>
      <c r="C805" s="188">
        <f t="shared" si="34"/>
        <v>41568</v>
      </c>
      <c r="D805" s="181" t="s">
        <v>1032</v>
      </c>
      <c r="E805" s="181">
        <v>41568</v>
      </c>
      <c r="F805" s="186" t="s">
        <v>693</v>
      </c>
      <c r="G805" s="186" t="s">
        <v>950</v>
      </c>
      <c r="H805" s="190" t="s">
        <v>919</v>
      </c>
      <c r="I805" s="249"/>
      <c r="J805" s="249"/>
      <c r="K805" s="595">
        <v>78000</v>
      </c>
      <c r="L805" s="191" t="s">
        <v>262</v>
      </c>
      <c r="M805" s="191" t="s">
        <v>425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IF(OR(TH!L805=TH!$U$7,M805=TH!$U$7),"x","")</f>
        <v/>
      </c>
      <c r="V805" s="52" t="str">
        <f>IF(AND(B805&gt;='IN-NX'!$P$3,B805&lt;='IN-NX'!$Q$3,'IN-NX'!$D$7=D805,OR(LEFT(L805,2)="15",AND(LEFT(M805,2)&lt;&gt;"15",LEFT(M805,2)&lt;&gt;"33"))),"x","")</f>
        <v/>
      </c>
      <c r="W805" s="52" t="str">
        <f>IF(AND(OR(LEFT(TH!L805,2)="15",LEFT(TH!M805,2)="15"),'152-CT'!$J$8=TH!F805),"x","")</f>
        <v/>
      </c>
      <c r="X805" s="52" t="str">
        <f>IF(AND(OR(LEFT(TH!L805,2)="15",LEFT(TH!M805,2)="15"),TK!$E$7=TH!F805),"x","")</f>
        <v/>
      </c>
      <c r="Y805" s="52" t="str">
        <f>IF(AND(B805&lt;=NKC!$N$8,B805&gt;=NKC!$M$8),"x","")</f>
        <v/>
      </c>
      <c r="Z805" s="769"/>
      <c r="AA805" s="587" t="str">
        <f>IF(VLOOKUP(H805,DS_131,1,0)&lt;&gt;"","","x")</f>
        <v/>
      </c>
    </row>
    <row r="806" spans="1:28" ht="15.75" customHeight="1">
      <c r="A806" s="201" t="str">
        <f>IF(B806&lt;&gt;"",IF(AND(B806&gt;=_TM1,B806&lt;=_TM2,OR(TH!L806="1111",TH!M806="1111")),TH!D806,""),"")</f>
        <v>T07</v>
      </c>
      <c r="B806" s="36">
        <f t="shared" si="33"/>
        <v>10</v>
      </c>
      <c r="C806" s="188">
        <f t="shared" si="34"/>
        <v>41568</v>
      </c>
      <c r="D806" s="181" t="s">
        <v>445</v>
      </c>
      <c r="E806" s="181">
        <v>41568</v>
      </c>
      <c r="F806" s="186" t="s">
        <v>337</v>
      </c>
      <c r="G806" s="186" t="s">
        <v>1311</v>
      </c>
      <c r="H806" s="190" t="s">
        <v>919</v>
      </c>
      <c r="I806" s="249"/>
      <c r="J806" s="249"/>
      <c r="K806" s="595">
        <v>8880190</v>
      </c>
      <c r="L806" s="191" t="s">
        <v>47</v>
      </c>
      <c r="M806" s="191" t="s">
        <v>262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IF(OR(TH!L806=TH!$U$7,M806=TH!$U$7),"x","")</f>
        <v/>
      </c>
      <c r="V806" s="52" t="str">
        <f>IF(AND(B806&gt;='IN-NX'!$P$3,B806&lt;='IN-NX'!$Q$3,'IN-NX'!$D$7=D806,OR(LEFT(L806,2)="15",AND(LEFT(M806,2)&lt;&gt;"15",LEFT(M806,2)&lt;&gt;"33"))),"x","")</f>
        <v/>
      </c>
      <c r="W806" s="52" t="str">
        <f>IF(AND(OR(LEFT(TH!L806,2)="15",LEFT(TH!M806,2)="15"),'152-CT'!$J$8=TH!F806),"x","")</f>
        <v/>
      </c>
      <c r="X806" s="52" t="str">
        <f>IF(AND(OR(LEFT(TH!L806,2)="15",LEFT(TH!M806,2)="15"),TK!$E$7=TH!F806),"x","")</f>
        <v/>
      </c>
      <c r="Y806" s="52" t="str">
        <f>IF(AND(B806&lt;=NKC!$N$8,B806&gt;=NKC!$M$8),"x","")</f>
        <v/>
      </c>
      <c r="Z806" s="769"/>
      <c r="AA806" s="587" t="str">
        <f>IF(VLOOKUP(H806,DS_131,1,0)&lt;&gt;"","","x")</f>
        <v/>
      </c>
    </row>
    <row r="807" spans="1:28" ht="15.75" customHeight="1">
      <c r="A807" s="201" t="str">
        <f>IF(B807&lt;&gt;"",IF(AND(B807&gt;=_TM1,B807&lt;=_TM2,OR(TH!L807="1111",TH!M807="1111")),TH!D807,""),"")</f>
        <v/>
      </c>
      <c r="B807" s="36">
        <f t="shared" si="33"/>
        <v>10</v>
      </c>
      <c r="C807" s="188">
        <f t="shared" si="34"/>
        <v>41568</v>
      </c>
      <c r="D807" s="181" t="s">
        <v>1033</v>
      </c>
      <c r="E807" s="181">
        <v>41568</v>
      </c>
      <c r="F807" s="186" t="s">
        <v>960</v>
      </c>
      <c r="G807" s="478" t="s">
        <v>955</v>
      </c>
      <c r="H807" s="7" t="s">
        <v>846</v>
      </c>
      <c r="I807" s="249">
        <v>50</v>
      </c>
      <c r="J807" s="249">
        <v>70000</v>
      </c>
      <c r="K807" s="38">
        <f>ROUND(I807*J807,0)</f>
        <v>3500000</v>
      </c>
      <c r="L807" s="191" t="s">
        <v>262</v>
      </c>
      <c r="M807" s="191" t="s">
        <v>172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IF(OR(TH!L807=TH!$U$7,M807=TH!$U$7),"x","")</f>
        <v/>
      </c>
      <c r="V807" s="52" t="str">
        <f>IF(AND(B807&gt;='IN-NX'!$P$3,B807&lt;='IN-NX'!$Q$3,'IN-NX'!$D$7=D807,OR(LEFT(L807,2)="15",AND(LEFT(M807,2)&lt;&gt;"15",LEFT(M807,2)&lt;&gt;"33"))),"x","")</f>
        <v/>
      </c>
      <c r="W807" s="52" t="str">
        <f>IF(AND(OR(LEFT(TH!L807,2)="15",LEFT(TH!M807,2)="15"),'152-CT'!$J$8=TH!F807),"x","")</f>
        <v/>
      </c>
      <c r="X807" s="52" t="str">
        <f>IF(AND(OR(LEFT(TH!L807,2)="15",LEFT(TH!M807,2)="15"),TK!$E$7=TH!F807),"x","")</f>
        <v/>
      </c>
      <c r="Y807" s="52" t="str">
        <f>IF(AND(B807&lt;=NKC!$N$8,B807&gt;=NKC!$M$8),"x","")</f>
        <v/>
      </c>
      <c r="Z807" s="769"/>
      <c r="AA807" s="587"/>
    </row>
    <row r="808" spans="1:28" ht="15.75" customHeight="1">
      <c r="A808" s="201" t="str">
        <f>IF(B808&lt;&gt;"",IF(AND(B808&gt;=_TM1,B808&lt;=_TM2,OR(TH!L808="1111",TH!M808="1111")),TH!D808,""),"")</f>
        <v/>
      </c>
      <c r="B808" s="36">
        <f t="shared" si="33"/>
        <v>10</v>
      </c>
      <c r="C808" s="188">
        <f t="shared" si="34"/>
        <v>41568</v>
      </c>
      <c r="D808" s="181" t="s">
        <v>1033</v>
      </c>
      <c r="E808" s="181">
        <v>41568</v>
      </c>
      <c r="F808" s="186" t="s">
        <v>961</v>
      </c>
      <c r="G808" s="186" t="s">
        <v>955</v>
      </c>
      <c r="H808" s="7" t="s">
        <v>846</v>
      </c>
      <c r="I808" s="249">
        <v>50</v>
      </c>
      <c r="J808" s="249">
        <v>80000</v>
      </c>
      <c r="K808" s="38">
        <f>ROUND(I808*J808,0)</f>
        <v>4000000</v>
      </c>
      <c r="L808" s="191" t="s">
        <v>262</v>
      </c>
      <c r="M808" s="191" t="s">
        <v>172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IF(OR(TH!L808=TH!$U$7,M808=TH!$U$7),"x","")</f>
        <v/>
      </c>
      <c r="V808" s="52" t="str">
        <f>IF(AND(B808&gt;='IN-NX'!$P$3,B808&lt;='IN-NX'!$Q$3,'IN-NX'!$D$7=D808,OR(LEFT(L808,2)="15",AND(LEFT(M808,2)&lt;&gt;"15",LEFT(M808,2)&lt;&gt;"33"))),"x","")</f>
        <v/>
      </c>
      <c r="W808" s="52" t="str">
        <f>IF(AND(OR(LEFT(TH!L808,2)="15",LEFT(TH!M808,2)="15"),'152-CT'!$J$8=TH!F808),"x","")</f>
        <v/>
      </c>
      <c r="X808" s="52" t="str">
        <f>IF(AND(OR(LEFT(TH!L808,2)="15",LEFT(TH!M808,2)="15"),TK!$E$7=TH!F808),"x","")</f>
        <v/>
      </c>
      <c r="Y808" s="52" t="str">
        <f>IF(AND(B808&lt;=NKC!$N$8,B808&gt;=NKC!$M$8),"x","")</f>
        <v/>
      </c>
      <c r="Z808" s="769"/>
      <c r="AA808" s="587"/>
    </row>
    <row r="809" spans="1:28" ht="15.75" customHeight="1">
      <c r="A809" s="201" t="str">
        <f>IF(B809&lt;&gt;"",IF(AND(B809&gt;=_TM1,B809&lt;=_TM2,OR(TH!L809="1111",TH!M809="1111")),TH!D809,""),"")</f>
        <v/>
      </c>
      <c r="B809" s="36">
        <f t="shared" si="33"/>
        <v>10</v>
      </c>
      <c r="C809" s="188">
        <f t="shared" si="34"/>
        <v>41568</v>
      </c>
      <c r="D809" s="181" t="s">
        <v>1033</v>
      </c>
      <c r="E809" s="181">
        <v>41568</v>
      </c>
      <c r="F809" s="186" t="s">
        <v>693</v>
      </c>
      <c r="G809" s="478" t="s">
        <v>955</v>
      </c>
      <c r="H809" s="7" t="s">
        <v>846</v>
      </c>
      <c r="I809" s="249"/>
      <c r="J809" s="249"/>
      <c r="K809" s="595">
        <v>750000</v>
      </c>
      <c r="L809" s="191" t="s">
        <v>262</v>
      </c>
      <c r="M809" s="191" t="s">
        <v>425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IF(OR(TH!L809=TH!$U$7,M809=TH!$U$7),"x","")</f>
        <v/>
      </c>
      <c r="V809" s="52" t="str">
        <f>IF(AND(B809&gt;='IN-NX'!$P$3,B809&lt;='IN-NX'!$Q$3,'IN-NX'!$D$7=D809,OR(LEFT(L809,2)="15",AND(LEFT(M809,2)&lt;&gt;"15",LEFT(M809,2)&lt;&gt;"33"))),"x","")</f>
        <v/>
      </c>
      <c r="W809" s="52" t="str">
        <f>IF(AND(OR(LEFT(TH!L809,2)="15",LEFT(TH!M809,2)="15"),'152-CT'!$J$8=TH!F809),"x","")</f>
        <v/>
      </c>
      <c r="X809" s="52" t="str">
        <f>IF(AND(OR(LEFT(TH!L809,2)="15",LEFT(TH!M809,2)="15"),TK!$E$7=TH!F809),"x","")</f>
        <v/>
      </c>
      <c r="Y809" s="52" t="str">
        <f>IF(AND(B809&lt;=NKC!$N$8,B809&gt;=NKC!$M$8),"x","")</f>
        <v/>
      </c>
      <c r="Z809" s="769"/>
      <c r="AA809" s="587" t="str">
        <f>IF(VLOOKUP(H809,DS_131,1,0)&lt;&gt;"","","x")</f>
        <v/>
      </c>
    </row>
    <row r="810" spans="1:28" s="208" customFormat="1" ht="15.75" customHeight="1">
      <c r="A810" s="201" t="str">
        <f>IF(B810&lt;&gt;"",IF(AND(B810&gt;=_TM1,B810&lt;=_TM2,OR(TH!L810="1111",TH!M810="1111")),TH!D810,""),"")</f>
        <v>T08</v>
      </c>
      <c r="B810" s="36">
        <f t="shared" si="33"/>
        <v>10</v>
      </c>
      <c r="C810" s="188">
        <f t="shared" si="34"/>
        <v>41568</v>
      </c>
      <c r="D810" s="181" t="s">
        <v>446</v>
      </c>
      <c r="E810" s="181">
        <v>41568</v>
      </c>
      <c r="F810" s="186" t="s">
        <v>337</v>
      </c>
      <c r="G810" s="478" t="s">
        <v>1309</v>
      </c>
      <c r="H810" s="7" t="s">
        <v>846</v>
      </c>
      <c r="I810" s="249"/>
      <c r="J810" s="249"/>
      <c r="K810" s="595">
        <v>17925600</v>
      </c>
      <c r="L810" s="191" t="s">
        <v>47</v>
      </c>
      <c r="M810" s="191" t="s">
        <v>262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IF(OR(TH!L810=TH!$U$7,M810=TH!$U$7),"x","")</f>
        <v/>
      </c>
      <c r="V810" s="52" t="str">
        <f>IF(AND(B810&gt;='IN-NX'!$P$3,B810&lt;='IN-NX'!$Q$3,'IN-NX'!$D$7=D810,OR(LEFT(L810,2)="15",AND(LEFT(M810,2)&lt;&gt;"15",LEFT(M810,2)&lt;&gt;"33"))),"x","")</f>
        <v/>
      </c>
      <c r="W810" s="52" t="str">
        <f>IF(AND(OR(LEFT(TH!L810,2)="15",LEFT(TH!M810,2)="15"),'152-CT'!$J$8=TH!F810),"x","")</f>
        <v/>
      </c>
      <c r="X810" s="52" t="str">
        <f>IF(AND(OR(LEFT(TH!L810,2)="15",LEFT(TH!M810,2)="15"),TK!$E$7=TH!F810),"x","")</f>
        <v/>
      </c>
      <c r="Y810" s="52" t="str">
        <f>IF(AND(B810&lt;=NKC!$N$8,B810&gt;=NKC!$M$8),"x","")</f>
        <v/>
      </c>
      <c r="Z810" s="769"/>
      <c r="AA810" s="587" t="str">
        <f>IF(VLOOKUP(H810,DS_131,1,0)&lt;&gt;"","","x")</f>
        <v/>
      </c>
      <c r="AB810" s="195"/>
    </row>
    <row r="811" spans="1:28" ht="15.75" customHeight="1">
      <c r="A811" s="201" t="str">
        <f>IF(B811&lt;&gt;"",IF(AND(B811&gt;=_TM1,B811&lt;=_TM2,OR(TH!L811="1111",TH!M811="1111")),TH!D811,""),"")</f>
        <v/>
      </c>
      <c r="B811" s="36">
        <f t="shared" si="33"/>
        <v>10</v>
      </c>
      <c r="C811" s="188">
        <f t="shared" si="34"/>
        <v>41569</v>
      </c>
      <c r="D811" s="181" t="s">
        <v>1034</v>
      </c>
      <c r="E811" s="181">
        <v>41569</v>
      </c>
      <c r="F811" s="186" t="s">
        <v>1120</v>
      </c>
      <c r="G811" s="186" t="s">
        <v>957</v>
      </c>
      <c r="H811" s="7" t="s">
        <v>883</v>
      </c>
      <c r="I811" s="249">
        <v>1980</v>
      </c>
      <c r="J811" s="249">
        <v>5300</v>
      </c>
      <c r="K811" s="38">
        <f>ROUND(I811*J811,0)</f>
        <v>10494000</v>
      </c>
      <c r="L811" s="191" t="s">
        <v>262</v>
      </c>
      <c r="M811" s="191" t="s">
        <v>172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IF(OR(TH!L811=TH!$U$7,M811=TH!$U$7),"x","")</f>
        <v/>
      </c>
      <c r="V811" s="52" t="str">
        <f>IF(AND(B811&gt;='IN-NX'!$P$3,B811&lt;='IN-NX'!$Q$3,'IN-NX'!$D$7=D811,OR(LEFT(L811,2)="15",AND(LEFT(M811,2)&lt;&gt;"15",LEFT(M811,2)&lt;&gt;"33"))),"x","")</f>
        <v/>
      </c>
      <c r="W811" s="52" t="str">
        <f>IF(AND(OR(LEFT(TH!L811,2)="15",LEFT(TH!M811,2)="15"),'152-CT'!$J$8=TH!F811),"x","")</f>
        <v/>
      </c>
      <c r="X811" s="52" t="str">
        <f>IF(AND(OR(LEFT(TH!L811,2)="15",LEFT(TH!M811,2)="15"),TK!$E$7=TH!F811),"x","")</f>
        <v/>
      </c>
      <c r="Y811" s="52" t="str">
        <f>IF(AND(B811&lt;=NKC!$N$8,B811&gt;=NKC!$M$8),"x","")</f>
        <v/>
      </c>
      <c r="Z811" s="769"/>
      <c r="AA811" s="587"/>
    </row>
    <row r="812" spans="1:28" ht="15.75" customHeight="1">
      <c r="A812" s="201" t="str">
        <f>IF(B812&lt;&gt;"",IF(AND(B812&gt;=_TM1,B812&lt;=_TM2,OR(TH!L812="1111",TH!M812="1111")),TH!D812,""),"")</f>
        <v/>
      </c>
      <c r="B812" s="36">
        <f t="shared" si="33"/>
        <v>10</v>
      </c>
      <c r="C812" s="188">
        <f t="shared" si="34"/>
        <v>41569</v>
      </c>
      <c r="D812" s="181" t="s">
        <v>1034</v>
      </c>
      <c r="E812" s="181">
        <v>41569</v>
      </c>
      <c r="F812" s="186" t="s">
        <v>693</v>
      </c>
      <c r="G812" s="478" t="s">
        <v>957</v>
      </c>
      <c r="H812" s="7" t="s">
        <v>883</v>
      </c>
      <c r="I812" s="249"/>
      <c r="J812" s="249"/>
      <c r="K812" s="595">
        <v>1049400</v>
      </c>
      <c r="L812" s="191" t="s">
        <v>262</v>
      </c>
      <c r="M812" s="191" t="s">
        <v>425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IF(OR(TH!L812=TH!$U$7,M812=TH!$U$7),"x","")</f>
        <v/>
      </c>
      <c r="V812" s="52" t="str">
        <f>IF(AND(B812&gt;='IN-NX'!$P$3,B812&lt;='IN-NX'!$Q$3,'IN-NX'!$D$7=D812,OR(LEFT(L812,2)="15",AND(LEFT(M812,2)&lt;&gt;"15",LEFT(M812,2)&lt;&gt;"33"))),"x","")</f>
        <v/>
      </c>
      <c r="W812" s="52" t="str">
        <f>IF(AND(OR(LEFT(TH!L812,2)="15",LEFT(TH!M812,2)="15"),'152-CT'!$J$8=TH!F812),"x","")</f>
        <v/>
      </c>
      <c r="X812" s="52" t="str">
        <f>IF(AND(OR(LEFT(TH!L812,2)="15",LEFT(TH!M812,2)="15"),TK!$E$7=TH!F812),"x","")</f>
        <v/>
      </c>
      <c r="Y812" s="52" t="str">
        <f>IF(AND(B812&lt;=NKC!$N$8,B812&gt;=NKC!$M$8),"x","")</f>
        <v/>
      </c>
      <c r="Z812" s="769"/>
      <c r="AA812" s="587" t="str">
        <f>IF(VLOOKUP(H812,DS_131,1,0)&lt;&gt;"","","x")</f>
        <v/>
      </c>
    </row>
    <row r="813" spans="1:28" ht="15.75" customHeight="1">
      <c r="A813" s="201" t="str">
        <f>IF(B813&lt;&gt;"",IF(AND(B813&gt;=_TM1,B813&lt;=_TM2,OR(TH!L813="1111",TH!M813="1111")),TH!D813,""),"")</f>
        <v>T09</v>
      </c>
      <c r="B813" s="36">
        <f t="shared" si="33"/>
        <v>10</v>
      </c>
      <c r="C813" s="188">
        <f t="shared" si="34"/>
        <v>41569</v>
      </c>
      <c r="D813" s="181" t="s">
        <v>447</v>
      </c>
      <c r="E813" s="181">
        <v>41569</v>
      </c>
      <c r="F813" s="186" t="s">
        <v>337</v>
      </c>
      <c r="G813" s="478" t="s">
        <v>957</v>
      </c>
      <c r="H813" s="7" t="s">
        <v>883</v>
      </c>
      <c r="I813" s="249"/>
      <c r="J813" s="249"/>
      <c r="K813" s="595">
        <v>11543400</v>
      </c>
      <c r="L813" s="191" t="s">
        <v>47</v>
      </c>
      <c r="M813" s="191" t="s">
        <v>262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IF(OR(TH!L813=TH!$U$7,M813=TH!$U$7),"x","")</f>
        <v/>
      </c>
      <c r="V813" s="52" t="str">
        <f>IF(AND(B813&gt;='IN-NX'!$P$3,B813&lt;='IN-NX'!$Q$3,'IN-NX'!$D$7=D813,OR(LEFT(L813,2)="15",AND(LEFT(M813,2)&lt;&gt;"15",LEFT(M813,2)&lt;&gt;"33"))),"x","")</f>
        <v/>
      </c>
      <c r="W813" s="52" t="str">
        <f>IF(AND(OR(LEFT(TH!L813,2)="15",LEFT(TH!M813,2)="15"),'152-CT'!$J$8=TH!F813),"x","")</f>
        <v/>
      </c>
      <c r="X813" s="52" t="str">
        <f>IF(AND(OR(LEFT(TH!L813,2)="15",LEFT(TH!M813,2)="15"),TK!$E$7=TH!F813),"x","")</f>
        <v/>
      </c>
      <c r="Y813" s="52" t="str">
        <f>IF(AND(B813&lt;=NKC!$N$8,B813&gt;=NKC!$M$8),"x","")</f>
        <v/>
      </c>
      <c r="Z813" s="769"/>
      <c r="AA813" s="587" t="str">
        <f>IF(VLOOKUP(H813,DS_131,1,0)&lt;&gt;"","","x")</f>
        <v/>
      </c>
    </row>
    <row r="814" spans="1:28" ht="15.75" customHeight="1">
      <c r="A814" s="201" t="str">
        <f>IF(B814&lt;&gt;"",IF(AND(B814&gt;=_TM1,B814&lt;=_TM2,OR(TH!L814="1111",TH!M814="1111")),TH!D814,""),"")</f>
        <v/>
      </c>
      <c r="B814" s="36">
        <f t="shared" si="33"/>
        <v>10</v>
      </c>
      <c r="C814" s="181">
        <f t="shared" si="34"/>
        <v>41570</v>
      </c>
      <c r="D814" s="181" t="s">
        <v>335</v>
      </c>
      <c r="E814" s="181">
        <v>41570</v>
      </c>
      <c r="F814" s="186" t="s">
        <v>337</v>
      </c>
      <c r="G814" s="597" t="s">
        <v>332</v>
      </c>
      <c r="H814" s="7" t="s">
        <v>470</v>
      </c>
      <c r="I814" s="249"/>
      <c r="J814" s="249"/>
      <c r="K814" s="595">
        <v>5085806</v>
      </c>
      <c r="L814" s="596" t="s">
        <v>24</v>
      </c>
      <c r="M814" s="596" t="s">
        <v>262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>x</v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IF(OR(TH!L814=TH!$U$7,M814=TH!$U$7),"x","")</f>
        <v/>
      </c>
      <c r="V814" s="52" t="str">
        <f>IF(AND(B814&gt;='IN-NX'!$P$3,B814&lt;='IN-NX'!$Q$3,'IN-NX'!$D$7=D814,OR(LEFT(L814,2)="15",AND(LEFT(M814,2)&lt;&gt;"15",LEFT(M814,2)&lt;&gt;"33"))),"x","")</f>
        <v/>
      </c>
      <c r="W814" s="52" t="str">
        <f>IF(AND(OR(LEFT(TH!L814,2)="15",LEFT(TH!M814,2)="15"),'152-CT'!$J$8=TH!F814),"x","")</f>
        <v/>
      </c>
      <c r="X814" s="52" t="str">
        <f>IF(AND(OR(LEFT(TH!L814,2)="15",LEFT(TH!M814,2)="15"),TK!$E$7=TH!F814),"x","")</f>
        <v/>
      </c>
      <c r="Y814" s="52" t="str">
        <f>IF(AND(B814&lt;=NKC!$N$8,B814&gt;=NKC!$M$8),"x","")</f>
        <v/>
      </c>
      <c r="Z814" s="208"/>
    </row>
    <row r="815" spans="1:28" s="208" customFormat="1" ht="15.75" customHeight="1">
      <c r="A815" s="201" t="str">
        <f>IF(B815&lt;&gt;"",IF(AND(B815&gt;=_TM1,B815&lt;=_TM2,OR(TH!L815="1111",TH!M815="1111")),TH!D815,""),"")</f>
        <v/>
      </c>
      <c r="B815" s="36">
        <f t="shared" si="33"/>
        <v>10</v>
      </c>
      <c r="C815" s="188">
        <f t="shared" si="34"/>
        <v>41571</v>
      </c>
      <c r="D815" s="181" t="s">
        <v>404</v>
      </c>
      <c r="E815" s="188">
        <v>41571</v>
      </c>
      <c r="F815" s="189" t="s">
        <v>657</v>
      </c>
      <c r="G815" s="480" t="s">
        <v>658</v>
      </c>
      <c r="H815" s="190" t="s">
        <v>656</v>
      </c>
      <c r="I815" s="249">
        <v>1100</v>
      </c>
      <c r="J815" s="249">
        <v>16000</v>
      </c>
      <c r="K815" s="38">
        <f>ROUND(I815*J815,0)</f>
        <v>17600000</v>
      </c>
      <c r="L815" s="191" t="s">
        <v>156</v>
      </c>
      <c r="M815" s="191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IF(OR(TH!L815=TH!$U$7,M815=TH!$U$7),"x","")</f>
        <v/>
      </c>
      <c r="V815" s="52" t="str">
        <f>IF(AND(B815&gt;='IN-NX'!$P$3,B815&lt;='IN-NX'!$Q$3,'IN-NX'!$D$7=D815,OR(LEFT(L815,2)="15",AND(LEFT(M815,2)&lt;&gt;"15",LEFT(M815,2)&lt;&gt;"33"))),"x","")</f>
        <v/>
      </c>
      <c r="W815" s="52" t="str">
        <f>IF(AND(OR(LEFT(TH!L815,2)="15",LEFT(TH!M815,2)="15"),'152-CT'!$J$8=TH!F815),"x","")</f>
        <v/>
      </c>
      <c r="X815" s="52" t="str">
        <f>IF(AND(OR(LEFT(TH!L815,2)="15",LEFT(TH!M815,2)="15"),TK!$E$7=TH!F815),"x","")</f>
        <v/>
      </c>
      <c r="Y815" s="52" t="str">
        <f>IF(AND(B815&lt;=NKC!$N$8,B815&gt;=NKC!$M$8),"x","")</f>
        <v/>
      </c>
      <c r="Z815" s="587" t="s">
        <v>1336</v>
      </c>
      <c r="AA815" s="195"/>
      <c r="AB815" s="195"/>
    </row>
    <row r="816" spans="1:28" ht="15.75" customHeight="1">
      <c r="A816" s="201" t="str">
        <f>IF(B816&lt;&gt;"",IF(AND(B816&gt;=_TM1,B816&lt;=_TM2,OR(TH!L816="1111",TH!M816="1111")),TH!D816,""),"")</f>
        <v/>
      </c>
      <c r="B816" s="36">
        <f t="shared" si="33"/>
        <v>10</v>
      </c>
      <c r="C816" s="188">
        <f t="shared" si="34"/>
        <v>41571</v>
      </c>
      <c r="D816" s="181" t="s">
        <v>404</v>
      </c>
      <c r="E816" s="188">
        <v>41571</v>
      </c>
      <c r="F816" s="189" t="s">
        <v>557</v>
      </c>
      <c r="G816" s="480" t="s">
        <v>658</v>
      </c>
      <c r="H816" s="190" t="s">
        <v>656</v>
      </c>
      <c r="I816" s="249"/>
      <c r="J816" s="249"/>
      <c r="K816" s="38">
        <v>1760000</v>
      </c>
      <c r="L816" s="191" t="s">
        <v>9</v>
      </c>
      <c r="M816" s="191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IF(OR(TH!L816=TH!$U$7,M816=TH!$U$7),"x","")</f>
        <v/>
      </c>
      <c r="V816" s="52" t="str">
        <f>IF(AND(B816&gt;='IN-NX'!$P$3,B816&lt;='IN-NX'!$Q$3,'IN-NX'!$D$7=D816,OR(LEFT(L816,2)="15",AND(LEFT(M816,2)&lt;&gt;"15",LEFT(M816,2)&lt;&gt;"33"))),"x","")</f>
        <v/>
      </c>
      <c r="W816" s="52" t="str">
        <f>IF(AND(OR(LEFT(TH!L816,2)="15",LEFT(TH!M816,2)="15"),'152-CT'!$J$8=TH!F816),"x","")</f>
        <v/>
      </c>
      <c r="X816" s="52" t="str">
        <f>IF(AND(OR(LEFT(TH!L816,2)="15",LEFT(TH!M816,2)="15"),TK!$E$7=TH!F816),"x","")</f>
        <v/>
      </c>
      <c r="Y816" s="52" t="str">
        <f>IF(AND(B816&lt;=NKC!$N$8,B816&gt;=NKC!$M$8),"x","")</f>
        <v/>
      </c>
      <c r="Z816" s="587" t="s">
        <v>1336</v>
      </c>
    </row>
    <row r="817" spans="1:28" s="208" customFormat="1" ht="15.75" customHeight="1">
      <c r="A817" s="201" t="str">
        <f>IF(B817&lt;&gt;"",IF(AND(B817&gt;=_TM1,B817&lt;=_TM2,OR(TH!L817="1111",TH!M817="1111")),TH!D817,""),"")</f>
        <v>C03</v>
      </c>
      <c r="B817" s="36">
        <f t="shared" si="33"/>
        <v>10</v>
      </c>
      <c r="C817" s="188">
        <f t="shared" si="34"/>
        <v>41571</v>
      </c>
      <c r="D817" s="181" t="s">
        <v>376</v>
      </c>
      <c r="E817" s="188">
        <v>41571</v>
      </c>
      <c r="F817" s="189" t="s">
        <v>367</v>
      </c>
      <c r="G817" s="480" t="s">
        <v>658</v>
      </c>
      <c r="H817" s="190" t="s">
        <v>656</v>
      </c>
      <c r="I817" s="249"/>
      <c r="J817" s="249"/>
      <c r="K817" s="38">
        <f>K815+K816</f>
        <v>19360000</v>
      </c>
      <c r="L817" s="191" t="s">
        <v>8</v>
      </c>
      <c r="M817" s="191" t="s">
        <v>47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IF(OR(TH!L817=TH!$U$7,M817=TH!$U$7),"x","")</f>
        <v/>
      </c>
      <c r="V817" s="52" t="str">
        <f>IF(AND(B817&gt;='IN-NX'!$P$3,B817&lt;='IN-NX'!$Q$3,'IN-NX'!$D$7=D817,OR(LEFT(L817,2)="15",AND(LEFT(M817,2)&lt;&gt;"15",LEFT(M817,2)&lt;&gt;"33"))),"x","")</f>
        <v/>
      </c>
      <c r="W817" s="52" t="str">
        <f>IF(AND(OR(LEFT(TH!L817,2)="15",LEFT(TH!M817,2)="15"),'152-CT'!$J$8=TH!F817),"x","")</f>
        <v/>
      </c>
      <c r="X817" s="52" t="str">
        <f>IF(AND(OR(LEFT(TH!L817,2)="15",LEFT(TH!M817,2)="15"),TK!$E$7=TH!F817),"x","")</f>
        <v/>
      </c>
      <c r="Y817" s="52" t="str">
        <f>IF(AND(B817&lt;=NKC!$N$8,B817&gt;=NKC!$M$8),"x","")</f>
        <v/>
      </c>
      <c r="AA817" s="195"/>
      <c r="AB817" s="195"/>
    </row>
    <row r="818" spans="1:28" s="208" customFormat="1" ht="15.75" customHeight="1">
      <c r="A818" s="201" t="str">
        <f>IF(B818&lt;&gt;"",IF(AND(B818&gt;=_TM1,B818&lt;=_TM2,OR(TH!L818="1111",TH!M818="1111")),TH!D818,""),"")</f>
        <v/>
      </c>
      <c r="B818" s="36">
        <f t="shared" si="33"/>
        <v>10</v>
      </c>
      <c r="C818" s="188">
        <f t="shared" si="34"/>
        <v>41571</v>
      </c>
      <c r="D818" s="181" t="s">
        <v>1035</v>
      </c>
      <c r="E818" s="181">
        <v>41571</v>
      </c>
      <c r="F818" s="189" t="s">
        <v>1097</v>
      </c>
      <c r="G818" s="186" t="s">
        <v>959</v>
      </c>
      <c r="H818" s="7" t="s">
        <v>510</v>
      </c>
      <c r="I818" s="249">
        <v>100</v>
      </c>
      <c r="J818" s="249">
        <v>6400</v>
      </c>
      <c r="K818" s="38">
        <f>ROUND(I818*J818,0)</f>
        <v>640000</v>
      </c>
      <c r="L818" s="191" t="s">
        <v>262</v>
      </c>
      <c r="M818" s="191" t="s">
        <v>172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IF(OR(TH!L818=TH!$U$7,M818=TH!$U$7),"x","")</f>
        <v/>
      </c>
      <c r="V818" s="52" t="str">
        <f>IF(AND(B818&gt;='IN-NX'!$P$3,B818&lt;='IN-NX'!$Q$3,'IN-NX'!$D$7=D818,OR(LEFT(L818,2)="15",AND(LEFT(M818,2)&lt;&gt;"15",LEFT(M818,2)&lt;&gt;"33"))),"x","")</f>
        <v/>
      </c>
      <c r="W818" s="52" t="str">
        <f>IF(AND(OR(LEFT(TH!L818,2)="15",LEFT(TH!M818,2)="15"),'152-CT'!$J$8=TH!F818),"x","")</f>
        <v/>
      </c>
      <c r="X818" s="52" t="str">
        <f>IF(AND(OR(LEFT(TH!L818,2)="15",LEFT(TH!M818,2)="15"),TK!$E$7=TH!F818),"x","")</f>
        <v/>
      </c>
      <c r="Y818" s="52" t="str">
        <f>IF(AND(B818&lt;=NKC!$N$8,B818&gt;=NKC!$M$8),"x","")</f>
        <v/>
      </c>
      <c r="Z818" s="769"/>
      <c r="AA818" s="587"/>
      <c r="AB818" s="195"/>
    </row>
    <row r="819" spans="1:28" ht="15.75" customHeight="1">
      <c r="A819" s="201" t="str">
        <f>IF(B819&lt;&gt;"",IF(AND(B819&gt;=_TM1,B819&lt;=_TM2,OR(TH!L819="1111",TH!M819="1111")),TH!D819,""),"")</f>
        <v/>
      </c>
      <c r="B819" s="36">
        <f t="shared" ref="B819:B882" si="38">IF(C819&lt;&gt;"",MONTH(C819),"")</f>
        <v>10</v>
      </c>
      <c r="C819" s="188">
        <f t="shared" si="34"/>
        <v>41571</v>
      </c>
      <c r="D819" s="181" t="s">
        <v>1035</v>
      </c>
      <c r="E819" s="181">
        <v>41571</v>
      </c>
      <c r="F819" s="186" t="s">
        <v>781</v>
      </c>
      <c r="G819" s="478" t="s">
        <v>959</v>
      </c>
      <c r="H819" s="7" t="s">
        <v>510</v>
      </c>
      <c r="I819" s="249">
        <v>200</v>
      </c>
      <c r="J819" s="249">
        <v>9800</v>
      </c>
      <c r="K819" s="38">
        <f>ROUND(I819*J819,0)</f>
        <v>1960000</v>
      </c>
      <c r="L819" s="191" t="s">
        <v>262</v>
      </c>
      <c r="M819" s="191" t="s">
        <v>172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IF(OR(TH!L819=TH!$U$7,M819=TH!$U$7),"x","")</f>
        <v/>
      </c>
      <c r="V819" s="52" t="str">
        <f>IF(AND(B819&gt;='IN-NX'!$P$3,B819&lt;='IN-NX'!$Q$3,'IN-NX'!$D$7=D819,OR(LEFT(L819,2)="15",AND(LEFT(M819,2)&lt;&gt;"15",LEFT(M819,2)&lt;&gt;"33"))),"x","")</f>
        <v/>
      </c>
      <c r="W819" s="52" t="str">
        <f>IF(AND(OR(LEFT(TH!L819,2)="15",LEFT(TH!M819,2)="15"),'152-CT'!$J$8=TH!F819),"x","")</f>
        <v/>
      </c>
      <c r="X819" s="52" t="str">
        <f>IF(AND(OR(LEFT(TH!L819,2)="15",LEFT(TH!M819,2)="15"),TK!$E$7=TH!F819),"x","")</f>
        <v/>
      </c>
      <c r="Y819" s="52" t="str">
        <f>IF(AND(B819&lt;=NKC!$N$8,B819&gt;=NKC!$M$8),"x","")</f>
        <v/>
      </c>
      <c r="Z819" s="769"/>
      <c r="AA819" s="587"/>
    </row>
    <row r="820" spans="1:28" ht="15.75" customHeight="1">
      <c r="A820" s="201" t="str">
        <f>IF(B820&lt;&gt;"",IF(AND(B820&gt;=_TM1,B820&lt;=_TM2,OR(TH!L820="1111",TH!M820="1111")),TH!D820,""),"")</f>
        <v/>
      </c>
      <c r="B820" s="36">
        <f t="shared" si="38"/>
        <v>10</v>
      </c>
      <c r="C820" s="188">
        <f t="shared" si="34"/>
        <v>41571</v>
      </c>
      <c r="D820" s="181" t="s">
        <v>1035</v>
      </c>
      <c r="E820" s="181">
        <v>41571</v>
      </c>
      <c r="F820" s="189" t="s">
        <v>1097</v>
      </c>
      <c r="G820" s="186" t="s">
        <v>959</v>
      </c>
      <c r="H820" s="7" t="s">
        <v>510</v>
      </c>
      <c r="I820" s="249">
        <v>200</v>
      </c>
      <c r="J820" s="249">
        <v>6400</v>
      </c>
      <c r="K820" s="38">
        <f>ROUND(I820*J820,0)</f>
        <v>1280000</v>
      </c>
      <c r="L820" s="191" t="s">
        <v>262</v>
      </c>
      <c r="M820" s="191" t="s">
        <v>172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IF(OR(TH!L820=TH!$U$7,M820=TH!$U$7),"x","")</f>
        <v/>
      </c>
      <c r="V820" s="52" t="str">
        <f>IF(AND(B820&gt;='IN-NX'!$P$3,B820&lt;='IN-NX'!$Q$3,'IN-NX'!$D$7=D820,OR(LEFT(L820,2)="15",AND(LEFT(M820,2)&lt;&gt;"15",LEFT(M820,2)&lt;&gt;"33"))),"x","")</f>
        <v/>
      </c>
      <c r="W820" s="52" t="str">
        <f>IF(AND(OR(LEFT(TH!L820,2)="15",LEFT(TH!M820,2)="15"),'152-CT'!$J$8=TH!F820),"x","")</f>
        <v/>
      </c>
      <c r="X820" s="52" t="str">
        <f>IF(AND(OR(LEFT(TH!L820,2)="15",LEFT(TH!M820,2)="15"),TK!$E$7=TH!F820),"x","")</f>
        <v/>
      </c>
      <c r="Y820" s="52" t="str">
        <f>IF(AND(B820&lt;=NKC!$N$8,B820&gt;=NKC!$M$8),"x","")</f>
        <v/>
      </c>
      <c r="Z820" s="769"/>
      <c r="AA820" s="587"/>
    </row>
    <row r="821" spans="1:28" ht="15.75" customHeight="1">
      <c r="A821" s="201" t="str">
        <f>IF(B821&lt;&gt;"",IF(AND(B821&gt;=_TM1,B821&lt;=_TM2,OR(TH!L821="1111",TH!M821="1111")),TH!D821,""),"")</f>
        <v/>
      </c>
      <c r="B821" s="36">
        <f t="shared" si="38"/>
        <v>10</v>
      </c>
      <c r="C821" s="188">
        <f t="shared" si="34"/>
        <v>41571</v>
      </c>
      <c r="D821" s="181" t="s">
        <v>1035</v>
      </c>
      <c r="E821" s="181">
        <v>41571</v>
      </c>
      <c r="F821" s="186" t="s">
        <v>693</v>
      </c>
      <c r="G821" s="478" t="s">
        <v>959</v>
      </c>
      <c r="H821" s="7" t="s">
        <v>510</v>
      </c>
      <c r="I821" s="249"/>
      <c r="J821" s="249"/>
      <c r="K821" s="595">
        <v>388000</v>
      </c>
      <c r="L821" s="191" t="s">
        <v>262</v>
      </c>
      <c r="M821" s="191" t="s">
        <v>425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IF(OR(TH!L821=TH!$U$7,M821=TH!$U$7),"x","")</f>
        <v/>
      </c>
      <c r="V821" s="52" t="str">
        <f>IF(AND(B821&gt;='IN-NX'!$P$3,B821&lt;='IN-NX'!$Q$3,'IN-NX'!$D$7=D821,OR(LEFT(L821,2)="15",AND(LEFT(M821,2)&lt;&gt;"15",LEFT(M821,2)&lt;&gt;"33"))),"x","")</f>
        <v/>
      </c>
      <c r="W821" s="52" t="str">
        <f>IF(AND(OR(LEFT(TH!L821,2)="15",LEFT(TH!M821,2)="15"),'152-CT'!$J$8=TH!F821),"x","")</f>
        <v/>
      </c>
      <c r="X821" s="52" t="str">
        <f>IF(AND(OR(LEFT(TH!L821,2)="15",LEFT(TH!M821,2)="15"),TK!$E$7=TH!F821),"x","")</f>
        <v/>
      </c>
      <c r="Y821" s="52" t="str">
        <f>IF(AND(B821&lt;=NKC!$N$8,B821&gt;=NKC!$M$8),"x","")</f>
        <v/>
      </c>
      <c r="Z821" s="769"/>
      <c r="AA821" s="587" t="str">
        <f>IF(VLOOKUP(H821,DS_131,1,0)&lt;&gt;"","","x")</f>
        <v/>
      </c>
    </row>
    <row r="822" spans="1:28" ht="15.75" customHeight="1">
      <c r="A822" s="201" t="str">
        <f>IF(B822&lt;&gt;"",IF(AND(B822&gt;=_TM1,B822&lt;=_TM2,OR(TH!L822="1111",TH!M822="1111")),TH!D822,""),"")</f>
        <v/>
      </c>
      <c r="B822" s="36">
        <f t="shared" si="38"/>
        <v>10</v>
      </c>
      <c r="C822" s="188">
        <f t="shared" si="34"/>
        <v>41571</v>
      </c>
      <c r="D822" s="181" t="s">
        <v>1036</v>
      </c>
      <c r="E822" s="181">
        <v>41571</v>
      </c>
      <c r="F822" s="186" t="s">
        <v>907</v>
      </c>
      <c r="G822" s="186" t="s">
        <v>962</v>
      </c>
      <c r="H822" s="190" t="s">
        <v>517</v>
      </c>
      <c r="I822" s="249">
        <v>585</v>
      </c>
      <c r="J822" s="249">
        <v>18600</v>
      </c>
      <c r="K822" s="38">
        <f>ROUND(I822*J822,0)</f>
        <v>10881000</v>
      </c>
      <c r="L822" s="191" t="s">
        <v>262</v>
      </c>
      <c r="M822" s="191" t="s">
        <v>172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IF(OR(TH!L822=TH!$U$7,M822=TH!$U$7),"x","")</f>
        <v/>
      </c>
      <c r="V822" s="52" t="str">
        <f>IF(AND(B822&gt;='IN-NX'!$P$3,B822&lt;='IN-NX'!$Q$3,'IN-NX'!$D$7=D822,OR(LEFT(L822,2)="15",AND(LEFT(M822,2)&lt;&gt;"15",LEFT(M822,2)&lt;&gt;"33"))),"x","")</f>
        <v/>
      </c>
      <c r="W822" s="52" t="str">
        <f>IF(AND(OR(LEFT(TH!L822,2)="15",LEFT(TH!M822,2)="15"),'152-CT'!$J$8=TH!F822),"x","")</f>
        <v/>
      </c>
      <c r="X822" s="52" t="str">
        <f>IF(AND(OR(LEFT(TH!L822,2)="15",LEFT(TH!M822,2)="15"),TK!$E$7=TH!F822),"x","")</f>
        <v/>
      </c>
      <c r="Y822" s="52" t="str">
        <f>IF(AND(B822&lt;=NKC!$N$8,B822&gt;=NKC!$M$8),"x","")</f>
        <v/>
      </c>
      <c r="Z822" s="769"/>
      <c r="AA822" s="587"/>
    </row>
    <row r="823" spans="1:28" s="208" customFormat="1" ht="15.75" customHeight="1">
      <c r="A823" s="201" t="str">
        <f>IF(B823&lt;&gt;"",IF(AND(B823&gt;=_TM1,B823&lt;=_TM2,OR(TH!L823="1111",TH!M823="1111")),TH!D823,""),"")</f>
        <v/>
      </c>
      <c r="B823" s="36">
        <f t="shared" si="38"/>
        <v>10</v>
      </c>
      <c r="C823" s="188">
        <f t="shared" ref="C823:C886" si="39">E823</f>
        <v>41571</v>
      </c>
      <c r="D823" s="181" t="s">
        <v>1036</v>
      </c>
      <c r="E823" s="188">
        <v>41571</v>
      </c>
      <c r="F823" s="189" t="s">
        <v>693</v>
      </c>
      <c r="G823" s="657" t="s">
        <v>962</v>
      </c>
      <c r="H823" s="190" t="s">
        <v>517</v>
      </c>
      <c r="I823" s="249"/>
      <c r="J823" s="834"/>
      <c r="K823" s="38">
        <v>1088100</v>
      </c>
      <c r="L823" s="191" t="s">
        <v>262</v>
      </c>
      <c r="M823" s="191" t="s">
        <v>425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IF(OR(TH!L823=TH!$U$7,M823=TH!$U$7),"x","")</f>
        <v/>
      </c>
      <c r="V823" s="52" t="str">
        <f>IF(AND(B823&gt;='IN-NX'!$P$3,B823&lt;='IN-NX'!$Q$3,'IN-NX'!$D$7=D823,OR(LEFT(L823,2)="15",AND(LEFT(M823,2)&lt;&gt;"15",LEFT(M823,2)&lt;&gt;"33"))),"x","")</f>
        <v/>
      </c>
      <c r="W823" s="52" t="str">
        <f>IF(AND(OR(LEFT(TH!L823,2)="15",LEFT(TH!M823,2)="15"),'152-CT'!$J$8=TH!F823),"x","")</f>
        <v/>
      </c>
      <c r="X823" s="52" t="str">
        <f>IF(AND(OR(LEFT(TH!L823,2)="15",LEFT(TH!M823,2)="15"),TK!$E$7=TH!F823),"x","")</f>
        <v/>
      </c>
      <c r="Y823" s="52" t="str">
        <f>IF(AND(B823&lt;=NKC!$N$8,B823&gt;=NKC!$M$8),"x","")</f>
        <v/>
      </c>
      <c r="Z823" s="769"/>
      <c r="AA823" s="587" t="str">
        <f>IF(VLOOKUP(H823,DS_131,1,0)&lt;&gt;"","","x")</f>
        <v/>
      </c>
      <c r="AB823" s="195"/>
    </row>
    <row r="824" spans="1:28" ht="15.75" customHeight="1">
      <c r="A824" s="201" t="str">
        <f>IF(B824&lt;&gt;"",IF(AND(B824&gt;=_TM1,B824&lt;=_TM2,OR(TH!L824="1111",TH!M824="1111")),TH!D824,""),"")</f>
        <v/>
      </c>
      <c r="B824" s="36">
        <f t="shared" si="38"/>
        <v>10</v>
      </c>
      <c r="C824" s="181">
        <f t="shared" si="39"/>
        <v>41572</v>
      </c>
      <c r="D824" s="181" t="s">
        <v>335</v>
      </c>
      <c r="E824" s="181">
        <v>41572</v>
      </c>
      <c r="F824" s="186" t="s">
        <v>365</v>
      </c>
      <c r="G824" s="597" t="s">
        <v>332</v>
      </c>
      <c r="H824" s="7"/>
      <c r="I824" s="249"/>
      <c r="J824" s="249"/>
      <c r="K824" s="595">
        <v>5895</v>
      </c>
      <c r="L824" s="596" t="s">
        <v>24</v>
      </c>
      <c r="M824" s="596" t="s">
        <v>40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>x</v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IF(OR(TH!L824=TH!$U$7,M824=TH!$U$7),"x","")</f>
        <v/>
      </c>
      <c r="V824" s="52" t="str">
        <f>IF(AND(B824&gt;='IN-NX'!$P$3,B824&lt;='IN-NX'!$Q$3,'IN-NX'!$D$7=D824,OR(LEFT(L824,2)="15",AND(LEFT(M824,2)&lt;&gt;"15",LEFT(M824,2)&lt;&gt;"33"))),"x","")</f>
        <v/>
      </c>
      <c r="W824" s="52" t="str">
        <f>IF(AND(OR(LEFT(TH!L824,2)="15",LEFT(TH!M824,2)="15"),'152-CT'!$J$8=TH!F824),"x","")</f>
        <v/>
      </c>
      <c r="X824" s="52" t="str">
        <f>IF(AND(OR(LEFT(TH!L824,2)="15",LEFT(TH!M824,2)="15"),TK!$E$7=TH!F824),"x","")</f>
        <v/>
      </c>
      <c r="Y824" s="52" t="str">
        <f>IF(AND(B824&lt;=NKC!$N$8,B824&gt;=NKC!$M$8),"x","")</f>
        <v/>
      </c>
      <c r="Z824" s="208"/>
    </row>
    <row r="825" spans="1:28" ht="15.75" customHeight="1">
      <c r="A825" s="201" t="str">
        <f>IF(B825&lt;&gt;"",IF(AND(B825&gt;=_TM1,B825&lt;=_TM2,OR(TH!L825="1111",TH!M825="1111")),TH!D825,""),"")</f>
        <v/>
      </c>
      <c r="B825" s="36">
        <f t="shared" si="38"/>
        <v>10</v>
      </c>
      <c r="C825" s="188">
        <f t="shared" si="39"/>
        <v>41572</v>
      </c>
      <c r="D825" s="181" t="s">
        <v>405</v>
      </c>
      <c r="E825" s="188">
        <v>41572</v>
      </c>
      <c r="F825" s="189" t="s">
        <v>657</v>
      </c>
      <c r="G825" s="480" t="s">
        <v>659</v>
      </c>
      <c r="H825" s="190" t="s">
        <v>656</v>
      </c>
      <c r="I825" s="249">
        <v>1120</v>
      </c>
      <c r="J825" s="249">
        <v>16000</v>
      </c>
      <c r="K825" s="38">
        <f>ROUND(I825*J825,0)</f>
        <v>17920000</v>
      </c>
      <c r="L825" s="191" t="s">
        <v>156</v>
      </c>
      <c r="M825" s="191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IF(OR(TH!L825=TH!$U$7,M825=TH!$U$7),"x","")</f>
        <v/>
      </c>
      <c r="V825" s="52" t="str">
        <f>IF(AND(B825&gt;='IN-NX'!$P$3,B825&lt;='IN-NX'!$Q$3,'IN-NX'!$D$7=D825,OR(LEFT(L825,2)="15",AND(LEFT(M825,2)&lt;&gt;"15",LEFT(M825,2)&lt;&gt;"33"))),"x","")</f>
        <v/>
      </c>
      <c r="W825" s="52" t="str">
        <f>IF(AND(OR(LEFT(TH!L825,2)="15",LEFT(TH!M825,2)="15"),'152-CT'!$J$8=TH!F825),"x","")</f>
        <v/>
      </c>
      <c r="X825" s="52" t="str">
        <f>IF(AND(OR(LEFT(TH!L825,2)="15",LEFT(TH!M825,2)="15"),TK!$E$7=TH!F825),"x","")</f>
        <v/>
      </c>
      <c r="Y825" s="52" t="str">
        <f>IF(AND(B825&lt;=NKC!$N$8,B825&gt;=NKC!$M$8),"x","")</f>
        <v/>
      </c>
      <c r="Z825" s="587" t="s">
        <v>1336</v>
      </c>
    </row>
    <row r="826" spans="1:28" ht="15.75" customHeight="1">
      <c r="A826" s="201" t="str">
        <f>IF(B826&lt;&gt;"",IF(AND(B826&gt;=_TM1,B826&lt;=_TM2,OR(TH!L826="1111",TH!M826="1111")),TH!D826,""),"")</f>
        <v/>
      </c>
      <c r="B826" s="36">
        <f t="shared" si="38"/>
        <v>10</v>
      </c>
      <c r="C826" s="188">
        <f t="shared" si="39"/>
        <v>41572</v>
      </c>
      <c r="D826" s="181" t="s">
        <v>405</v>
      </c>
      <c r="E826" s="188">
        <v>41572</v>
      </c>
      <c r="F826" s="189" t="s">
        <v>557</v>
      </c>
      <c r="G826" s="480" t="s">
        <v>659</v>
      </c>
      <c r="H826" s="190" t="s">
        <v>656</v>
      </c>
      <c r="I826" s="250"/>
      <c r="J826" s="250"/>
      <c r="K826" s="38">
        <v>1792000</v>
      </c>
      <c r="L826" s="191" t="s">
        <v>9</v>
      </c>
      <c r="M826" s="191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IF(OR(TH!L826=TH!$U$7,M826=TH!$U$7),"x","")</f>
        <v/>
      </c>
      <c r="V826" s="52" t="str">
        <f>IF(AND(B826&gt;='IN-NX'!$P$3,B826&lt;='IN-NX'!$Q$3,'IN-NX'!$D$7=D826,OR(LEFT(L826,2)="15",AND(LEFT(M826,2)&lt;&gt;"15",LEFT(M826,2)&lt;&gt;"33"))),"x","")</f>
        <v/>
      </c>
      <c r="W826" s="52" t="str">
        <f>IF(AND(OR(LEFT(TH!L826,2)="15",LEFT(TH!M826,2)="15"),'152-CT'!$J$8=TH!F826),"x","")</f>
        <v/>
      </c>
      <c r="X826" s="52" t="str">
        <f>IF(AND(OR(LEFT(TH!L826,2)="15",LEFT(TH!M826,2)="15"),TK!$E$7=TH!F826),"x","")</f>
        <v/>
      </c>
      <c r="Y826" s="52" t="str">
        <f>IF(AND(B826&lt;=NKC!$N$8,B826&gt;=NKC!$M$8),"x","")</f>
        <v/>
      </c>
      <c r="Z826" s="587" t="s">
        <v>1336</v>
      </c>
    </row>
    <row r="827" spans="1:28" ht="15.75" customHeight="1">
      <c r="A827" s="201" t="str">
        <f>IF(B827&lt;&gt;"",IF(AND(B827&gt;=_TM1,B827&lt;=_TM2,OR(TH!L827="1111",TH!M827="1111")),TH!D827,""),"")</f>
        <v>C04</v>
      </c>
      <c r="B827" s="36">
        <f t="shared" si="38"/>
        <v>10</v>
      </c>
      <c r="C827" s="188">
        <f t="shared" si="39"/>
        <v>41572</v>
      </c>
      <c r="D827" s="181" t="s">
        <v>377</v>
      </c>
      <c r="E827" s="188">
        <v>41572</v>
      </c>
      <c r="F827" s="189" t="s">
        <v>367</v>
      </c>
      <c r="G827" s="480" t="s">
        <v>659</v>
      </c>
      <c r="H827" s="190" t="s">
        <v>656</v>
      </c>
      <c r="I827" s="250"/>
      <c r="J827" s="250"/>
      <c r="K827" s="38">
        <v>19712000</v>
      </c>
      <c r="L827" s="191" t="s">
        <v>8</v>
      </c>
      <c r="M827" s="191" t="s">
        <v>47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>x</v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IF(OR(TH!L827=TH!$U$7,M827=TH!$U$7),"x","")</f>
        <v/>
      </c>
      <c r="V827" s="52" t="str">
        <f>IF(AND(B827&gt;='IN-NX'!$P$3,B827&lt;='IN-NX'!$Q$3,'IN-NX'!$D$7=D827,OR(LEFT(L827,2)="15",AND(LEFT(M827,2)&lt;&gt;"15",LEFT(M827,2)&lt;&gt;"33"))),"x","")</f>
        <v/>
      </c>
      <c r="W827" s="52" t="str">
        <f>IF(AND(OR(LEFT(TH!L827,2)="15",LEFT(TH!M827,2)="15"),'152-CT'!$J$8=TH!F827),"x","")</f>
        <v/>
      </c>
      <c r="X827" s="52" t="str">
        <f>IF(AND(OR(LEFT(TH!L827,2)="15",LEFT(TH!M827,2)="15"),TK!$E$7=TH!F827),"x","")</f>
        <v/>
      </c>
      <c r="Y827" s="52" t="str">
        <f>IF(AND(B827&lt;=NKC!$N$8,B827&gt;=NKC!$M$8),"x","")</f>
        <v/>
      </c>
      <c r="Z827" s="208"/>
    </row>
    <row r="828" spans="1:28" ht="15.75" customHeight="1">
      <c r="A828" s="201" t="str">
        <f>IF(B828&lt;&gt;"",IF(AND(B828&gt;=_TM1,B828&lt;=_TM2,OR(TH!L828="1111",TH!M828="1111")),TH!D828,""),"")</f>
        <v/>
      </c>
      <c r="B828" s="36">
        <f t="shared" si="38"/>
        <v>10</v>
      </c>
      <c r="C828" s="188">
        <f t="shared" si="39"/>
        <v>41573</v>
      </c>
      <c r="D828" s="181" t="s">
        <v>406</v>
      </c>
      <c r="E828" s="188">
        <v>41573</v>
      </c>
      <c r="F828" s="189" t="s">
        <v>657</v>
      </c>
      <c r="G828" s="480" t="s">
        <v>660</v>
      </c>
      <c r="H828" s="190" t="s">
        <v>656</v>
      </c>
      <c r="I828" s="250">
        <v>1100</v>
      </c>
      <c r="J828" s="250">
        <v>16000</v>
      </c>
      <c r="K828" s="38">
        <f>ROUND(I828*J828,0)</f>
        <v>17600000</v>
      </c>
      <c r="L828" s="191" t="s">
        <v>156</v>
      </c>
      <c r="M828" s="191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IF(OR(TH!L828=TH!$U$7,M828=TH!$U$7),"x","")</f>
        <v/>
      </c>
      <c r="V828" s="52" t="str">
        <f>IF(AND(B828&gt;='IN-NX'!$P$3,B828&lt;='IN-NX'!$Q$3,'IN-NX'!$D$7=D828,OR(LEFT(L828,2)="15",AND(LEFT(M828,2)&lt;&gt;"15",LEFT(M828,2)&lt;&gt;"33"))),"x","")</f>
        <v/>
      </c>
      <c r="W828" s="52" t="str">
        <f>IF(AND(OR(LEFT(TH!L828,2)="15",LEFT(TH!M828,2)="15"),'152-CT'!$J$8=TH!F828),"x","")</f>
        <v/>
      </c>
      <c r="X828" s="52" t="str">
        <f>IF(AND(OR(LEFT(TH!L828,2)="15",LEFT(TH!M828,2)="15"),TK!$E$7=TH!F828),"x","")</f>
        <v/>
      </c>
      <c r="Y828" s="52" t="str">
        <f>IF(AND(B828&lt;=NKC!$N$8,B828&gt;=NKC!$M$8),"x","")</f>
        <v/>
      </c>
      <c r="Z828" s="587" t="s">
        <v>1336</v>
      </c>
    </row>
    <row r="829" spans="1:28" ht="15.75" customHeight="1">
      <c r="A829" s="201" t="str">
        <f>IF(B829&lt;&gt;"",IF(AND(B829&gt;=_TM1,B829&lt;=_TM2,OR(TH!L829="1111",TH!M829="1111")),TH!D829,""),"")</f>
        <v/>
      </c>
      <c r="B829" s="36">
        <f t="shared" si="38"/>
        <v>10</v>
      </c>
      <c r="C829" s="188">
        <f t="shared" si="39"/>
        <v>41573</v>
      </c>
      <c r="D829" s="181" t="s">
        <v>406</v>
      </c>
      <c r="E829" s="188">
        <v>41573</v>
      </c>
      <c r="F829" s="189" t="s">
        <v>557</v>
      </c>
      <c r="G829" s="480" t="s">
        <v>660</v>
      </c>
      <c r="H829" s="190" t="s">
        <v>656</v>
      </c>
      <c r="I829" s="249"/>
      <c r="J829" s="249"/>
      <c r="K829" s="38">
        <v>1760000</v>
      </c>
      <c r="L829" s="191" t="s">
        <v>9</v>
      </c>
      <c r="M829" s="191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IF(OR(TH!L829=TH!$U$7,M829=TH!$U$7),"x","")</f>
        <v/>
      </c>
      <c r="V829" s="52" t="str">
        <f>IF(AND(B829&gt;='IN-NX'!$P$3,B829&lt;='IN-NX'!$Q$3,'IN-NX'!$D$7=D829,OR(LEFT(L829,2)="15",AND(LEFT(M829,2)&lt;&gt;"15",LEFT(M829,2)&lt;&gt;"33"))),"x","")</f>
        <v/>
      </c>
      <c r="W829" s="52" t="str">
        <f>IF(AND(OR(LEFT(TH!L829,2)="15",LEFT(TH!M829,2)="15"),'152-CT'!$J$8=TH!F829),"x","")</f>
        <v/>
      </c>
      <c r="X829" s="52" t="str">
        <f>IF(AND(OR(LEFT(TH!L829,2)="15",LEFT(TH!M829,2)="15"),TK!$E$7=TH!F829),"x","")</f>
        <v/>
      </c>
      <c r="Y829" s="52" t="str">
        <f>IF(AND(B829&lt;=NKC!$N$8,B829&gt;=NKC!$M$8),"x","")</f>
        <v/>
      </c>
      <c r="Z829" s="587" t="s">
        <v>1336</v>
      </c>
    </row>
    <row r="830" spans="1:28" ht="15.75" customHeight="1">
      <c r="A830" s="201" t="str">
        <f>IF(B830&lt;&gt;"",IF(AND(B830&gt;=_TM1,B830&lt;=_TM2,OR(TH!L830="1111",TH!M830="1111")),TH!D830,""),"")</f>
        <v>C05</v>
      </c>
      <c r="B830" s="36">
        <f t="shared" si="38"/>
        <v>10</v>
      </c>
      <c r="C830" s="188">
        <f t="shared" si="39"/>
        <v>41573</v>
      </c>
      <c r="D830" s="181" t="s">
        <v>378</v>
      </c>
      <c r="E830" s="188">
        <v>41573</v>
      </c>
      <c r="F830" s="189" t="s">
        <v>367</v>
      </c>
      <c r="G830" s="480" t="s">
        <v>660</v>
      </c>
      <c r="H830" s="190" t="s">
        <v>656</v>
      </c>
      <c r="I830" s="249"/>
      <c r="J830" s="249"/>
      <c r="K830" s="38">
        <v>19360000</v>
      </c>
      <c r="L830" s="191" t="s">
        <v>8</v>
      </c>
      <c r="M830" s="191" t="s">
        <v>47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>x</v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IF(OR(TH!L830=TH!$U$7,M830=TH!$U$7),"x","")</f>
        <v/>
      </c>
      <c r="V830" s="52" t="str">
        <f>IF(AND(B830&gt;='IN-NX'!$P$3,B830&lt;='IN-NX'!$Q$3,'IN-NX'!$D$7=D830,OR(LEFT(L830,2)="15",AND(LEFT(M830,2)&lt;&gt;"15",LEFT(M830,2)&lt;&gt;"33"))),"x","")</f>
        <v/>
      </c>
      <c r="W830" s="52" t="str">
        <f>IF(AND(OR(LEFT(TH!L830,2)="15",LEFT(TH!M830,2)="15"),'152-CT'!$J$8=TH!F830),"x","")</f>
        <v/>
      </c>
      <c r="X830" s="52" t="str">
        <f>IF(AND(OR(LEFT(TH!L830,2)="15",LEFT(TH!M830,2)="15"),TK!$E$7=TH!F830),"x","")</f>
        <v/>
      </c>
      <c r="Y830" s="52" t="str">
        <f>IF(AND(B830&lt;=NKC!$N$8,B830&gt;=NKC!$M$8),"x","")</f>
        <v/>
      </c>
      <c r="Z830" s="208"/>
    </row>
    <row r="831" spans="1:28" ht="15.75" customHeight="1">
      <c r="A831" s="201" t="str">
        <f>IF(B831&lt;&gt;"",IF(AND(B831&gt;=_TM1,B831&lt;=_TM2,OR(TH!L831="1111",TH!M831="1111")),TH!D831,""),"")</f>
        <v/>
      </c>
      <c r="B831" s="36">
        <f t="shared" si="38"/>
        <v>10</v>
      </c>
      <c r="C831" s="188">
        <f t="shared" si="39"/>
        <v>41573</v>
      </c>
      <c r="D831" s="181" t="s">
        <v>1037</v>
      </c>
      <c r="E831" s="188">
        <v>41573</v>
      </c>
      <c r="F831" s="189" t="s">
        <v>1116</v>
      </c>
      <c r="G831" s="189" t="s">
        <v>963</v>
      </c>
      <c r="H831" s="190" t="s">
        <v>863</v>
      </c>
      <c r="I831" s="249">
        <v>49</v>
      </c>
      <c r="J831" s="249">
        <v>4700</v>
      </c>
      <c r="K831" s="38">
        <f>ROUND(I831*J831,0)</f>
        <v>230300</v>
      </c>
      <c r="L831" s="191" t="s">
        <v>262</v>
      </c>
      <c r="M831" s="191" t="s">
        <v>172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IF(OR(TH!L831=TH!$U$7,M831=TH!$U$7),"x","")</f>
        <v/>
      </c>
      <c r="V831" s="52" t="str">
        <f>IF(AND(B831&gt;='IN-NX'!$P$3,B831&lt;='IN-NX'!$Q$3,'IN-NX'!$D$7=D831,OR(LEFT(L831,2)="15",AND(LEFT(M831,2)&lt;&gt;"15",LEFT(M831,2)&lt;&gt;"33"))),"x","")</f>
        <v/>
      </c>
      <c r="W831" s="52" t="str">
        <f>IF(AND(OR(LEFT(TH!L831,2)="15",LEFT(TH!M831,2)="15"),'152-CT'!$J$8=TH!F831),"x","")</f>
        <v/>
      </c>
      <c r="X831" s="52" t="str">
        <f>IF(AND(OR(LEFT(TH!L831,2)="15",LEFT(TH!M831,2)="15"),TK!$E$7=TH!F831),"x","")</f>
        <v/>
      </c>
      <c r="Y831" s="52" t="str">
        <f>IF(AND(B831&lt;=NKC!$N$8,B831&gt;=NKC!$M$8),"x","")</f>
        <v/>
      </c>
      <c r="Z831" s="769"/>
      <c r="AA831" s="587"/>
    </row>
    <row r="832" spans="1:28" ht="15.75" customHeight="1">
      <c r="A832" s="201" t="str">
        <f>IF(B832&lt;&gt;"",IF(AND(B832&gt;=_TM1,B832&lt;=_TM2,OR(TH!L832="1111",TH!M832="1111")),TH!D832,""),"")</f>
        <v/>
      </c>
      <c r="B832" s="36">
        <f t="shared" si="38"/>
        <v>10</v>
      </c>
      <c r="C832" s="188">
        <f t="shared" si="39"/>
        <v>41573</v>
      </c>
      <c r="D832" s="181" t="s">
        <v>1037</v>
      </c>
      <c r="E832" s="188">
        <v>41573</v>
      </c>
      <c r="F832" s="189" t="s">
        <v>1115</v>
      </c>
      <c r="G832" s="189" t="s">
        <v>963</v>
      </c>
      <c r="H832" s="190" t="s">
        <v>863</v>
      </c>
      <c r="I832" s="249">
        <v>3191</v>
      </c>
      <c r="J832" s="249">
        <v>4210</v>
      </c>
      <c r="K832" s="38">
        <f>ROUND(I832*J832,0)</f>
        <v>13434110</v>
      </c>
      <c r="L832" s="191" t="s">
        <v>262</v>
      </c>
      <c r="M832" s="191" t="s">
        <v>172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IF(OR(TH!L832=TH!$U$7,M832=TH!$U$7),"x","")</f>
        <v/>
      </c>
      <c r="V832" s="52" t="str">
        <f>IF(AND(B832&gt;='IN-NX'!$P$3,B832&lt;='IN-NX'!$Q$3,'IN-NX'!$D$7=D832,OR(LEFT(L832,2)="15",AND(LEFT(M832,2)&lt;&gt;"15",LEFT(M832,2)&lt;&gt;"33"))),"x","")</f>
        <v/>
      </c>
      <c r="W832" s="52" t="str">
        <f>IF(AND(OR(LEFT(TH!L832,2)="15",LEFT(TH!M832,2)="15"),'152-CT'!$J$8=TH!F832),"x","")</f>
        <v/>
      </c>
      <c r="X832" s="52" t="str">
        <f>IF(AND(OR(LEFT(TH!L832,2)="15",LEFT(TH!M832,2)="15"),TK!$E$7=TH!F832),"x","")</f>
        <v/>
      </c>
      <c r="Y832" s="52" t="str">
        <f>IF(AND(B832&lt;=NKC!$N$8,B832&gt;=NKC!$M$8),"x","")</f>
        <v/>
      </c>
      <c r="Z832" s="769"/>
      <c r="AA832" s="587"/>
    </row>
    <row r="833" spans="1:27" ht="15.75" customHeight="1">
      <c r="A833" s="201" t="str">
        <f>IF(B833&lt;&gt;"",IF(AND(B833&gt;=_TM1,B833&lt;=_TM2,OR(TH!L833="1111",TH!M833="1111")),TH!D833,""),"")</f>
        <v/>
      </c>
      <c r="B833" s="36">
        <f t="shared" si="38"/>
        <v>10</v>
      </c>
      <c r="C833" s="188">
        <f t="shared" si="39"/>
        <v>41573</v>
      </c>
      <c r="D833" s="181" t="s">
        <v>1037</v>
      </c>
      <c r="E833" s="188">
        <v>41573</v>
      </c>
      <c r="F833" s="189" t="s">
        <v>693</v>
      </c>
      <c r="G833" s="189" t="s">
        <v>963</v>
      </c>
      <c r="H833" s="7" t="s">
        <v>863</v>
      </c>
      <c r="I833" s="249"/>
      <c r="J833" s="249"/>
      <c r="K833" s="38">
        <v>1366441</v>
      </c>
      <c r="L833" s="191" t="s">
        <v>262</v>
      </c>
      <c r="M833" s="191" t="s">
        <v>425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IF(OR(TH!L833=TH!$U$7,M833=TH!$U$7),"x","")</f>
        <v/>
      </c>
      <c r="V833" s="52" t="str">
        <f>IF(AND(B833&gt;='IN-NX'!$P$3,B833&lt;='IN-NX'!$Q$3,'IN-NX'!$D$7=D833,OR(LEFT(L833,2)="15",AND(LEFT(M833,2)&lt;&gt;"15",LEFT(M833,2)&lt;&gt;"33"))),"x","")</f>
        <v/>
      </c>
      <c r="W833" s="52" t="str">
        <f>IF(AND(OR(LEFT(TH!L833,2)="15",LEFT(TH!M833,2)="15"),'152-CT'!$J$8=TH!F833),"x","")</f>
        <v/>
      </c>
      <c r="X833" s="52" t="str">
        <f>IF(AND(OR(LEFT(TH!L833,2)="15",LEFT(TH!M833,2)="15"),TK!$E$7=TH!F833),"x","")</f>
        <v/>
      </c>
      <c r="Y833" s="52" t="str">
        <f>IF(AND(B833&lt;=NKC!$N$8,B833&gt;=NKC!$M$8),"x","")</f>
        <v/>
      </c>
      <c r="Z833" s="769"/>
      <c r="AA833" s="587" t="str">
        <f>IF(VLOOKUP(H833,DS_131,1,0)&lt;&gt;"","","x")</f>
        <v/>
      </c>
    </row>
    <row r="834" spans="1:27" ht="15.75" customHeight="1">
      <c r="A834" s="201" t="str">
        <f>IF(B834&lt;&gt;"",IF(AND(B834&gt;=_TM1,B834&lt;=_TM2,OR(TH!L834="1111",TH!M834="1111")),TH!D834,""),"")</f>
        <v/>
      </c>
      <c r="B834" s="36">
        <f t="shared" si="38"/>
        <v>10</v>
      </c>
      <c r="C834" s="188">
        <f t="shared" si="39"/>
        <v>41574</v>
      </c>
      <c r="D834" s="181" t="s">
        <v>407</v>
      </c>
      <c r="E834" s="188">
        <v>41574</v>
      </c>
      <c r="F834" s="189" t="s">
        <v>657</v>
      </c>
      <c r="G834" s="480" t="s">
        <v>661</v>
      </c>
      <c r="H834" s="190" t="s">
        <v>656</v>
      </c>
      <c r="I834" s="250">
        <v>1120</v>
      </c>
      <c r="J834" s="250">
        <v>16000</v>
      </c>
      <c r="K834" s="38">
        <f>ROUND(I834*J834,0)</f>
        <v>17920000</v>
      </c>
      <c r="L834" s="191" t="s">
        <v>156</v>
      </c>
      <c r="M834" s="191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IF(OR(TH!L834=TH!$U$7,M834=TH!$U$7),"x","")</f>
        <v/>
      </c>
      <c r="V834" s="52" t="str">
        <f>IF(AND(B834&gt;='IN-NX'!$P$3,B834&lt;='IN-NX'!$Q$3,'IN-NX'!$D$7=D834,OR(LEFT(L834,2)="15",AND(LEFT(M834,2)&lt;&gt;"15",LEFT(M834,2)&lt;&gt;"33"))),"x","")</f>
        <v/>
      </c>
      <c r="W834" s="52" t="str">
        <f>IF(AND(OR(LEFT(TH!L834,2)="15",LEFT(TH!M834,2)="15"),'152-CT'!$J$8=TH!F834),"x","")</f>
        <v/>
      </c>
      <c r="X834" s="52" t="str">
        <f>IF(AND(OR(LEFT(TH!L834,2)="15",LEFT(TH!M834,2)="15"),TK!$E$7=TH!F834),"x","")</f>
        <v/>
      </c>
      <c r="Y834" s="52" t="str">
        <f>IF(AND(B834&lt;=NKC!$N$8,B834&gt;=NKC!$M$8),"x","")</f>
        <v/>
      </c>
      <c r="Z834" s="587" t="s">
        <v>1336</v>
      </c>
    </row>
    <row r="835" spans="1:27" ht="15.75" customHeight="1">
      <c r="A835" s="201" t="str">
        <f>IF(B835&lt;&gt;"",IF(AND(B835&gt;=_TM1,B835&lt;=_TM2,OR(TH!L835="1111",TH!M835="1111")),TH!D835,""),"")</f>
        <v/>
      </c>
      <c r="B835" s="36">
        <f t="shared" si="38"/>
        <v>10</v>
      </c>
      <c r="C835" s="188">
        <f t="shared" si="39"/>
        <v>41574</v>
      </c>
      <c r="D835" s="181" t="s">
        <v>407</v>
      </c>
      <c r="E835" s="188">
        <v>41574</v>
      </c>
      <c r="F835" s="189" t="s">
        <v>557</v>
      </c>
      <c r="G835" s="480" t="s">
        <v>661</v>
      </c>
      <c r="H835" s="190" t="s">
        <v>656</v>
      </c>
      <c r="I835" s="249"/>
      <c r="J835" s="249"/>
      <c r="K835" s="38">
        <v>1792000</v>
      </c>
      <c r="L835" s="191" t="s">
        <v>9</v>
      </c>
      <c r="M835" s="191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IF(OR(TH!L835=TH!$U$7,M835=TH!$U$7),"x","")</f>
        <v/>
      </c>
      <c r="V835" s="52" t="str">
        <f>IF(AND(B835&gt;='IN-NX'!$P$3,B835&lt;='IN-NX'!$Q$3,'IN-NX'!$D$7=D835,OR(LEFT(L835,2)="15",AND(LEFT(M835,2)&lt;&gt;"15",LEFT(M835,2)&lt;&gt;"33"))),"x","")</f>
        <v/>
      </c>
      <c r="W835" s="52" t="str">
        <f>IF(AND(OR(LEFT(TH!L835,2)="15",LEFT(TH!M835,2)="15"),'152-CT'!$J$8=TH!F835),"x","")</f>
        <v/>
      </c>
      <c r="X835" s="52" t="str">
        <f>IF(AND(OR(LEFT(TH!L835,2)="15",LEFT(TH!M835,2)="15"),TK!$E$7=TH!F835),"x","")</f>
        <v/>
      </c>
      <c r="Y835" s="52" t="str">
        <f>IF(AND(B835&lt;=NKC!$N$8,B835&gt;=NKC!$M$8),"x","")</f>
        <v/>
      </c>
      <c r="Z835" s="587" t="s">
        <v>1336</v>
      </c>
    </row>
    <row r="836" spans="1:27" ht="15.75" customHeight="1">
      <c r="A836" s="201" t="str">
        <f>IF(B836&lt;&gt;"",IF(AND(B836&gt;=_TM1,B836&lt;=_TM2,OR(TH!L836="1111",TH!M836="1111")),TH!D836,""),"")</f>
        <v>C06</v>
      </c>
      <c r="B836" s="36">
        <f t="shared" si="38"/>
        <v>10</v>
      </c>
      <c r="C836" s="188">
        <f t="shared" si="39"/>
        <v>41574</v>
      </c>
      <c r="D836" s="181" t="s">
        <v>379</v>
      </c>
      <c r="E836" s="188">
        <v>41574</v>
      </c>
      <c r="F836" s="189" t="s">
        <v>367</v>
      </c>
      <c r="G836" s="480" t="s">
        <v>661</v>
      </c>
      <c r="H836" s="190" t="s">
        <v>656</v>
      </c>
      <c r="I836" s="249"/>
      <c r="J836" s="249"/>
      <c r="K836" s="38">
        <v>19712000</v>
      </c>
      <c r="L836" s="191" t="s">
        <v>8</v>
      </c>
      <c r="M836" s="191" t="s">
        <v>47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>x</v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IF(OR(TH!L836=TH!$U$7,M836=TH!$U$7),"x","")</f>
        <v/>
      </c>
      <c r="V836" s="52" t="str">
        <f>IF(AND(B836&gt;='IN-NX'!$P$3,B836&lt;='IN-NX'!$Q$3,'IN-NX'!$D$7=D836,OR(LEFT(L836,2)="15",AND(LEFT(M836,2)&lt;&gt;"15",LEFT(M836,2)&lt;&gt;"33"))),"x","")</f>
        <v/>
      </c>
      <c r="W836" s="52" t="str">
        <f>IF(AND(OR(LEFT(TH!L836,2)="15",LEFT(TH!M836,2)="15"),'152-CT'!$J$8=TH!F836),"x","")</f>
        <v/>
      </c>
      <c r="X836" s="52" t="str">
        <f>IF(AND(OR(LEFT(TH!L836,2)="15",LEFT(TH!M836,2)="15"),TK!$E$7=TH!F836),"x","")</f>
        <v/>
      </c>
      <c r="Y836" s="52" t="str">
        <f>IF(AND(B836&lt;=NKC!$N$8,B836&gt;=NKC!$M$8),"x","")</f>
        <v/>
      </c>
      <c r="Z836" s="208"/>
    </row>
    <row r="837" spans="1:27" ht="15.75" customHeight="1">
      <c r="A837" s="201" t="str">
        <f>IF(B837&lt;&gt;"",IF(AND(B837&gt;=_TM1,B837&lt;=_TM2,OR(TH!L837="1111",TH!M837="1111")),TH!D837,""),"")</f>
        <v/>
      </c>
      <c r="B837" s="36">
        <f t="shared" si="38"/>
        <v>10</v>
      </c>
      <c r="C837" s="181">
        <f t="shared" si="39"/>
        <v>41575</v>
      </c>
      <c r="D837" s="181" t="s">
        <v>335</v>
      </c>
      <c r="E837" s="188">
        <v>41575</v>
      </c>
      <c r="F837" s="186" t="s">
        <v>337</v>
      </c>
      <c r="G837" s="597" t="s">
        <v>332</v>
      </c>
      <c r="H837" s="7" t="s">
        <v>510</v>
      </c>
      <c r="I837" s="250"/>
      <c r="J837" s="251"/>
      <c r="K837" s="38">
        <v>10488500</v>
      </c>
      <c r="L837" s="596" t="s">
        <v>24</v>
      </c>
      <c r="M837" s="596" t="s">
        <v>262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>x</v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IF(OR(TH!L837=TH!$U$7,M837=TH!$U$7),"x","")</f>
        <v/>
      </c>
      <c r="V837" s="52" t="str">
        <f>IF(AND(B837&gt;='IN-NX'!$P$3,B837&lt;='IN-NX'!$Q$3,'IN-NX'!$D$7=D837,OR(LEFT(L837,2)="15",AND(LEFT(M837,2)&lt;&gt;"15",LEFT(M837,2)&lt;&gt;"33"))),"x","")</f>
        <v/>
      </c>
      <c r="W837" s="52" t="str">
        <f>IF(AND(OR(LEFT(TH!L837,2)="15",LEFT(TH!M837,2)="15"),'152-CT'!$J$8=TH!F837),"x","")</f>
        <v/>
      </c>
      <c r="X837" s="52" t="str">
        <f>IF(AND(OR(LEFT(TH!L837,2)="15",LEFT(TH!M837,2)="15"),TK!$E$7=TH!F837),"x","")</f>
        <v/>
      </c>
      <c r="Y837" s="52" t="str">
        <f>IF(AND(B837&lt;=NKC!$N$8,B837&gt;=NKC!$M$8),"x","")</f>
        <v/>
      </c>
      <c r="Z837" s="587"/>
    </row>
    <row r="838" spans="1:27" ht="15.75" customHeight="1">
      <c r="A838" s="201" t="str">
        <f>IF(B838&lt;&gt;"",IF(AND(B838&gt;=_TM1,B838&lt;=_TM2,OR(TH!L838="1111",TH!M838="1111")),TH!D838,""),"")</f>
        <v/>
      </c>
      <c r="B838" s="36">
        <f t="shared" si="38"/>
        <v>10</v>
      </c>
      <c r="C838" s="181">
        <f t="shared" si="39"/>
        <v>41575</v>
      </c>
      <c r="D838" s="181" t="s">
        <v>335</v>
      </c>
      <c r="E838" s="188">
        <v>41575</v>
      </c>
      <c r="F838" s="186" t="s">
        <v>337</v>
      </c>
      <c r="G838" s="597" t="s">
        <v>332</v>
      </c>
      <c r="H838" s="7" t="s">
        <v>506</v>
      </c>
      <c r="I838" s="250"/>
      <c r="J838" s="251"/>
      <c r="K838" s="38">
        <v>13959000</v>
      </c>
      <c r="L838" s="596" t="s">
        <v>24</v>
      </c>
      <c r="M838" s="596" t="s">
        <v>262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>x</v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IF(OR(TH!L838=TH!$U$7,M838=TH!$U$7),"x","")</f>
        <v/>
      </c>
      <c r="V838" s="52" t="str">
        <f>IF(AND(B838&gt;='IN-NX'!$P$3,B838&lt;='IN-NX'!$Q$3,'IN-NX'!$D$7=D838,OR(LEFT(L838,2)="15",AND(LEFT(M838,2)&lt;&gt;"15",LEFT(M838,2)&lt;&gt;"33"))),"x","")</f>
        <v/>
      </c>
      <c r="W838" s="52" t="str">
        <f>IF(AND(OR(LEFT(TH!L838,2)="15",LEFT(TH!M838,2)="15"),'152-CT'!$J$8=TH!F838),"x","")</f>
        <v/>
      </c>
      <c r="X838" s="52" t="str">
        <f>IF(AND(OR(LEFT(TH!L838,2)="15",LEFT(TH!M838,2)="15"),TK!$E$7=TH!F838),"x","")</f>
        <v/>
      </c>
      <c r="Y838" s="52" t="str">
        <f>IF(AND(B838&lt;=NKC!$N$8,B838&gt;=NKC!$M$8),"x","")</f>
        <v/>
      </c>
      <c r="Z838" s="587"/>
    </row>
    <row r="839" spans="1:27" ht="15.75" customHeight="1">
      <c r="A839" s="201" t="str">
        <f>IF(B839&lt;&gt;"",IF(AND(B839&gt;=_TM1,B839&lt;=_TM2,OR(TH!L839="1111",TH!M839="1111")),TH!D839,""),"")</f>
        <v/>
      </c>
      <c r="B839" s="36">
        <f t="shared" si="38"/>
        <v>10</v>
      </c>
      <c r="C839" s="181">
        <f t="shared" si="39"/>
        <v>41575</v>
      </c>
      <c r="D839" s="181" t="s">
        <v>335</v>
      </c>
      <c r="E839" s="188">
        <v>41575</v>
      </c>
      <c r="F839" s="186" t="s">
        <v>337</v>
      </c>
      <c r="G839" s="597" t="s">
        <v>332</v>
      </c>
      <c r="H839" s="7" t="s">
        <v>506</v>
      </c>
      <c r="I839" s="250"/>
      <c r="J839" s="251"/>
      <c r="K839" s="38">
        <v>15708000</v>
      </c>
      <c r="L839" s="596" t="s">
        <v>24</v>
      </c>
      <c r="M839" s="596" t="s">
        <v>262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>x</v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IF(OR(TH!L839=TH!$U$7,M839=TH!$U$7),"x","")</f>
        <v/>
      </c>
      <c r="V839" s="52" t="str">
        <f>IF(AND(B839&gt;='IN-NX'!$P$3,B839&lt;='IN-NX'!$Q$3,'IN-NX'!$D$7=D839,OR(LEFT(L839,2)="15",AND(LEFT(M839,2)&lt;&gt;"15",LEFT(M839,2)&lt;&gt;"33"))),"x","")</f>
        <v/>
      </c>
      <c r="W839" s="52" t="str">
        <f>IF(AND(OR(LEFT(TH!L839,2)="15",LEFT(TH!M839,2)="15"),'152-CT'!$J$8=TH!F839),"x","")</f>
        <v/>
      </c>
      <c r="X839" s="52" t="str">
        <f>IF(AND(OR(LEFT(TH!L839,2)="15",LEFT(TH!M839,2)="15"),TK!$E$7=TH!F839),"x","")</f>
        <v/>
      </c>
      <c r="Y839" s="52" t="str">
        <f>IF(AND(B839&lt;=NKC!$N$8,B839&gt;=NKC!$M$8),"x","")</f>
        <v/>
      </c>
      <c r="Z839" s="587"/>
    </row>
    <row r="840" spans="1:27" ht="15.75" customHeight="1">
      <c r="A840" s="201" t="str">
        <f>IF(B840&lt;&gt;"",IF(AND(B840&gt;=_TM1,B840&lt;=_TM2,OR(TH!L840="1111",TH!M840="1111")),TH!D840,""),"")</f>
        <v/>
      </c>
      <c r="B840" s="36">
        <f t="shared" si="38"/>
        <v>10</v>
      </c>
      <c r="C840" s="188">
        <f t="shared" si="39"/>
        <v>41575</v>
      </c>
      <c r="D840" s="181" t="s">
        <v>408</v>
      </c>
      <c r="E840" s="188">
        <v>41575</v>
      </c>
      <c r="F840" s="189" t="s">
        <v>657</v>
      </c>
      <c r="G840" s="480" t="s">
        <v>662</v>
      </c>
      <c r="H840" s="190" t="s">
        <v>656</v>
      </c>
      <c r="I840" s="250">
        <v>560</v>
      </c>
      <c r="J840" s="250">
        <v>16000</v>
      </c>
      <c r="K840" s="38">
        <f>ROUND(I840*J840,0)</f>
        <v>8960000</v>
      </c>
      <c r="L840" s="191" t="s">
        <v>156</v>
      </c>
      <c r="M840" s="191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IF(OR(TH!L840=TH!$U$7,M840=TH!$U$7),"x","")</f>
        <v/>
      </c>
      <c r="V840" s="52" t="str">
        <f>IF(AND(B840&gt;='IN-NX'!$P$3,B840&lt;='IN-NX'!$Q$3,'IN-NX'!$D$7=D840,OR(LEFT(L840,2)="15",AND(LEFT(M840,2)&lt;&gt;"15",LEFT(M840,2)&lt;&gt;"33"))),"x","")</f>
        <v/>
      </c>
      <c r="W840" s="52" t="str">
        <f>IF(AND(OR(LEFT(TH!L840,2)="15",LEFT(TH!M840,2)="15"),'152-CT'!$J$8=TH!F840),"x","")</f>
        <v/>
      </c>
      <c r="X840" s="52" t="str">
        <f>IF(AND(OR(LEFT(TH!L840,2)="15",LEFT(TH!M840,2)="15"),TK!$E$7=TH!F840),"x","")</f>
        <v/>
      </c>
      <c r="Y840" s="52" t="str">
        <f>IF(AND(B840&lt;=NKC!$N$8,B840&gt;=NKC!$M$8),"x","")</f>
        <v/>
      </c>
      <c r="Z840" s="587" t="s">
        <v>1336</v>
      </c>
    </row>
    <row r="841" spans="1:27" ht="15.75" customHeight="1">
      <c r="A841" s="201" t="str">
        <f>IF(B841&lt;&gt;"",IF(AND(B841&gt;=_TM1,B841&lt;=_TM2,OR(TH!L841="1111",TH!M841="1111")),TH!D841,""),"")</f>
        <v/>
      </c>
      <c r="B841" s="36">
        <f t="shared" si="38"/>
        <v>10</v>
      </c>
      <c r="C841" s="188">
        <f t="shared" si="39"/>
        <v>41575</v>
      </c>
      <c r="D841" s="181" t="s">
        <v>408</v>
      </c>
      <c r="E841" s="188">
        <v>41575</v>
      </c>
      <c r="F841" s="189" t="s">
        <v>654</v>
      </c>
      <c r="G841" s="480" t="s">
        <v>662</v>
      </c>
      <c r="H841" s="190" t="s">
        <v>656</v>
      </c>
      <c r="I841" s="249">
        <v>500</v>
      </c>
      <c r="J841" s="249">
        <v>8500</v>
      </c>
      <c r="K841" s="38">
        <f>ROUND(I841*J841,0)</f>
        <v>4250000</v>
      </c>
      <c r="L841" s="191" t="s">
        <v>156</v>
      </c>
      <c r="M841" s="191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IF(OR(TH!L841=TH!$U$7,M841=TH!$U$7),"x","")</f>
        <v/>
      </c>
      <c r="V841" s="52" t="str">
        <f>IF(AND(B841&gt;='IN-NX'!$P$3,B841&lt;='IN-NX'!$Q$3,'IN-NX'!$D$7=D841,OR(LEFT(L841,2)="15",AND(LEFT(M841,2)&lt;&gt;"15",LEFT(M841,2)&lt;&gt;"33"))),"x","")</f>
        <v/>
      </c>
      <c r="W841" s="52" t="str">
        <f>IF(AND(OR(LEFT(TH!L841,2)="15",LEFT(TH!M841,2)="15"),'152-CT'!$J$8=TH!F841),"x","")</f>
        <v>x</v>
      </c>
      <c r="X841" s="52" t="str">
        <f>IF(AND(OR(LEFT(TH!L841,2)="15",LEFT(TH!M841,2)="15"),TK!$E$7=TH!F841),"x","")</f>
        <v/>
      </c>
      <c r="Y841" s="52" t="str">
        <f>IF(AND(B841&lt;=NKC!$N$8,B841&gt;=NKC!$M$8),"x","")</f>
        <v/>
      </c>
      <c r="Z841" s="587" t="s">
        <v>1336</v>
      </c>
    </row>
    <row r="842" spans="1:27" ht="15.75" customHeight="1">
      <c r="A842" s="201" t="str">
        <f>IF(B842&lt;&gt;"",IF(AND(B842&gt;=_TM1,B842&lt;=_TM2,OR(TH!L842="1111",TH!M842="1111")),TH!D842,""),"")</f>
        <v/>
      </c>
      <c r="B842" s="36">
        <f t="shared" si="38"/>
        <v>10</v>
      </c>
      <c r="C842" s="188">
        <f t="shared" si="39"/>
        <v>41575</v>
      </c>
      <c r="D842" s="181" t="s">
        <v>408</v>
      </c>
      <c r="E842" s="188">
        <v>41575</v>
      </c>
      <c r="F842" s="189" t="s">
        <v>557</v>
      </c>
      <c r="G842" s="480" t="s">
        <v>662</v>
      </c>
      <c r="H842" s="190" t="s">
        <v>656</v>
      </c>
      <c r="I842" s="250"/>
      <c r="J842" s="250"/>
      <c r="K842" s="38">
        <v>1321000</v>
      </c>
      <c r="L842" s="191" t="s">
        <v>9</v>
      </c>
      <c r="M842" s="191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IF(OR(TH!L842=TH!$U$7,M842=TH!$U$7),"x","")</f>
        <v/>
      </c>
      <c r="V842" s="52" t="str">
        <f>IF(AND(B842&gt;='IN-NX'!$P$3,B842&lt;='IN-NX'!$Q$3,'IN-NX'!$D$7=D842,OR(LEFT(L842,2)="15",AND(LEFT(M842,2)&lt;&gt;"15",LEFT(M842,2)&lt;&gt;"33"))),"x","")</f>
        <v/>
      </c>
      <c r="W842" s="52" t="str">
        <f>IF(AND(OR(LEFT(TH!L842,2)="15",LEFT(TH!M842,2)="15"),'152-CT'!$J$8=TH!F842),"x","")</f>
        <v/>
      </c>
      <c r="X842" s="52" t="str">
        <f>IF(AND(OR(LEFT(TH!L842,2)="15",LEFT(TH!M842,2)="15"),TK!$E$7=TH!F842),"x","")</f>
        <v/>
      </c>
      <c r="Y842" s="52" t="str">
        <f>IF(AND(B842&lt;=NKC!$N$8,B842&gt;=NKC!$M$8),"x","")</f>
        <v/>
      </c>
      <c r="Z842" s="587" t="s">
        <v>1336</v>
      </c>
    </row>
    <row r="843" spans="1:27" ht="15.75" customHeight="1">
      <c r="A843" s="201" t="str">
        <f>IF(B843&lt;&gt;"",IF(AND(B843&gt;=_TM1,B843&lt;=_TM2,OR(TH!L843="1111",TH!M843="1111")),TH!D843,""),"")</f>
        <v>C07</v>
      </c>
      <c r="B843" s="36">
        <f t="shared" si="38"/>
        <v>10</v>
      </c>
      <c r="C843" s="188">
        <f t="shared" si="39"/>
        <v>41575</v>
      </c>
      <c r="D843" s="181" t="s">
        <v>380</v>
      </c>
      <c r="E843" s="188">
        <v>41575</v>
      </c>
      <c r="F843" s="189" t="s">
        <v>367</v>
      </c>
      <c r="G843" s="480" t="s">
        <v>662</v>
      </c>
      <c r="H843" s="190" t="s">
        <v>656</v>
      </c>
      <c r="I843" s="250"/>
      <c r="J843" s="250"/>
      <c r="K843" s="38">
        <v>14531000</v>
      </c>
      <c r="L843" s="191" t="s">
        <v>8</v>
      </c>
      <c r="M843" s="191" t="s">
        <v>47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IF(OR(TH!L843=TH!$U$7,M843=TH!$U$7),"x","")</f>
        <v/>
      </c>
      <c r="V843" s="52" t="str">
        <f>IF(AND(B843&gt;='IN-NX'!$P$3,B843&lt;='IN-NX'!$Q$3,'IN-NX'!$D$7=D843,OR(LEFT(L843,2)="15",AND(LEFT(M843,2)&lt;&gt;"15",LEFT(M843,2)&lt;&gt;"33"))),"x","")</f>
        <v/>
      </c>
      <c r="W843" s="52" t="str">
        <f>IF(AND(OR(LEFT(TH!L843,2)="15",LEFT(TH!M843,2)="15"),'152-CT'!$J$8=TH!F843),"x","")</f>
        <v/>
      </c>
      <c r="X843" s="52" t="str">
        <f>IF(AND(OR(LEFT(TH!L843,2)="15",LEFT(TH!M843,2)="15"),TK!$E$7=TH!F843),"x","")</f>
        <v/>
      </c>
      <c r="Y843" s="52" t="str">
        <f>IF(AND(B843&lt;=NKC!$N$8,B843&gt;=NKC!$M$8),"x","")</f>
        <v/>
      </c>
      <c r="Z843" s="208"/>
    </row>
    <row r="844" spans="1:27" ht="15.75" customHeight="1">
      <c r="A844" s="201" t="str">
        <f>IF(B844&lt;&gt;"",IF(AND(B844&gt;=_TM1,B844&lt;=_TM2,OR(TH!L844="1111",TH!M844="1111")),TH!D844,""),"")</f>
        <v>T10</v>
      </c>
      <c r="B844" s="36">
        <f t="shared" si="38"/>
        <v>10</v>
      </c>
      <c r="C844" s="181">
        <f t="shared" si="39"/>
        <v>41576</v>
      </c>
      <c r="D844" s="181" t="s">
        <v>448</v>
      </c>
      <c r="E844" s="188">
        <v>41576</v>
      </c>
      <c r="F844" s="186" t="s">
        <v>469</v>
      </c>
      <c r="G844" s="597" t="s">
        <v>332</v>
      </c>
      <c r="H844" s="7" t="s">
        <v>364</v>
      </c>
      <c r="I844" s="251"/>
      <c r="J844" s="251"/>
      <c r="K844" s="38">
        <v>45200000</v>
      </c>
      <c r="L844" s="596" t="s">
        <v>47</v>
      </c>
      <c r="M844" s="596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>x</v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>x</v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IF(OR(TH!L844=TH!$U$7,M844=TH!$U$7),"x","")</f>
        <v/>
      </c>
      <c r="V844" s="52" t="str">
        <f>IF(AND(B844&gt;='IN-NX'!$P$3,B844&lt;='IN-NX'!$Q$3,'IN-NX'!$D$7=D844,OR(LEFT(L844,2)="15",AND(LEFT(M844,2)&lt;&gt;"15",LEFT(M844,2)&lt;&gt;"33"))),"x","")</f>
        <v/>
      </c>
      <c r="W844" s="52" t="str">
        <f>IF(AND(OR(LEFT(TH!L844,2)="15",LEFT(TH!M844,2)="15"),'152-CT'!$J$8=TH!F844),"x","")</f>
        <v/>
      </c>
      <c r="X844" s="52" t="str">
        <f>IF(AND(OR(LEFT(TH!L844,2)="15",LEFT(TH!M844,2)="15"),TK!$E$7=TH!F844),"x","")</f>
        <v/>
      </c>
      <c r="Y844" s="52" t="str">
        <f>IF(AND(B844&lt;=NKC!$N$8,B844&gt;=NKC!$M$8),"x","")</f>
        <v/>
      </c>
      <c r="Z844" s="208"/>
    </row>
    <row r="845" spans="1:27" ht="15.75" customHeight="1">
      <c r="A845" s="201" t="str">
        <f>IF(B845&lt;&gt;"",IF(AND(B845&gt;=_TM1,B845&lt;=_TM2,OR(TH!L845="1111",TH!M845="1111")),TH!D845,""),"")</f>
        <v/>
      </c>
      <c r="B845" s="36">
        <f t="shared" si="38"/>
        <v>10</v>
      </c>
      <c r="C845" s="188">
        <f t="shared" si="39"/>
        <v>41576</v>
      </c>
      <c r="D845" s="181" t="s">
        <v>409</v>
      </c>
      <c r="E845" s="188">
        <v>41576</v>
      </c>
      <c r="F845" s="189" t="s">
        <v>663</v>
      </c>
      <c r="G845" s="480" t="s">
        <v>664</v>
      </c>
      <c r="H845" s="190" t="s">
        <v>665</v>
      </c>
      <c r="I845" s="249">
        <v>334</v>
      </c>
      <c r="J845" s="249">
        <v>6656</v>
      </c>
      <c r="K845" s="38">
        <f>ROUND(I845*J845,0)</f>
        <v>2223104</v>
      </c>
      <c r="L845" s="191" t="s">
        <v>156</v>
      </c>
      <c r="M845" s="191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IF(OR(TH!L845=TH!$U$7,M845=TH!$U$7),"x","")</f>
        <v/>
      </c>
      <c r="V845" s="52" t="str">
        <f>IF(AND(B845&gt;='IN-NX'!$P$3,B845&lt;='IN-NX'!$Q$3,'IN-NX'!$D$7=D845,OR(LEFT(L845,2)="15",AND(LEFT(M845,2)&lt;&gt;"15",LEFT(M845,2)&lt;&gt;"33"))),"x","")</f>
        <v/>
      </c>
      <c r="W845" s="52" t="str">
        <f>IF(AND(OR(LEFT(TH!L845,2)="15",LEFT(TH!M845,2)="15"),'152-CT'!$J$8=TH!F845),"x","")</f>
        <v/>
      </c>
      <c r="X845" s="52" t="str">
        <f>IF(AND(OR(LEFT(TH!L845,2)="15",LEFT(TH!M845,2)="15"),TK!$E$7=TH!F845),"x","")</f>
        <v/>
      </c>
      <c r="Y845" s="52" t="str">
        <f>IF(AND(B845&lt;=NKC!$N$8,B845&gt;=NKC!$M$8),"x","")</f>
        <v/>
      </c>
      <c r="Z845" s="587" t="s">
        <v>1336</v>
      </c>
    </row>
    <row r="846" spans="1:27" ht="15.75" customHeight="1">
      <c r="A846" s="201" t="str">
        <f>IF(B846&lt;&gt;"",IF(AND(B846&gt;=_TM1,B846&lt;=_TM2,OR(TH!L846="1111",TH!M846="1111")),TH!D846,""),"")</f>
        <v/>
      </c>
      <c r="B846" s="36">
        <f t="shared" si="38"/>
        <v>10</v>
      </c>
      <c r="C846" s="188">
        <f t="shared" si="39"/>
        <v>41576</v>
      </c>
      <c r="D846" s="181" t="s">
        <v>409</v>
      </c>
      <c r="E846" s="188">
        <v>41576</v>
      </c>
      <c r="F846" s="189" t="s">
        <v>666</v>
      </c>
      <c r="G846" s="480" t="s">
        <v>664</v>
      </c>
      <c r="H846" s="190" t="s">
        <v>665</v>
      </c>
      <c r="I846" s="250">
        <v>300</v>
      </c>
      <c r="J846" s="250">
        <v>9425</v>
      </c>
      <c r="K846" s="38">
        <f>ROUND(I846*J846,0)</f>
        <v>2827500</v>
      </c>
      <c r="L846" s="191" t="s">
        <v>156</v>
      </c>
      <c r="M846" s="191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IF(OR(TH!L846=TH!$U$7,M846=TH!$U$7),"x","")</f>
        <v/>
      </c>
      <c r="V846" s="52" t="str">
        <f>IF(AND(B846&gt;='IN-NX'!$P$3,B846&lt;='IN-NX'!$Q$3,'IN-NX'!$D$7=D846,OR(LEFT(L846,2)="15",AND(LEFT(M846,2)&lt;&gt;"15",LEFT(M846,2)&lt;&gt;"33"))),"x","")</f>
        <v/>
      </c>
      <c r="W846" s="52" t="str">
        <f>IF(AND(OR(LEFT(TH!L846,2)="15",LEFT(TH!M846,2)="15"),'152-CT'!$J$8=TH!F846),"x","")</f>
        <v/>
      </c>
      <c r="X846" s="52" t="str">
        <f>IF(AND(OR(LEFT(TH!L846,2)="15",LEFT(TH!M846,2)="15"),TK!$E$7=TH!F846),"x","")</f>
        <v/>
      </c>
      <c r="Y846" s="52" t="str">
        <f>IF(AND(B846&lt;=NKC!$N$8,B846&gt;=NKC!$M$8),"x","")</f>
        <v/>
      </c>
      <c r="Z846" s="587" t="s">
        <v>1336</v>
      </c>
    </row>
    <row r="847" spans="1:27" ht="15.75" customHeight="1">
      <c r="A847" s="201" t="str">
        <f>IF(B847&lt;&gt;"",IF(AND(B847&gt;=_TM1,B847&lt;=_TM2,OR(TH!L847="1111",TH!M847="1111")),TH!D847,""),"")</f>
        <v/>
      </c>
      <c r="B847" s="36">
        <f t="shared" si="38"/>
        <v>10</v>
      </c>
      <c r="C847" s="188">
        <f t="shared" si="39"/>
        <v>41576</v>
      </c>
      <c r="D847" s="181" t="s">
        <v>409</v>
      </c>
      <c r="E847" s="188">
        <v>41576</v>
      </c>
      <c r="F847" s="189" t="s">
        <v>667</v>
      </c>
      <c r="G847" s="480" t="s">
        <v>664</v>
      </c>
      <c r="H847" s="190" t="s">
        <v>665</v>
      </c>
      <c r="I847" s="249">
        <v>334</v>
      </c>
      <c r="J847" s="249">
        <v>16963</v>
      </c>
      <c r="K847" s="38">
        <f>ROUND(I847*J847,0)</f>
        <v>5665642</v>
      </c>
      <c r="L847" s="191" t="s">
        <v>156</v>
      </c>
      <c r="M847" s="191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IF(OR(TH!L847=TH!$U$7,M847=TH!$U$7),"x","")</f>
        <v/>
      </c>
      <c r="V847" s="52" t="str">
        <f>IF(AND(B847&gt;='IN-NX'!$P$3,B847&lt;='IN-NX'!$Q$3,'IN-NX'!$D$7=D847,OR(LEFT(L847,2)="15",AND(LEFT(M847,2)&lt;&gt;"15",LEFT(M847,2)&lt;&gt;"33"))),"x","")</f>
        <v/>
      </c>
      <c r="W847" s="52" t="str">
        <f>IF(AND(OR(LEFT(TH!L847,2)="15",LEFT(TH!M847,2)="15"),'152-CT'!$J$8=TH!F847),"x","")</f>
        <v/>
      </c>
      <c r="X847" s="52" t="str">
        <f>IF(AND(OR(LEFT(TH!L847,2)="15",LEFT(TH!M847,2)="15"),TK!$E$7=TH!F847),"x","")</f>
        <v/>
      </c>
      <c r="Y847" s="52" t="str">
        <f>IF(AND(B847&lt;=NKC!$N$8,B847&gt;=NKC!$M$8),"x","")</f>
        <v/>
      </c>
      <c r="Z847" s="587" t="s">
        <v>1336</v>
      </c>
    </row>
    <row r="848" spans="1:27" ht="15.75" customHeight="1">
      <c r="A848" s="201" t="str">
        <f>IF(B848&lt;&gt;"",IF(AND(B848&gt;=_TM1,B848&lt;=_TM2,OR(TH!L848="1111",TH!M848="1111")),TH!D848,""),"")</f>
        <v/>
      </c>
      <c r="B848" s="36">
        <f t="shared" si="38"/>
        <v>10</v>
      </c>
      <c r="C848" s="188">
        <f t="shared" si="39"/>
        <v>41576</v>
      </c>
      <c r="D848" s="181" t="s">
        <v>409</v>
      </c>
      <c r="E848" s="188">
        <v>41576</v>
      </c>
      <c r="F848" s="189" t="s">
        <v>668</v>
      </c>
      <c r="G848" s="480" t="s">
        <v>664</v>
      </c>
      <c r="H848" s="190" t="s">
        <v>665</v>
      </c>
      <c r="I848" s="249"/>
      <c r="J848" s="249"/>
      <c r="K848" s="38">
        <v>1071625</v>
      </c>
      <c r="L848" s="191" t="s">
        <v>9</v>
      </c>
      <c r="M848" s="191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IF(OR(TH!L848=TH!$U$7,M848=TH!$U$7),"x","")</f>
        <v/>
      </c>
      <c r="V848" s="52" t="str">
        <f>IF(AND(B848&gt;='IN-NX'!$P$3,B848&lt;='IN-NX'!$Q$3,'IN-NX'!$D$7=D848,OR(LEFT(L848,2)="15",AND(LEFT(M848,2)&lt;&gt;"15",LEFT(M848,2)&lt;&gt;"33"))),"x","")</f>
        <v/>
      </c>
      <c r="W848" s="52" t="str">
        <f>IF(AND(OR(LEFT(TH!L848,2)="15",LEFT(TH!M848,2)="15"),'152-CT'!$J$8=TH!F848),"x","")</f>
        <v/>
      </c>
      <c r="X848" s="52" t="str">
        <f>IF(AND(OR(LEFT(TH!L848,2)="15",LEFT(TH!M848,2)="15"),TK!$E$7=TH!F848),"x","")</f>
        <v/>
      </c>
      <c r="Y848" s="52" t="str">
        <f>IF(AND(B848&lt;=NKC!$N$8,B848&gt;=NKC!$M$8),"x","")</f>
        <v/>
      </c>
      <c r="Z848" s="587" t="s">
        <v>1336</v>
      </c>
    </row>
    <row r="849" spans="1:28" ht="15.75" customHeight="1">
      <c r="A849" s="201" t="str">
        <f>IF(B849&lt;&gt;"",IF(AND(B849&gt;=_TM1,B849&lt;=_TM2,OR(TH!L849="1111",TH!M849="1111")),TH!D849,""),"")</f>
        <v>C08</v>
      </c>
      <c r="B849" s="36">
        <f t="shared" si="38"/>
        <v>10</v>
      </c>
      <c r="C849" s="188">
        <f t="shared" si="39"/>
        <v>41576</v>
      </c>
      <c r="D849" s="181" t="s">
        <v>381</v>
      </c>
      <c r="E849" s="188">
        <v>41576</v>
      </c>
      <c r="F849" s="189" t="s">
        <v>367</v>
      </c>
      <c r="G849" s="480" t="s">
        <v>664</v>
      </c>
      <c r="H849" s="190" t="s">
        <v>665</v>
      </c>
      <c r="I849" s="249"/>
      <c r="J849" s="249"/>
      <c r="K849" s="38">
        <v>11787871</v>
      </c>
      <c r="L849" s="191" t="s">
        <v>8</v>
      </c>
      <c r="M849" s="191" t="s">
        <v>47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IF(OR(TH!L849=TH!$U$7,M849=TH!$U$7),"x","")</f>
        <v/>
      </c>
      <c r="V849" s="52" t="str">
        <f>IF(AND(B849&gt;='IN-NX'!$P$3,B849&lt;='IN-NX'!$Q$3,'IN-NX'!$D$7=D849,OR(LEFT(L849,2)="15",AND(LEFT(M849,2)&lt;&gt;"15",LEFT(M849,2)&lt;&gt;"33"))),"x","")</f>
        <v/>
      </c>
      <c r="W849" s="52" t="str">
        <f>IF(AND(OR(LEFT(TH!L849,2)="15",LEFT(TH!M849,2)="15"),'152-CT'!$J$8=TH!F849),"x","")</f>
        <v/>
      </c>
      <c r="X849" s="52" t="str">
        <f>IF(AND(OR(LEFT(TH!L849,2)="15",LEFT(TH!M849,2)="15"),TK!$E$7=TH!F849),"x","")</f>
        <v/>
      </c>
      <c r="Y849" s="52" t="str">
        <f>IF(AND(B849&lt;=NKC!$N$8,B849&gt;=NKC!$M$8),"x","")</f>
        <v/>
      </c>
      <c r="Z849" s="208"/>
    </row>
    <row r="850" spans="1:28" ht="15.75" customHeight="1">
      <c r="A850" s="201" t="str">
        <f>IF(B850&lt;&gt;"",IF(AND(B850&gt;=_TM1,B850&lt;=_TM2,OR(TH!L850="1111",TH!M850="1111")),TH!D850,""),"")</f>
        <v/>
      </c>
      <c r="B850" s="36">
        <f t="shared" si="38"/>
        <v>10</v>
      </c>
      <c r="C850" s="181">
        <f t="shared" si="39"/>
        <v>41577</v>
      </c>
      <c r="D850" s="181" t="s">
        <v>335</v>
      </c>
      <c r="E850" s="188">
        <v>41577</v>
      </c>
      <c r="F850" s="186" t="s">
        <v>337</v>
      </c>
      <c r="G850" s="597" t="s">
        <v>332</v>
      </c>
      <c r="H850" s="7" t="s">
        <v>517</v>
      </c>
      <c r="I850" s="250"/>
      <c r="J850" s="251"/>
      <c r="K850" s="38">
        <v>34257520</v>
      </c>
      <c r="L850" s="596" t="s">
        <v>24</v>
      </c>
      <c r="M850" s="596" t="s">
        <v>262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IF(OR(TH!L850=TH!$U$7,M850=TH!$U$7),"x","")</f>
        <v/>
      </c>
      <c r="V850" s="52" t="str">
        <f>IF(AND(B850&gt;='IN-NX'!$P$3,B850&lt;='IN-NX'!$Q$3,'IN-NX'!$D$7=D850,OR(LEFT(L850,2)="15",AND(LEFT(M850,2)&lt;&gt;"15",LEFT(M850,2)&lt;&gt;"33"))),"x","")</f>
        <v/>
      </c>
      <c r="W850" s="52" t="str">
        <f>IF(AND(OR(LEFT(TH!L850,2)="15",LEFT(TH!M850,2)="15"),'152-CT'!$J$8=TH!F850),"x","")</f>
        <v/>
      </c>
      <c r="X850" s="52" t="str">
        <f>IF(AND(OR(LEFT(TH!L850,2)="15",LEFT(TH!M850,2)="15"),TK!$E$7=TH!F850),"x","")</f>
        <v/>
      </c>
      <c r="Y850" s="52" t="str">
        <f>IF(AND(B850&lt;=NKC!$N$8,B850&gt;=NKC!$M$8),"x","")</f>
        <v/>
      </c>
      <c r="Z850" s="208"/>
      <c r="AA850" s="208"/>
      <c r="AB850" s="208"/>
    </row>
    <row r="851" spans="1:28" ht="15.75" customHeight="1">
      <c r="A851" s="201" t="str">
        <f>IF(B851&lt;&gt;"",IF(AND(B851&gt;=_TM1,B851&lt;=_TM2,OR(TH!L851="1111",TH!M851="1111")),TH!D851,""),"")</f>
        <v>C09</v>
      </c>
      <c r="B851" s="36">
        <f t="shared" si="38"/>
        <v>10</v>
      </c>
      <c r="C851" s="181">
        <f t="shared" si="39"/>
        <v>41577</v>
      </c>
      <c r="D851" s="181" t="s">
        <v>382</v>
      </c>
      <c r="E851" s="188">
        <v>41577</v>
      </c>
      <c r="F851" s="186" t="s">
        <v>383</v>
      </c>
      <c r="G851" s="657" t="s">
        <v>518</v>
      </c>
      <c r="H851" s="7" t="s">
        <v>487</v>
      </c>
      <c r="I851" s="250"/>
      <c r="J851" s="251"/>
      <c r="K851" s="38">
        <v>1616900</v>
      </c>
      <c r="L851" s="596" t="s">
        <v>83</v>
      </c>
      <c r="M851" s="596" t="s">
        <v>47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>x</v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IF(OR(TH!L851=TH!$U$7,M851=TH!$U$7),"x","")</f>
        <v>x</v>
      </c>
      <c r="V851" s="52" t="str">
        <f>IF(AND(B851&gt;='IN-NX'!$P$3,B851&lt;='IN-NX'!$Q$3,'IN-NX'!$D$7=D851,OR(LEFT(L851,2)="15",AND(LEFT(M851,2)&lt;&gt;"15",LEFT(M851,2)&lt;&gt;"33"))),"x","")</f>
        <v/>
      </c>
      <c r="W851" s="52" t="str">
        <f>IF(AND(OR(LEFT(TH!L851,2)="15",LEFT(TH!M851,2)="15"),'152-CT'!$J$8=TH!F851),"x","")</f>
        <v/>
      </c>
      <c r="X851" s="52" t="str">
        <f>IF(AND(OR(LEFT(TH!L851,2)="15",LEFT(TH!M851,2)="15"),TK!$E$7=TH!F851),"x","")</f>
        <v/>
      </c>
      <c r="Y851" s="52" t="str">
        <f>IF(AND(B851&lt;=NKC!$N$8,B851&gt;=NKC!$M$8),"x","")</f>
        <v/>
      </c>
      <c r="Z851" s="587" t="s">
        <v>1336</v>
      </c>
      <c r="AA851" s="208"/>
      <c r="AB851" s="208"/>
    </row>
    <row r="852" spans="1:28" ht="15.75" customHeight="1">
      <c r="A852" s="201" t="str">
        <f>IF(B852&lt;&gt;"",IF(AND(B852&gt;=_TM1,B852&lt;=_TM2,OR(TH!L852="1111",TH!M852="1111")),TH!D852,""),"")</f>
        <v>C09</v>
      </c>
      <c r="B852" s="36">
        <f t="shared" si="38"/>
        <v>10</v>
      </c>
      <c r="C852" s="181">
        <f t="shared" si="39"/>
        <v>41577</v>
      </c>
      <c r="D852" s="181" t="s">
        <v>382</v>
      </c>
      <c r="E852" s="188">
        <v>41577</v>
      </c>
      <c r="F852" s="186" t="s">
        <v>384</v>
      </c>
      <c r="G852" s="657" t="s">
        <v>518</v>
      </c>
      <c r="H852" s="7" t="s">
        <v>487</v>
      </c>
      <c r="I852" s="250"/>
      <c r="J852" s="251"/>
      <c r="K852" s="38">
        <v>161690</v>
      </c>
      <c r="L852" s="596" t="s">
        <v>9</v>
      </c>
      <c r="M852" s="596" t="s">
        <v>47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IF(OR(TH!L852=TH!$U$7,M852=TH!$U$7),"x","")</f>
        <v/>
      </c>
      <c r="V852" s="52" t="str">
        <f>IF(AND(B852&gt;='IN-NX'!$P$3,B852&lt;='IN-NX'!$Q$3,'IN-NX'!$D$7=D852,OR(LEFT(L852,2)="15",AND(LEFT(M852,2)&lt;&gt;"15",LEFT(M852,2)&lt;&gt;"33"))),"x","")</f>
        <v/>
      </c>
      <c r="W852" s="52" t="str">
        <f>IF(AND(OR(LEFT(TH!L852,2)="15",LEFT(TH!M852,2)="15"),'152-CT'!$J$8=TH!F852),"x","")</f>
        <v/>
      </c>
      <c r="X852" s="52" t="str">
        <f>IF(AND(OR(LEFT(TH!L852,2)="15",LEFT(TH!M852,2)="15"),TK!$E$7=TH!F852),"x","")</f>
        <v/>
      </c>
      <c r="Y852" s="52" t="str">
        <f>IF(AND(B852&lt;=NKC!$N$8,B852&gt;=NKC!$M$8),"x","")</f>
        <v/>
      </c>
      <c r="Z852" s="587" t="s">
        <v>1336</v>
      </c>
      <c r="AA852" s="208"/>
      <c r="AB852" s="208"/>
    </row>
    <row r="853" spans="1:28" ht="15.75" customHeight="1">
      <c r="A853" s="201" t="str">
        <f>IF(B853&lt;&gt;"",IF(AND(B853&gt;=_TM1,B853&lt;=_TM2,OR(TH!L853="1111",TH!M853="1111")),TH!D853,""),"")</f>
        <v>C10</v>
      </c>
      <c r="B853" s="36">
        <f t="shared" si="38"/>
        <v>10</v>
      </c>
      <c r="C853" s="188">
        <f t="shared" si="39"/>
        <v>41577</v>
      </c>
      <c r="D853" s="181" t="s">
        <v>389</v>
      </c>
      <c r="E853" s="188">
        <v>41577</v>
      </c>
      <c r="F853" s="186" t="s">
        <v>431</v>
      </c>
      <c r="G853" s="480" t="s">
        <v>519</v>
      </c>
      <c r="H853" s="7" t="s">
        <v>368</v>
      </c>
      <c r="I853" s="249"/>
      <c r="J853" s="249"/>
      <c r="K853" s="595">
        <v>11940000</v>
      </c>
      <c r="L853" s="596" t="s">
        <v>162</v>
      </c>
      <c r="M853" s="596" t="s">
        <v>47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IF(OR(TH!L853=TH!$U$7,M853=TH!$U$7),"x","")</f>
        <v/>
      </c>
      <c r="V853" s="52" t="str">
        <f>IF(AND(B853&gt;='IN-NX'!$P$3,B853&lt;='IN-NX'!$Q$3,'IN-NX'!$D$7=D853,OR(LEFT(L853,2)="15",AND(LEFT(M853,2)&lt;&gt;"15",LEFT(M853,2)&lt;&gt;"33"))),"x","")</f>
        <v/>
      </c>
      <c r="W853" s="52" t="str">
        <f>IF(AND(OR(LEFT(TH!L853,2)="15",LEFT(TH!M853,2)="15"),'152-CT'!$J$8=TH!F853),"x","")</f>
        <v/>
      </c>
      <c r="X853" s="52" t="str">
        <f>IF(AND(OR(LEFT(TH!L853,2)="15",LEFT(TH!M853,2)="15"),TK!$E$7=TH!F853),"x","")</f>
        <v/>
      </c>
      <c r="Y853" s="52" t="str">
        <f>IF(AND(B853&lt;=NKC!$N$8,B853&gt;=NKC!$M$8),"x","")</f>
        <v/>
      </c>
      <c r="Z853" s="587" t="s">
        <v>1336</v>
      </c>
    </row>
    <row r="854" spans="1:28" ht="15.75" customHeight="1">
      <c r="A854" s="201" t="str">
        <f>IF(B854&lt;&gt;"",IF(AND(B854&gt;=_TM1,B854&lt;=_TM2,OR(TH!L854="1111",TH!M854="1111")),TH!D854,""),"")</f>
        <v>C10</v>
      </c>
      <c r="B854" s="36">
        <f t="shared" si="38"/>
        <v>10</v>
      </c>
      <c r="C854" s="188">
        <f t="shared" si="39"/>
        <v>41577</v>
      </c>
      <c r="D854" s="181" t="s">
        <v>389</v>
      </c>
      <c r="E854" s="188">
        <v>41577</v>
      </c>
      <c r="F854" s="186" t="s">
        <v>344</v>
      </c>
      <c r="G854" s="480" t="s">
        <v>519</v>
      </c>
      <c r="H854" s="7" t="s">
        <v>368</v>
      </c>
      <c r="I854" s="250"/>
      <c r="J854" s="250"/>
      <c r="K854" s="595">
        <v>1194000</v>
      </c>
      <c r="L854" s="596" t="s">
        <v>9</v>
      </c>
      <c r="M854" s="596" t="s">
        <v>47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IF(OR(TH!L854=TH!$U$7,M854=TH!$U$7),"x","")</f>
        <v/>
      </c>
      <c r="V854" s="52" t="str">
        <f>IF(AND(B854&gt;='IN-NX'!$P$3,B854&lt;='IN-NX'!$Q$3,'IN-NX'!$D$7=D854,OR(LEFT(L854,2)="15",AND(LEFT(M854,2)&lt;&gt;"15",LEFT(M854,2)&lt;&gt;"33"))),"x","")</f>
        <v/>
      </c>
      <c r="W854" s="52" t="str">
        <f>IF(AND(OR(LEFT(TH!L854,2)="15",LEFT(TH!M854,2)="15"),'152-CT'!$J$8=TH!F854),"x","")</f>
        <v/>
      </c>
      <c r="X854" s="52" t="str">
        <f>IF(AND(OR(LEFT(TH!L854,2)="15",LEFT(TH!M854,2)="15"),TK!$E$7=TH!F854),"x","")</f>
        <v/>
      </c>
      <c r="Y854" s="52" t="str">
        <f>IF(AND(B854&lt;=NKC!$N$8,B854&gt;=NKC!$M$8),"x","")</f>
        <v/>
      </c>
      <c r="Z854" s="587" t="s">
        <v>1336</v>
      </c>
    </row>
    <row r="855" spans="1:28" ht="15.75" customHeight="1">
      <c r="A855" s="201" t="str">
        <f>IF(B855&lt;&gt;"",IF(AND(B855&gt;=_TM1,B855&lt;=_TM2,OR(TH!L855="1111",TH!M855="1111")),TH!D855,""),"")</f>
        <v/>
      </c>
      <c r="B855" s="36">
        <f t="shared" si="38"/>
        <v>10</v>
      </c>
      <c r="C855" s="188">
        <f t="shared" si="39"/>
        <v>41577</v>
      </c>
      <c r="D855" s="181" t="s">
        <v>410</v>
      </c>
      <c r="E855" s="188">
        <v>41577</v>
      </c>
      <c r="F855" s="189" t="s">
        <v>669</v>
      </c>
      <c r="G855" s="480" t="s">
        <v>670</v>
      </c>
      <c r="H855" s="190" t="s">
        <v>665</v>
      </c>
      <c r="I855" s="249">
        <v>100</v>
      </c>
      <c r="J855" s="249">
        <v>15724</v>
      </c>
      <c r="K855" s="38">
        <f>ROUND(I855*J855,0)</f>
        <v>1572400</v>
      </c>
      <c r="L855" s="191" t="s">
        <v>156</v>
      </c>
      <c r="M855" s="191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IF(OR(TH!L855=TH!$U$7,M855=TH!$U$7),"x","")</f>
        <v/>
      </c>
      <c r="V855" s="52" t="str">
        <f>IF(AND(B855&gt;='IN-NX'!$P$3,B855&lt;='IN-NX'!$Q$3,'IN-NX'!$D$7=D855,OR(LEFT(L855,2)="15",AND(LEFT(M855,2)&lt;&gt;"15",LEFT(M855,2)&lt;&gt;"33"))),"x","")</f>
        <v/>
      </c>
      <c r="W855" s="52" t="str">
        <f>IF(AND(OR(LEFT(TH!L855,2)="15",LEFT(TH!M855,2)="15"),'152-CT'!$J$8=TH!F855),"x","")</f>
        <v/>
      </c>
      <c r="X855" s="52" t="str">
        <f>IF(AND(OR(LEFT(TH!L855,2)="15",LEFT(TH!M855,2)="15"),TK!$E$7=TH!F855),"x","")</f>
        <v/>
      </c>
      <c r="Y855" s="52" t="str">
        <f>IF(AND(B855&lt;=NKC!$N$8,B855&gt;=NKC!$M$8),"x","")</f>
        <v/>
      </c>
      <c r="Z855" s="587" t="s">
        <v>1336</v>
      </c>
    </row>
    <row r="856" spans="1:28" ht="15.75" customHeight="1">
      <c r="A856" s="201" t="str">
        <f>IF(B856&lt;&gt;"",IF(AND(B856&gt;=_TM1,B856&lt;=_TM2,OR(TH!L856="1111",TH!M856="1111")),TH!D856,""),"")</f>
        <v/>
      </c>
      <c r="B856" s="36">
        <f t="shared" si="38"/>
        <v>10</v>
      </c>
      <c r="C856" s="188">
        <f t="shared" si="39"/>
        <v>41577</v>
      </c>
      <c r="D856" s="181" t="s">
        <v>410</v>
      </c>
      <c r="E856" s="188">
        <v>41577</v>
      </c>
      <c r="F856" s="189" t="s">
        <v>671</v>
      </c>
      <c r="G856" s="480" t="s">
        <v>670</v>
      </c>
      <c r="H856" s="190" t="s">
        <v>665</v>
      </c>
      <c r="I856" s="249">
        <v>250</v>
      </c>
      <c r="J856" s="249">
        <v>14112</v>
      </c>
      <c r="K856" s="38">
        <f>ROUND(I856*J856,0)</f>
        <v>3528000</v>
      </c>
      <c r="L856" s="191" t="s">
        <v>156</v>
      </c>
      <c r="M856" s="191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IF(OR(TH!L856=TH!$U$7,M856=TH!$U$7),"x","")</f>
        <v/>
      </c>
      <c r="V856" s="52" t="str">
        <f>IF(AND(B856&gt;='IN-NX'!$P$3,B856&lt;='IN-NX'!$Q$3,'IN-NX'!$D$7=D856,OR(LEFT(L856,2)="15",AND(LEFT(M856,2)&lt;&gt;"15",LEFT(M856,2)&lt;&gt;"33"))),"x","")</f>
        <v/>
      </c>
      <c r="W856" s="52" t="str">
        <f>IF(AND(OR(LEFT(TH!L856,2)="15",LEFT(TH!M856,2)="15"),'152-CT'!$J$8=TH!F856),"x","")</f>
        <v/>
      </c>
      <c r="X856" s="52" t="str">
        <f>IF(AND(OR(LEFT(TH!L856,2)="15",LEFT(TH!M856,2)="15"),TK!$E$7=TH!F856),"x","")</f>
        <v/>
      </c>
      <c r="Y856" s="52" t="str">
        <f>IF(AND(B856&lt;=NKC!$N$8,B856&gt;=NKC!$M$8),"x","")</f>
        <v/>
      </c>
      <c r="Z856" s="587" t="s">
        <v>1336</v>
      </c>
    </row>
    <row r="857" spans="1:28" ht="15.75" customHeight="1">
      <c r="A857" s="201" t="str">
        <f>IF(B857&lt;&gt;"",IF(AND(B857&gt;=_TM1,B857&lt;=_TM2,OR(TH!L857="1111",TH!M857="1111")),TH!D857,""),"")</f>
        <v/>
      </c>
      <c r="B857" s="36">
        <f t="shared" si="38"/>
        <v>10</v>
      </c>
      <c r="C857" s="188">
        <f t="shared" si="39"/>
        <v>41577</v>
      </c>
      <c r="D857" s="181" t="s">
        <v>410</v>
      </c>
      <c r="E857" s="188">
        <v>41577</v>
      </c>
      <c r="F857" s="189" t="s">
        <v>453</v>
      </c>
      <c r="G857" s="480" t="s">
        <v>670</v>
      </c>
      <c r="H857" s="190" t="s">
        <v>665</v>
      </c>
      <c r="I857" s="249"/>
      <c r="J857" s="249"/>
      <c r="K857" s="38">
        <v>510040</v>
      </c>
      <c r="L857" s="191" t="s">
        <v>9</v>
      </c>
      <c r="M857" s="191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IF(OR(TH!L857=TH!$U$7,M857=TH!$U$7),"x","")</f>
        <v/>
      </c>
      <c r="V857" s="52" t="str">
        <f>IF(AND(B857&gt;='IN-NX'!$P$3,B857&lt;='IN-NX'!$Q$3,'IN-NX'!$D$7=D857,OR(LEFT(L857,2)="15",AND(LEFT(M857,2)&lt;&gt;"15",LEFT(M857,2)&lt;&gt;"33"))),"x","")</f>
        <v/>
      </c>
      <c r="W857" s="52" t="str">
        <f>IF(AND(OR(LEFT(TH!L857,2)="15",LEFT(TH!M857,2)="15"),'152-CT'!$J$8=TH!F857),"x","")</f>
        <v/>
      </c>
      <c r="X857" s="52" t="str">
        <f>IF(AND(OR(LEFT(TH!L857,2)="15",LEFT(TH!M857,2)="15"),TK!$E$7=TH!F857),"x","")</f>
        <v/>
      </c>
      <c r="Y857" s="52" t="str">
        <f>IF(AND(B857&lt;=NKC!$N$8,B857&gt;=NKC!$M$8),"x","")</f>
        <v/>
      </c>
      <c r="Z857" s="587" t="s">
        <v>1336</v>
      </c>
    </row>
    <row r="858" spans="1:28" ht="15.75" customHeight="1">
      <c r="A858" s="201" t="str">
        <f>IF(B858&lt;&gt;"",IF(AND(B858&gt;=_TM1,B858&lt;=_TM2,OR(TH!L858="1111",TH!M858="1111")),TH!D858,""),"")</f>
        <v>C11</v>
      </c>
      <c r="B858" s="36">
        <f t="shared" si="38"/>
        <v>10</v>
      </c>
      <c r="C858" s="188">
        <f t="shared" si="39"/>
        <v>41577</v>
      </c>
      <c r="D858" s="181" t="s">
        <v>390</v>
      </c>
      <c r="E858" s="188">
        <v>41577</v>
      </c>
      <c r="F858" s="189" t="s">
        <v>367</v>
      </c>
      <c r="G858" s="480" t="s">
        <v>670</v>
      </c>
      <c r="H858" s="190" t="s">
        <v>665</v>
      </c>
      <c r="I858" s="249"/>
      <c r="J858" s="249"/>
      <c r="K858" s="38">
        <v>5610440</v>
      </c>
      <c r="L858" s="191" t="s">
        <v>8</v>
      </c>
      <c r="M858" s="191" t="s">
        <v>47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>x</v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IF(OR(TH!L858=TH!$U$7,M858=TH!$U$7),"x","")</f>
        <v/>
      </c>
      <c r="V858" s="52" t="str">
        <f>IF(AND(B858&gt;='IN-NX'!$P$3,B858&lt;='IN-NX'!$Q$3,'IN-NX'!$D$7=D858,OR(LEFT(L858,2)="15",AND(LEFT(M858,2)&lt;&gt;"15",LEFT(M858,2)&lt;&gt;"33"))),"x","")</f>
        <v/>
      </c>
      <c r="W858" s="52" t="str">
        <f>IF(AND(OR(LEFT(TH!L858,2)="15",LEFT(TH!M858,2)="15"),'152-CT'!$J$8=TH!F858),"x","")</f>
        <v/>
      </c>
      <c r="X858" s="52" t="str">
        <f>IF(AND(OR(LEFT(TH!L858,2)="15",LEFT(TH!M858,2)="15"),TK!$E$7=TH!F858),"x","")</f>
        <v/>
      </c>
      <c r="Y858" s="52" t="str">
        <f>IF(AND(B858&lt;=NKC!$N$8,B858&gt;=NKC!$M$8),"x","")</f>
        <v/>
      </c>
      <c r="Z858" s="208"/>
    </row>
    <row r="859" spans="1:28" ht="15.75" customHeight="1">
      <c r="A859" s="201" t="str">
        <f>IF(B859&lt;&gt;"",IF(AND(B859&gt;=_TM1,B859&lt;=_TM2,OR(TH!L859="1111",TH!M859="1111")),TH!D859,""),"")</f>
        <v/>
      </c>
      <c r="B859" s="36">
        <f t="shared" si="38"/>
        <v>10</v>
      </c>
      <c r="C859" s="188">
        <f t="shared" si="39"/>
        <v>41577</v>
      </c>
      <c r="D859" s="181" t="s">
        <v>1038</v>
      </c>
      <c r="E859" s="188">
        <v>41577</v>
      </c>
      <c r="F859" s="189" t="s">
        <v>909</v>
      </c>
      <c r="G859" s="189" t="s">
        <v>964</v>
      </c>
      <c r="H859" s="7" t="s">
        <v>517</v>
      </c>
      <c r="I859" s="249">
        <v>371</v>
      </c>
      <c r="J859" s="249">
        <v>16300</v>
      </c>
      <c r="K859" s="38">
        <f>ROUND(I859*J859,0)</f>
        <v>6047300</v>
      </c>
      <c r="L859" s="191" t="s">
        <v>262</v>
      </c>
      <c r="M859" s="191" t="s">
        <v>172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IF(OR(TH!L859=TH!$U$7,M859=TH!$U$7),"x","")</f>
        <v/>
      </c>
      <c r="V859" s="52" t="str">
        <f>IF(AND(B859&gt;='IN-NX'!$P$3,B859&lt;='IN-NX'!$Q$3,'IN-NX'!$D$7=D859,OR(LEFT(L859,2)="15",AND(LEFT(M859,2)&lt;&gt;"15",LEFT(M859,2)&lt;&gt;"33"))),"x","")</f>
        <v/>
      </c>
      <c r="W859" s="52" t="str">
        <f>IF(AND(OR(LEFT(TH!L859,2)="15",LEFT(TH!M859,2)="15"),'152-CT'!$J$8=TH!F859),"x","")</f>
        <v/>
      </c>
      <c r="X859" s="52" t="str">
        <f>IF(AND(OR(LEFT(TH!L859,2)="15",LEFT(TH!M859,2)="15"),TK!$E$7=TH!F859),"x","")</f>
        <v/>
      </c>
      <c r="Y859" s="52" t="str">
        <f>IF(AND(B859&lt;=NKC!$N$8,B859&gt;=NKC!$M$8),"x","")</f>
        <v/>
      </c>
      <c r="Z859" s="769"/>
      <c r="AA859" s="587"/>
    </row>
    <row r="860" spans="1:28" ht="15.75" customHeight="1">
      <c r="A860" s="201" t="str">
        <f>IF(B860&lt;&gt;"",IF(AND(B860&gt;=_TM1,B860&lt;=_TM2,OR(TH!L860="1111",TH!M860="1111")),TH!D860,""),"")</f>
        <v/>
      </c>
      <c r="B860" s="36">
        <f t="shared" si="38"/>
        <v>10</v>
      </c>
      <c r="C860" s="188">
        <f t="shared" si="39"/>
        <v>41577</v>
      </c>
      <c r="D860" s="181" t="s">
        <v>1038</v>
      </c>
      <c r="E860" s="188">
        <v>41577</v>
      </c>
      <c r="F860" s="189" t="s">
        <v>693</v>
      </c>
      <c r="G860" s="189" t="s">
        <v>964</v>
      </c>
      <c r="H860" s="7" t="s">
        <v>517</v>
      </c>
      <c r="I860" s="249"/>
      <c r="J860" s="249"/>
      <c r="K860" s="38">
        <v>604730</v>
      </c>
      <c r="L860" s="191" t="s">
        <v>262</v>
      </c>
      <c r="M860" s="191" t="s">
        <v>425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IF(OR(TH!L860=TH!$U$7,M860=TH!$U$7),"x","")</f>
        <v/>
      </c>
      <c r="V860" s="52" t="str">
        <f>IF(AND(B860&gt;='IN-NX'!$P$3,B860&lt;='IN-NX'!$Q$3,'IN-NX'!$D$7=D860,OR(LEFT(L860,2)="15",AND(LEFT(M860,2)&lt;&gt;"15",LEFT(M860,2)&lt;&gt;"33"))),"x","")</f>
        <v/>
      </c>
      <c r="W860" s="52" t="str">
        <f>IF(AND(OR(LEFT(TH!L860,2)="15",LEFT(TH!M860,2)="15"),'152-CT'!$J$8=TH!F860),"x","")</f>
        <v/>
      </c>
      <c r="X860" s="52" t="str">
        <f>IF(AND(OR(LEFT(TH!L860,2)="15",LEFT(TH!M860,2)="15"),TK!$E$7=TH!F860),"x","")</f>
        <v/>
      </c>
      <c r="Y860" s="52" t="str">
        <f>IF(AND(B860&lt;=NKC!$N$8,B860&gt;=NKC!$M$8),"x","")</f>
        <v/>
      </c>
      <c r="Z860" s="769"/>
      <c r="AA860" s="587" t="str">
        <f>IF(VLOOKUP(H860,DS_131,1,0)&lt;&gt;"","","x")</f>
        <v/>
      </c>
    </row>
    <row r="861" spans="1:28" ht="15.75" customHeight="1">
      <c r="A861" s="201" t="str">
        <f>IF(B861&lt;&gt;"",IF(AND(B861&gt;=_TM1,B861&lt;=_TM2,OR(TH!L861="1111",TH!M861="1111")),TH!D861,""),"")</f>
        <v/>
      </c>
      <c r="B861" s="36">
        <f t="shared" si="38"/>
        <v>10</v>
      </c>
      <c r="C861" s="771">
        <f t="shared" si="39"/>
        <v>41578</v>
      </c>
      <c r="D861" s="771" t="s">
        <v>339</v>
      </c>
      <c r="E861" s="771">
        <v>41578</v>
      </c>
      <c r="F861" s="696" t="s">
        <v>1255</v>
      </c>
      <c r="G861" s="697"/>
      <c r="H861" s="609"/>
      <c r="I861" s="477"/>
      <c r="J861" s="477"/>
      <c r="K861" s="698">
        <v>5910000</v>
      </c>
      <c r="L861" s="699" t="s">
        <v>83</v>
      </c>
      <c r="M861" s="699" t="s">
        <v>265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IF(OR(TH!L861=TH!$U$7,M861=TH!$U$7),"x","")</f>
        <v>x</v>
      </c>
      <c r="V861" s="52" t="str">
        <f>IF(AND(B861&gt;='IN-NX'!$P$3,B861&lt;='IN-NX'!$Q$3,'IN-NX'!$D$7=D861,OR(LEFT(L861,2)="15",AND(LEFT(M861,2)&lt;&gt;"15",LEFT(M861,2)&lt;&gt;"33"))),"x","")</f>
        <v/>
      </c>
      <c r="W861" s="52" t="str">
        <f>IF(AND(OR(LEFT(TH!L861,2)="15",LEFT(TH!M861,2)="15"),'152-CT'!$J$8=TH!F861),"x","")</f>
        <v/>
      </c>
      <c r="X861" s="52" t="str">
        <f>IF(AND(OR(LEFT(TH!L861,2)="15",LEFT(TH!M861,2)="15"),TK!$E$7=TH!F861),"x","")</f>
        <v/>
      </c>
      <c r="Y861" s="52" t="str">
        <f>IF(AND(B861&lt;=NKC!$N$8,B861&gt;=NKC!$M$8),"x","")</f>
        <v/>
      </c>
    </row>
    <row r="862" spans="1:28" ht="15.75" customHeight="1">
      <c r="A862" s="201" t="str">
        <f>IF(B862&lt;&gt;"",IF(AND(B862&gt;=_TM1,B862&lt;=_TM2,OR(TH!L862="1111",TH!M862="1111")),TH!D862,""),"")</f>
        <v/>
      </c>
      <c r="B862" s="36">
        <f t="shared" si="38"/>
        <v>10</v>
      </c>
      <c r="C862" s="771">
        <f t="shared" si="39"/>
        <v>41578</v>
      </c>
      <c r="D862" s="771" t="s">
        <v>339</v>
      </c>
      <c r="E862" s="771">
        <v>41578</v>
      </c>
      <c r="F862" s="696" t="s">
        <v>1256</v>
      </c>
      <c r="G862" s="697"/>
      <c r="H862" s="609"/>
      <c r="I862" s="477"/>
      <c r="J862" s="477"/>
      <c r="K862" s="698">
        <v>7615000</v>
      </c>
      <c r="L862" s="699" t="s">
        <v>162</v>
      </c>
      <c r="M862" s="699" t="s">
        <v>265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IF(OR(TH!L862=TH!$U$7,M862=TH!$U$7),"x","")</f>
        <v/>
      </c>
      <c r="V862" s="52" t="str">
        <f>IF(AND(B862&gt;='IN-NX'!$P$3,B862&lt;='IN-NX'!$Q$3,'IN-NX'!$D$7=D862,OR(LEFT(L862,2)="15",AND(LEFT(M862,2)&lt;&gt;"15",LEFT(M862,2)&lt;&gt;"33"))),"x","")</f>
        <v/>
      </c>
      <c r="W862" s="52" t="str">
        <f>IF(AND(OR(LEFT(TH!L862,2)="15",LEFT(TH!M862,2)="15"),'152-CT'!$J$8=TH!F862),"x","")</f>
        <v/>
      </c>
      <c r="X862" s="52" t="str">
        <f>IF(AND(OR(LEFT(TH!L862,2)="15",LEFT(TH!M862,2)="15"),TK!$E$7=TH!F862),"x","")</f>
        <v/>
      </c>
      <c r="Y862" s="52" t="str">
        <f>IF(AND(B862&lt;=NKC!$N$8,B862&gt;=NKC!$M$8),"x","")</f>
        <v/>
      </c>
    </row>
    <row r="863" spans="1:28" ht="15.75" customHeight="1">
      <c r="A863" s="201" t="str">
        <f>IF(B863&lt;&gt;"",IF(AND(B863&gt;=_TM1,B863&lt;=_TM2,OR(TH!L863="1111",TH!M863="1111")),TH!D863,""),"")</f>
        <v>C12</v>
      </c>
      <c r="B863" s="36">
        <f t="shared" si="38"/>
        <v>10</v>
      </c>
      <c r="C863" s="771">
        <f t="shared" si="39"/>
        <v>41578</v>
      </c>
      <c r="D863" s="771" t="s">
        <v>391</v>
      </c>
      <c r="E863" s="771">
        <v>41578</v>
      </c>
      <c r="F863" s="696" t="str">
        <f>"Thanh toán tiền lương tháng "&amp;MONTH(E863)&amp;"/"&amp;YEAR(E863)</f>
        <v>Thanh toán tiền lương tháng 10/2013</v>
      </c>
      <c r="G863" s="697"/>
      <c r="H863" s="609" t="s">
        <v>364</v>
      </c>
      <c r="I863" s="477"/>
      <c r="J863" s="477"/>
      <c r="K863" s="698">
        <f>K861+K862</f>
        <v>13525000</v>
      </c>
      <c r="L863" s="699" t="s">
        <v>265</v>
      </c>
      <c r="M863" s="699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IF(OR(TH!L863=TH!$U$7,M863=TH!$U$7),"x","")</f>
        <v/>
      </c>
      <c r="V863" s="52" t="str">
        <f>IF(AND(B863&gt;='IN-NX'!$P$3,B863&lt;='IN-NX'!$Q$3,'IN-NX'!$D$7=D863,OR(LEFT(L863,2)="15",AND(LEFT(M863,2)&lt;&gt;"15",LEFT(M863,2)&lt;&gt;"33"))),"x","")</f>
        <v/>
      </c>
      <c r="W863" s="52" t="str">
        <f>IF(AND(OR(LEFT(TH!L863,2)="15",LEFT(TH!M863,2)="15"),'152-CT'!$J$8=TH!F863),"x","")</f>
        <v/>
      </c>
      <c r="X863" s="52" t="str">
        <f>IF(AND(OR(LEFT(TH!L863,2)="15",LEFT(TH!M863,2)="15"),TK!$E$7=TH!F863),"x","")</f>
        <v/>
      </c>
      <c r="Y863" s="52" t="str">
        <f>IF(AND(B863&lt;=NKC!$N$8,B863&gt;=NKC!$M$8),"x","")</f>
        <v/>
      </c>
    </row>
    <row r="864" spans="1:28" ht="15.75" customHeight="1">
      <c r="A864" s="201" t="str">
        <f>IF(B864&lt;&gt;"",IF(AND(B864&gt;=_TM1,B864&lt;=_TM2,OR(TH!L864="1111",TH!M864="1111")),TH!D864,""),"")</f>
        <v/>
      </c>
      <c r="B864" s="36">
        <f t="shared" si="38"/>
        <v>10</v>
      </c>
      <c r="C864" s="188">
        <f t="shared" si="39"/>
        <v>41578</v>
      </c>
      <c r="D864" s="181" t="s">
        <v>1039</v>
      </c>
      <c r="E864" s="188">
        <v>41578</v>
      </c>
      <c r="F864" s="189" t="s">
        <v>698</v>
      </c>
      <c r="G864" s="480" t="s">
        <v>965</v>
      </c>
      <c r="H864" s="190" t="s">
        <v>470</v>
      </c>
      <c r="I864" s="249">
        <v>999</v>
      </c>
      <c r="J864" s="249">
        <v>8740</v>
      </c>
      <c r="K864" s="38">
        <f>ROUND(I864*J864,0)</f>
        <v>8731260</v>
      </c>
      <c r="L864" s="191" t="s">
        <v>262</v>
      </c>
      <c r="M864" s="191" t="s">
        <v>172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IF(OR(TH!L864=TH!$U$7,M864=TH!$U$7),"x","")</f>
        <v/>
      </c>
      <c r="V864" s="52" t="str">
        <f>IF(AND(B864&gt;='IN-NX'!$P$3,B864&lt;='IN-NX'!$Q$3,'IN-NX'!$D$7=D864,OR(LEFT(L864,2)="15",AND(LEFT(M864,2)&lt;&gt;"15",LEFT(M864,2)&lt;&gt;"33"))),"x","")</f>
        <v/>
      </c>
      <c r="W864" s="52" t="str">
        <f>IF(AND(OR(LEFT(TH!L864,2)="15",LEFT(TH!M864,2)="15"),'152-CT'!$J$8=TH!F864),"x","")</f>
        <v/>
      </c>
      <c r="X864" s="52" t="str">
        <f>IF(AND(OR(LEFT(TH!L864,2)="15",LEFT(TH!M864,2)="15"),TK!$E$7=TH!F864),"x","")</f>
        <v/>
      </c>
      <c r="Y864" s="52" t="str">
        <f>IF(AND(B864&lt;=NKC!$N$8,B864&gt;=NKC!$M$8),"x","")</f>
        <v/>
      </c>
      <c r="Z864" s="769"/>
      <c r="AA864" s="587"/>
    </row>
    <row r="865" spans="1:27" ht="15.75" customHeight="1">
      <c r="A865" s="201" t="str">
        <f>IF(B865&lt;&gt;"",IF(AND(B865&gt;=_TM1,B865&lt;=_TM2,OR(TH!L865="1111",TH!M865="1111")),TH!D865,""),"")</f>
        <v/>
      </c>
      <c r="B865" s="36">
        <f t="shared" si="38"/>
        <v>10</v>
      </c>
      <c r="C865" s="188">
        <f t="shared" si="39"/>
        <v>41578</v>
      </c>
      <c r="D865" s="181" t="s">
        <v>1039</v>
      </c>
      <c r="E865" s="188">
        <v>41578</v>
      </c>
      <c r="F865" s="189" t="s">
        <v>693</v>
      </c>
      <c r="G865" s="480" t="s">
        <v>965</v>
      </c>
      <c r="H865" s="190" t="s">
        <v>470</v>
      </c>
      <c r="I865" s="249"/>
      <c r="J865" s="249"/>
      <c r="K865" s="38">
        <v>873126</v>
      </c>
      <c r="L865" s="191" t="s">
        <v>262</v>
      </c>
      <c r="M865" s="191" t="s">
        <v>425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IF(OR(TH!L865=TH!$U$7,M865=TH!$U$7),"x","")</f>
        <v/>
      </c>
      <c r="V865" s="52" t="str">
        <f>IF(AND(B865&gt;='IN-NX'!$P$3,B865&lt;='IN-NX'!$Q$3,'IN-NX'!$D$7=D865,OR(LEFT(L865,2)="15",AND(LEFT(M865,2)&lt;&gt;"15",LEFT(M865,2)&lt;&gt;"33"))),"x","")</f>
        <v/>
      </c>
      <c r="W865" s="52" t="str">
        <f>IF(AND(OR(LEFT(TH!L865,2)="15",LEFT(TH!M865,2)="15"),'152-CT'!$J$8=TH!F865),"x","")</f>
        <v/>
      </c>
      <c r="X865" s="52" t="str">
        <f>IF(AND(OR(LEFT(TH!L865,2)="15",LEFT(TH!M865,2)="15"),TK!$E$7=TH!F865),"x","")</f>
        <v/>
      </c>
      <c r="Y865" s="52" t="str">
        <f>IF(AND(B865&lt;=NKC!$N$8,B865&gt;=NKC!$M$8),"x","")</f>
        <v/>
      </c>
      <c r="Z865" s="769"/>
      <c r="AA865" s="587" t="str">
        <f>IF(VLOOKUP(H865,DS_131,1,0)&lt;&gt;"","","x")</f>
        <v/>
      </c>
    </row>
    <row r="866" spans="1:27" ht="15.75" customHeight="1">
      <c r="A866" s="201" t="str">
        <f>IF(B866&lt;&gt;"",IF(AND(B866&gt;=_TM1,B866&lt;=_TM2,OR(TH!L866="1111",TH!M866="1111")),TH!D866,""),"")</f>
        <v/>
      </c>
      <c r="B866" s="36">
        <f t="shared" si="38"/>
        <v>10</v>
      </c>
      <c r="C866" s="188">
        <f t="shared" si="39"/>
        <v>41578</v>
      </c>
      <c r="D866" s="181" t="s">
        <v>1040</v>
      </c>
      <c r="E866" s="188">
        <v>41578</v>
      </c>
      <c r="F866" s="189" t="s">
        <v>805</v>
      </c>
      <c r="G866" s="480" t="s">
        <v>966</v>
      </c>
      <c r="H866" s="190" t="s">
        <v>710</v>
      </c>
      <c r="I866" s="249">
        <v>397</v>
      </c>
      <c r="J866" s="249">
        <v>10500</v>
      </c>
      <c r="K866" s="38">
        <f>ROUND(I866*J866,0)</f>
        <v>4168500</v>
      </c>
      <c r="L866" s="191" t="s">
        <v>262</v>
      </c>
      <c r="M866" s="191" t="s">
        <v>172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IF(OR(TH!L866=TH!$U$7,M866=TH!$U$7),"x","")</f>
        <v/>
      </c>
      <c r="V866" s="52" t="str">
        <f>IF(AND(B866&gt;='IN-NX'!$P$3,B866&lt;='IN-NX'!$Q$3,'IN-NX'!$D$7=D866,OR(LEFT(L866,2)="15",AND(LEFT(M866,2)&lt;&gt;"15",LEFT(M866,2)&lt;&gt;"33"))),"x","")</f>
        <v/>
      </c>
      <c r="W866" s="52" t="str">
        <f>IF(AND(OR(LEFT(TH!L866,2)="15",LEFT(TH!M866,2)="15"),'152-CT'!$J$8=TH!F866),"x","")</f>
        <v/>
      </c>
      <c r="X866" s="52" t="str">
        <f>IF(AND(OR(LEFT(TH!L866,2)="15",LEFT(TH!M866,2)="15"),TK!$E$7=TH!F866),"x","")</f>
        <v/>
      </c>
      <c r="Y866" s="52" t="str">
        <f>IF(AND(B866&lt;=NKC!$N$8,B866&gt;=NKC!$M$8),"x","")</f>
        <v/>
      </c>
      <c r="Z866" s="769"/>
      <c r="AA866" s="587"/>
    </row>
    <row r="867" spans="1:27" ht="15.75" customHeight="1">
      <c r="A867" s="201" t="str">
        <f>IF(B867&lt;&gt;"",IF(AND(B867&gt;=_TM1,B867&lt;=_TM2,OR(TH!L867="1111",TH!M867="1111")),TH!D867,""),"")</f>
        <v/>
      </c>
      <c r="B867" s="36">
        <f t="shared" si="38"/>
        <v>10</v>
      </c>
      <c r="C867" s="188">
        <f t="shared" si="39"/>
        <v>41578</v>
      </c>
      <c r="D867" s="181" t="s">
        <v>1040</v>
      </c>
      <c r="E867" s="188">
        <v>41578</v>
      </c>
      <c r="F867" s="189" t="s">
        <v>693</v>
      </c>
      <c r="G867" s="480" t="s">
        <v>966</v>
      </c>
      <c r="H867" s="190" t="s">
        <v>710</v>
      </c>
      <c r="I867" s="249"/>
      <c r="J867" s="249"/>
      <c r="K867" s="38">
        <v>416850</v>
      </c>
      <c r="L867" s="191" t="s">
        <v>262</v>
      </c>
      <c r="M867" s="191" t="s">
        <v>425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IF(OR(TH!L867=TH!$U$7,M867=TH!$U$7),"x","")</f>
        <v/>
      </c>
      <c r="V867" s="52" t="str">
        <f>IF(AND(B867&gt;='IN-NX'!$P$3,B867&lt;='IN-NX'!$Q$3,'IN-NX'!$D$7=D867,OR(LEFT(L867,2)="15",AND(LEFT(M867,2)&lt;&gt;"15",LEFT(M867,2)&lt;&gt;"33"))),"x","")</f>
        <v/>
      </c>
      <c r="W867" s="52" t="str">
        <f>IF(AND(OR(LEFT(TH!L867,2)="15",LEFT(TH!M867,2)="15"),'152-CT'!$J$8=TH!F867),"x","")</f>
        <v/>
      </c>
      <c r="X867" s="52" t="str">
        <f>IF(AND(OR(LEFT(TH!L867,2)="15",LEFT(TH!M867,2)="15"),TK!$E$7=TH!F867),"x","")</f>
        <v/>
      </c>
      <c r="Y867" s="52" t="str">
        <f>IF(AND(B867&lt;=NKC!$N$8,B867&gt;=NKC!$M$8),"x","")</f>
        <v/>
      </c>
      <c r="Z867" s="769"/>
      <c r="AA867" s="587" t="str">
        <f>IF(VLOOKUP(H867,DS_131,1,0)&lt;&gt;"","","x")</f>
        <v/>
      </c>
    </row>
    <row r="868" spans="1:27" ht="15.75" customHeight="1">
      <c r="A868" s="201" t="str">
        <f>IF(B868&lt;&gt;"",IF(AND(B868&gt;=_TM1,B868&lt;=_TM2,OR(TH!L868="1111",TH!M868="1111")),TH!D868,""),"")</f>
        <v>T11</v>
      </c>
      <c r="B868" s="36">
        <f t="shared" si="38"/>
        <v>10</v>
      </c>
      <c r="C868" s="188">
        <f t="shared" si="39"/>
        <v>41578</v>
      </c>
      <c r="D868" s="181" t="s">
        <v>543</v>
      </c>
      <c r="E868" s="188">
        <v>41578</v>
      </c>
      <c r="F868" s="186" t="s">
        <v>337</v>
      </c>
      <c r="G868" s="480" t="s">
        <v>1325</v>
      </c>
      <c r="H868" s="190" t="s">
        <v>710</v>
      </c>
      <c r="I868" s="249"/>
      <c r="J868" s="249"/>
      <c r="K868" s="38">
        <v>16089150</v>
      </c>
      <c r="L868" s="191" t="s">
        <v>47</v>
      </c>
      <c r="M868" s="191" t="s">
        <v>262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IF(OR(TH!L868=TH!$U$7,M868=TH!$U$7),"x","")</f>
        <v/>
      </c>
      <c r="V868" s="52" t="str">
        <f>IF(AND(B868&gt;='IN-NX'!$P$3,B868&lt;='IN-NX'!$Q$3,'IN-NX'!$D$7=D868,OR(LEFT(L868,2)="15",AND(LEFT(M868,2)&lt;&gt;"15",LEFT(M868,2)&lt;&gt;"33"))),"x","")</f>
        <v/>
      </c>
      <c r="W868" s="52" t="str">
        <f>IF(AND(OR(LEFT(TH!L868,2)="15",LEFT(TH!M868,2)="15"),'152-CT'!$J$8=TH!F868),"x","")</f>
        <v/>
      </c>
      <c r="X868" s="52" t="str">
        <f>IF(AND(OR(LEFT(TH!L868,2)="15",LEFT(TH!M868,2)="15"),TK!$E$7=TH!F868),"x","")</f>
        <v/>
      </c>
      <c r="Y868" s="52" t="str">
        <f>IF(AND(B868&lt;=NKC!$N$8,B868&gt;=NKC!$M$8),"x","")</f>
        <v/>
      </c>
      <c r="Z868" s="769"/>
      <c r="AA868" s="587" t="str">
        <f>IF(VLOOKUP(H868,DS_131,1,0)&lt;&gt;"","","x")</f>
        <v/>
      </c>
    </row>
    <row r="869" spans="1:27" ht="15.75" customHeight="1">
      <c r="A869" s="201" t="str">
        <f>IF(B869&lt;&gt;"",IF(AND(B869&gt;=_TM1,B869&lt;=_TM2,OR(TH!L869="1111",TH!M869="1111")),TH!D869,""),"")</f>
        <v/>
      </c>
      <c r="B869" s="36">
        <f t="shared" si="38"/>
        <v>10</v>
      </c>
      <c r="C869" s="188">
        <f t="shared" si="39"/>
        <v>41578</v>
      </c>
      <c r="D869" s="181" t="s">
        <v>1041</v>
      </c>
      <c r="E869" s="188">
        <v>41578</v>
      </c>
      <c r="F869" s="189" t="s">
        <v>852</v>
      </c>
      <c r="G869" s="480" t="s">
        <v>967</v>
      </c>
      <c r="H869" s="7" t="s">
        <v>510</v>
      </c>
      <c r="I869" s="249">
        <v>497</v>
      </c>
      <c r="J869" s="249">
        <v>8600</v>
      </c>
      <c r="K869" s="38">
        <f>ROUND(I869*J869,0)</f>
        <v>4274200</v>
      </c>
      <c r="L869" s="191" t="s">
        <v>262</v>
      </c>
      <c r="M869" s="191" t="s">
        <v>172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IF(OR(TH!L869=TH!$U$7,M869=TH!$U$7),"x","")</f>
        <v/>
      </c>
      <c r="V869" s="52" t="str">
        <f>IF(AND(B869&gt;='IN-NX'!$P$3,B869&lt;='IN-NX'!$Q$3,'IN-NX'!$D$7=D869,OR(LEFT(L869,2)="15",AND(LEFT(M869,2)&lt;&gt;"15",LEFT(M869,2)&lt;&gt;"33"))),"x","")</f>
        <v/>
      </c>
      <c r="W869" s="52" t="str">
        <f>IF(AND(OR(LEFT(TH!L869,2)="15",LEFT(TH!M869,2)="15"),'152-CT'!$J$8=TH!F869),"x","")</f>
        <v/>
      </c>
      <c r="X869" s="52" t="str">
        <f>IF(AND(OR(LEFT(TH!L869,2)="15",LEFT(TH!M869,2)="15"),TK!$E$7=TH!F869),"x","")</f>
        <v/>
      </c>
      <c r="Y869" s="52" t="str">
        <f>IF(AND(B869&lt;=NKC!$N$8,B869&gt;=NKC!$M$8),"x","")</f>
        <v/>
      </c>
      <c r="Z869" s="769"/>
      <c r="AA869" s="587"/>
    </row>
    <row r="870" spans="1:27" ht="15.75" customHeight="1">
      <c r="A870" s="201" t="str">
        <f>IF(B870&lt;&gt;"",IF(AND(B870&gt;=_TM1,B870&lt;=_TM2,OR(TH!L870="1111",TH!M870="1111")),TH!D870,""),"")</f>
        <v/>
      </c>
      <c r="B870" s="36">
        <f t="shared" si="38"/>
        <v>10</v>
      </c>
      <c r="C870" s="188">
        <f t="shared" si="39"/>
        <v>41578</v>
      </c>
      <c r="D870" s="181" t="s">
        <v>1041</v>
      </c>
      <c r="E870" s="188">
        <v>41578</v>
      </c>
      <c r="F870" s="189" t="s">
        <v>693</v>
      </c>
      <c r="G870" s="480" t="s">
        <v>967</v>
      </c>
      <c r="H870" s="7" t="s">
        <v>510</v>
      </c>
      <c r="I870" s="249"/>
      <c r="J870" s="249"/>
      <c r="K870" s="38">
        <v>427420</v>
      </c>
      <c r="L870" s="191" t="s">
        <v>262</v>
      </c>
      <c r="M870" s="191" t="s">
        <v>425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IF(OR(TH!L870=TH!$U$7,M870=TH!$U$7),"x","")</f>
        <v/>
      </c>
      <c r="V870" s="52" t="str">
        <f>IF(AND(B870&gt;='IN-NX'!$P$3,B870&lt;='IN-NX'!$Q$3,'IN-NX'!$D$7=D870,OR(LEFT(L870,2)="15",AND(LEFT(M870,2)&lt;&gt;"15",LEFT(M870,2)&lt;&gt;"33"))),"x","")</f>
        <v/>
      </c>
      <c r="W870" s="52" t="str">
        <f>IF(AND(OR(LEFT(TH!L870,2)="15",LEFT(TH!M870,2)="15"),'152-CT'!$J$8=TH!F870),"x","")</f>
        <v/>
      </c>
      <c r="X870" s="52" t="str">
        <f>IF(AND(OR(LEFT(TH!L870,2)="15",LEFT(TH!M870,2)="15"),TK!$E$7=TH!F870),"x","")</f>
        <v/>
      </c>
      <c r="Y870" s="52" t="str">
        <f>IF(AND(B870&lt;=NKC!$N$8,B870&gt;=NKC!$M$8),"x","")</f>
        <v/>
      </c>
      <c r="Z870" s="769"/>
      <c r="AA870" s="587" t="str">
        <f>IF(VLOOKUP(H870,DS_131,1,0)&lt;&gt;"","","x")</f>
        <v/>
      </c>
    </row>
    <row r="871" spans="1:27" ht="15.75" customHeight="1">
      <c r="A871" s="201" t="str">
        <f>IF(B871&lt;&gt;"",IF(AND(B871&gt;=_TM1,B871&lt;=_TM2,OR(TH!L871="1111",TH!M871="1111")),TH!D871,""),"")</f>
        <v/>
      </c>
      <c r="B871" s="36">
        <f t="shared" si="38"/>
        <v>10</v>
      </c>
      <c r="C871" s="188">
        <f t="shared" si="39"/>
        <v>41578</v>
      </c>
      <c r="D871" s="181" t="s">
        <v>1042</v>
      </c>
      <c r="E871" s="188">
        <v>41578</v>
      </c>
      <c r="F871" s="189" t="s">
        <v>775</v>
      </c>
      <c r="G871" s="480" t="s">
        <v>968</v>
      </c>
      <c r="H871" s="190" t="s">
        <v>774</v>
      </c>
      <c r="I871" s="249">
        <v>292</v>
      </c>
      <c r="J871" s="249">
        <v>9200</v>
      </c>
      <c r="K871" s="38">
        <f>ROUND(I871*J871,0)</f>
        <v>2686400</v>
      </c>
      <c r="L871" s="191" t="s">
        <v>262</v>
      </c>
      <c r="M871" s="191" t="s">
        <v>172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IF(OR(TH!L871=TH!$U$7,M871=TH!$U$7),"x","")</f>
        <v/>
      </c>
      <c r="V871" s="52" t="str">
        <f>IF(AND(B871&gt;='IN-NX'!$P$3,B871&lt;='IN-NX'!$Q$3,'IN-NX'!$D$7=D871,OR(LEFT(L871,2)="15",AND(LEFT(M871,2)&lt;&gt;"15",LEFT(M871,2)&lt;&gt;"33"))),"x","")</f>
        <v/>
      </c>
      <c r="W871" s="52" t="str">
        <f>IF(AND(OR(LEFT(TH!L871,2)="15",LEFT(TH!M871,2)="15"),'152-CT'!$J$8=TH!F871),"x","")</f>
        <v/>
      </c>
      <c r="X871" s="52" t="str">
        <f>IF(AND(OR(LEFT(TH!L871,2)="15",LEFT(TH!M871,2)="15"),TK!$E$7=TH!F871),"x","")</f>
        <v/>
      </c>
      <c r="Y871" s="52" t="str">
        <f>IF(AND(B871&lt;=NKC!$N$8,B871&gt;=NKC!$M$8),"x","")</f>
        <v/>
      </c>
      <c r="Z871" s="769"/>
      <c r="AA871" s="587"/>
    </row>
    <row r="872" spans="1:27" ht="15.75" customHeight="1">
      <c r="A872" s="201" t="str">
        <f>IF(B872&lt;&gt;"",IF(AND(B872&gt;=_TM1,B872&lt;=_TM2,OR(TH!L872="1111",TH!M872="1111")),TH!D872,""),"")</f>
        <v/>
      </c>
      <c r="B872" s="36">
        <f t="shared" si="38"/>
        <v>10</v>
      </c>
      <c r="C872" s="188">
        <f t="shared" si="39"/>
        <v>41578</v>
      </c>
      <c r="D872" s="181" t="s">
        <v>1042</v>
      </c>
      <c r="E872" s="188">
        <v>41578</v>
      </c>
      <c r="F872" s="189" t="s">
        <v>693</v>
      </c>
      <c r="G872" s="189" t="s">
        <v>968</v>
      </c>
      <c r="H872" s="190" t="s">
        <v>774</v>
      </c>
      <c r="I872" s="249"/>
      <c r="J872" s="249"/>
      <c r="K872" s="38">
        <v>268640</v>
      </c>
      <c r="L872" s="191" t="s">
        <v>262</v>
      </c>
      <c r="M872" s="191" t="s">
        <v>425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IF(OR(TH!L872=TH!$U$7,M872=TH!$U$7),"x","")</f>
        <v/>
      </c>
      <c r="V872" s="52" t="str">
        <f>IF(AND(B872&gt;='IN-NX'!$P$3,B872&lt;='IN-NX'!$Q$3,'IN-NX'!$D$7=D872,OR(LEFT(L872,2)="15",AND(LEFT(M872,2)&lt;&gt;"15",LEFT(M872,2)&lt;&gt;"33"))),"x","")</f>
        <v/>
      </c>
      <c r="W872" s="52" t="str">
        <f>IF(AND(OR(LEFT(TH!L872,2)="15",LEFT(TH!M872,2)="15"),'152-CT'!$J$8=TH!F872),"x","")</f>
        <v/>
      </c>
      <c r="X872" s="52" t="str">
        <f>IF(AND(OR(LEFT(TH!L872,2)="15",LEFT(TH!M872,2)="15"),TK!$E$7=TH!F872),"x","")</f>
        <v/>
      </c>
      <c r="Y872" s="52" t="str">
        <f>IF(AND(B872&lt;=NKC!$N$8,B872&gt;=NKC!$M$8),"x","")</f>
        <v/>
      </c>
      <c r="Z872" s="769"/>
      <c r="AA872" s="587" t="str">
        <f>IF(VLOOKUP(H872,DS_131,1,0)&lt;&gt;"","","x")</f>
        <v/>
      </c>
    </row>
    <row r="873" spans="1:27" ht="15.75" customHeight="1">
      <c r="A873" s="201" t="str">
        <f>IF(B873&lt;&gt;"",IF(AND(B873&gt;=_TM1,B873&lt;=_TM2,OR(TH!L873="1111",TH!M873="1111")),TH!D873,""),"")</f>
        <v>T12</v>
      </c>
      <c r="B873" s="36">
        <f t="shared" si="38"/>
        <v>10</v>
      </c>
      <c r="C873" s="188">
        <f t="shared" si="39"/>
        <v>41578</v>
      </c>
      <c r="D873" s="181" t="s">
        <v>544</v>
      </c>
      <c r="E873" s="188">
        <v>41578</v>
      </c>
      <c r="F873" s="186" t="s">
        <v>337</v>
      </c>
      <c r="G873" s="189" t="s">
        <v>1314</v>
      </c>
      <c r="H873" s="190" t="s">
        <v>774</v>
      </c>
      <c r="I873" s="249"/>
      <c r="J873" s="249"/>
      <c r="K873" s="38">
        <v>13079220</v>
      </c>
      <c r="L873" s="191" t="s">
        <v>47</v>
      </c>
      <c r="M873" s="191" t="s">
        <v>262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IF(OR(TH!L873=TH!$U$7,M873=TH!$U$7),"x","")</f>
        <v/>
      </c>
      <c r="V873" s="52" t="str">
        <f>IF(AND(B873&gt;='IN-NX'!$P$3,B873&lt;='IN-NX'!$Q$3,'IN-NX'!$D$7=D873,OR(LEFT(L873,2)="15",AND(LEFT(M873,2)&lt;&gt;"15",LEFT(M873,2)&lt;&gt;"33"))),"x","")</f>
        <v/>
      </c>
      <c r="W873" s="52" t="str">
        <f>IF(AND(OR(LEFT(TH!L873,2)="15",LEFT(TH!M873,2)="15"),'152-CT'!$J$8=TH!F873),"x","")</f>
        <v/>
      </c>
      <c r="X873" s="52" t="str">
        <f>IF(AND(OR(LEFT(TH!L873,2)="15",LEFT(TH!M873,2)="15"),TK!$E$7=TH!F873),"x","")</f>
        <v/>
      </c>
      <c r="Y873" s="52" t="str">
        <f>IF(AND(B873&lt;=NKC!$N$8,B873&gt;=NKC!$M$8),"x","")</f>
        <v/>
      </c>
      <c r="Z873" s="769"/>
      <c r="AA873" s="587" t="str">
        <f>IF(VLOOKUP(H873,DS_131,1,0)&lt;&gt;"","","x")</f>
        <v/>
      </c>
    </row>
    <row r="874" spans="1:27" ht="15.75" customHeight="1">
      <c r="A874" s="201" t="str">
        <f>IF(B874&lt;&gt;"",IF(AND(B874&gt;=_TM1,B874&lt;=_TM2,OR(TH!L874="1111",TH!M874="1111")),TH!D874,""),"")</f>
        <v/>
      </c>
      <c r="B874" s="36">
        <f t="shared" si="38"/>
        <v>11</v>
      </c>
      <c r="C874" s="181">
        <f t="shared" si="39"/>
        <v>41579</v>
      </c>
      <c r="D874" s="181" t="s">
        <v>335</v>
      </c>
      <c r="E874" s="188">
        <v>41579</v>
      </c>
      <c r="F874" s="186" t="s">
        <v>337</v>
      </c>
      <c r="G874" s="597" t="s">
        <v>332</v>
      </c>
      <c r="H874" s="7" t="s">
        <v>507</v>
      </c>
      <c r="I874" s="250"/>
      <c r="J874" s="251"/>
      <c r="K874" s="38">
        <v>14856710</v>
      </c>
      <c r="L874" s="596" t="s">
        <v>24</v>
      </c>
      <c r="M874" s="596" t="s">
        <v>262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IF(OR(TH!L874=TH!$U$7,M874=TH!$U$7),"x","")</f>
        <v/>
      </c>
      <c r="V874" s="52" t="str">
        <f>IF(AND(B874&gt;='IN-NX'!$P$3,B874&lt;='IN-NX'!$Q$3,'IN-NX'!$D$7=D874,OR(LEFT(L874,2)="15",AND(LEFT(M874,2)&lt;&gt;"15",LEFT(M874,2)&lt;&gt;"33"))),"x","")</f>
        <v/>
      </c>
      <c r="W874" s="52" t="str">
        <f>IF(AND(OR(LEFT(TH!L874,2)="15",LEFT(TH!M874,2)="15"),'152-CT'!$J$8=TH!F874),"x","")</f>
        <v/>
      </c>
      <c r="X874" s="52" t="str">
        <f>IF(AND(OR(LEFT(TH!L874,2)="15",LEFT(TH!M874,2)="15"),TK!$E$7=TH!F874),"x","")</f>
        <v/>
      </c>
      <c r="Y874" s="52" t="str">
        <f>IF(AND(B874&lt;=NKC!$N$8,B874&gt;=NKC!$M$8),"x","")</f>
        <v/>
      </c>
      <c r="Z874" s="587"/>
    </row>
    <row r="875" spans="1:27" ht="15.75" customHeight="1">
      <c r="A875" s="201" t="str">
        <f>IF(B875&lt;&gt;"",IF(AND(B875&gt;=_TM1,B875&lt;=_TM2,OR(TH!L875="1111",TH!M875="1111")),TH!D875,""),"")</f>
        <v>T13</v>
      </c>
      <c r="B875" s="36">
        <f t="shared" si="38"/>
        <v>11</v>
      </c>
      <c r="C875" s="181">
        <f t="shared" si="39"/>
        <v>41580</v>
      </c>
      <c r="D875" s="181" t="s">
        <v>550</v>
      </c>
      <c r="E875" s="188">
        <v>41580</v>
      </c>
      <c r="F875" s="186" t="s">
        <v>469</v>
      </c>
      <c r="G875" s="597" t="s">
        <v>332</v>
      </c>
      <c r="H875" s="7" t="s">
        <v>364</v>
      </c>
      <c r="I875" s="249"/>
      <c r="J875" s="249"/>
      <c r="K875" s="595">
        <v>49000000</v>
      </c>
      <c r="L875" s="596" t="s">
        <v>47</v>
      </c>
      <c r="M875" s="5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IF(OR(TH!L875=TH!$U$7,M875=TH!$U$7),"x","")</f>
        <v/>
      </c>
      <c r="V875" s="52" t="str">
        <f>IF(AND(B875&gt;='IN-NX'!$P$3,B875&lt;='IN-NX'!$Q$3,'IN-NX'!$D$7=D875,OR(LEFT(L875,2)="15",AND(LEFT(M875,2)&lt;&gt;"15",LEFT(M875,2)&lt;&gt;"33"))),"x","")</f>
        <v/>
      </c>
      <c r="W875" s="52" t="str">
        <f>IF(AND(OR(LEFT(TH!L875,2)="15",LEFT(TH!M875,2)="15"),'152-CT'!$J$8=TH!F875),"x","")</f>
        <v/>
      </c>
      <c r="X875" s="52" t="str">
        <f>IF(AND(OR(LEFT(TH!L875,2)="15",LEFT(TH!M875,2)="15"),TK!$E$7=TH!F875),"x","")</f>
        <v/>
      </c>
      <c r="Y875" s="52" t="str">
        <f>IF(AND(B875&lt;=NKC!$N$8,B875&gt;=NKC!$M$8),"x","")</f>
        <v/>
      </c>
      <c r="Z875" s="587"/>
    </row>
    <row r="876" spans="1:27" ht="15.75" customHeight="1">
      <c r="A876" s="201" t="str">
        <f>IF(B876&lt;&gt;"",IF(AND(B876&gt;=_TM1,B876&lt;=_TM2,OR(TH!L876="1111",TH!M876="1111")),TH!D876,""),"")</f>
        <v/>
      </c>
      <c r="B876" s="36">
        <f t="shared" si="38"/>
        <v>11</v>
      </c>
      <c r="C876" s="188">
        <f t="shared" si="39"/>
        <v>41580</v>
      </c>
      <c r="D876" s="181" t="s">
        <v>411</v>
      </c>
      <c r="E876" s="181">
        <v>41580</v>
      </c>
      <c r="F876" s="189" t="s">
        <v>672</v>
      </c>
      <c r="G876" s="657" t="s">
        <v>673</v>
      </c>
      <c r="H876" s="190" t="s">
        <v>674</v>
      </c>
      <c r="I876" s="249">
        <v>1000</v>
      </c>
      <c r="J876" s="249">
        <v>16800</v>
      </c>
      <c r="K876" s="38">
        <f>ROUND(I876*J876,0)</f>
        <v>16800000</v>
      </c>
      <c r="L876" s="191" t="s">
        <v>156</v>
      </c>
      <c r="M876" s="191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IF(OR(TH!L876=TH!$U$7,M876=TH!$U$7),"x","")</f>
        <v/>
      </c>
      <c r="V876" s="52" t="str">
        <f>IF(AND(B876&gt;='IN-NX'!$P$3,B876&lt;='IN-NX'!$Q$3,'IN-NX'!$D$7=D876,OR(LEFT(L876,2)="15",AND(LEFT(M876,2)&lt;&gt;"15",LEFT(M876,2)&lt;&gt;"33"))),"x","")</f>
        <v/>
      </c>
      <c r="W876" s="52" t="str">
        <f>IF(AND(OR(LEFT(TH!L876,2)="15",LEFT(TH!M876,2)="15"),'152-CT'!$J$8=TH!F876),"x","")</f>
        <v/>
      </c>
      <c r="X876" s="52" t="str">
        <f>IF(AND(OR(LEFT(TH!L876,2)="15",LEFT(TH!M876,2)="15"),TK!$E$7=TH!F876),"x","")</f>
        <v/>
      </c>
      <c r="Y876" s="52" t="str">
        <f>IF(AND(B876&lt;=NKC!$N$8,B876&gt;=NKC!$M$8),"x","")</f>
        <v/>
      </c>
      <c r="Z876" s="587" t="s">
        <v>1336</v>
      </c>
    </row>
    <row r="877" spans="1:27" ht="15.75" customHeight="1">
      <c r="A877" s="201" t="str">
        <f>IF(B877&lt;&gt;"",IF(AND(B877&gt;=_TM1,B877&lt;=_TM2,OR(TH!L877="1111",TH!M877="1111")),TH!D877,""),"")</f>
        <v/>
      </c>
      <c r="B877" s="36">
        <f t="shared" si="38"/>
        <v>11</v>
      </c>
      <c r="C877" s="188">
        <f t="shared" si="39"/>
        <v>41580</v>
      </c>
      <c r="D877" s="181" t="s">
        <v>411</v>
      </c>
      <c r="E877" s="181">
        <v>41580</v>
      </c>
      <c r="F877" s="189" t="s">
        <v>557</v>
      </c>
      <c r="G877" s="657" t="s">
        <v>673</v>
      </c>
      <c r="H877" s="190" t="s">
        <v>674</v>
      </c>
      <c r="I877" s="249"/>
      <c r="J877" s="249"/>
      <c r="K877" s="38">
        <v>1680000</v>
      </c>
      <c r="L877" s="191" t="s">
        <v>9</v>
      </c>
      <c r="M877" s="191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IF(OR(TH!L877=TH!$U$7,M877=TH!$U$7),"x","")</f>
        <v/>
      </c>
      <c r="V877" s="52" t="str">
        <f>IF(AND(B877&gt;='IN-NX'!$P$3,B877&lt;='IN-NX'!$Q$3,'IN-NX'!$D$7=D877,OR(LEFT(L877,2)="15",AND(LEFT(M877,2)&lt;&gt;"15",LEFT(M877,2)&lt;&gt;"33"))),"x","")</f>
        <v/>
      </c>
      <c r="W877" s="52" t="str">
        <f>IF(AND(OR(LEFT(TH!L877,2)="15",LEFT(TH!M877,2)="15"),'152-CT'!$J$8=TH!F877),"x","")</f>
        <v/>
      </c>
      <c r="X877" s="52" t="str">
        <f>IF(AND(OR(LEFT(TH!L877,2)="15",LEFT(TH!M877,2)="15"),TK!$E$7=TH!F877),"x","")</f>
        <v/>
      </c>
      <c r="Y877" s="52" t="str">
        <f>IF(AND(B877&lt;=NKC!$N$8,B877&gt;=NKC!$M$8),"x","")</f>
        <v/>
      </c>
      <c r="Z877" s="587" t="s">
        <v>1336</v>
      </c>
    </row>
    <row r="878" spans="1:27" ht="15.75" customHeight="1">
      <c r="A878" s="201" t="str">
        <f>IF(B878&lt;&gt;"",IF(AND(B878&gt;=_TM1,B878&lt;=_TM2,OR(TH!L878="1111",TH!M878="1111")),TH!D878,""),"")</f>
        <v>C13</v>
      </c>
      <c r="B878" s="36">
        <f t="shared" si="38"/>
        <v>11</v>
      </c>
      <c r="C878" s="188">
        <f t="shared" si="39"/>
        <v>41580</v>
      </c>
      <c r="D878" s="181" t="s">
        <v>393</v>
      </c>
      <c r="E878" s="181">
        <v>41580</v>
      </c>
      <c r="F878" s="189" t="s">
        <v>367</v>
      </c>
      <c r="G878" s="657" t="s">
        <v>673</v>
      </c>
      <c r="H878" s="190" t="s">
        <v>674</v>
      </c>
      <c r="I878" s="249"/>
      <c r="J878" s="249"/>
      <c r="K878" s="38">
        <v>18480000</v>
      </c>
      <c r="L878" s="191" t="s">
        <v>8</v>
      </c>
      <c r="M878" s="191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IF(OR(TH!L878=TH!$U$7,M878=TH!$U$7),"x","")</f>
        <v/>
      </c>
      <c r="V878" s="52" t="str">
        <f>IF(AND(B878&gt;='IN-NX'!$P$3,B878&lt;='IN-NX'!$Q$3,'IN-NX'!$D$7=D878,OR(LEFT(L878,2)="15",AND(LEFT(M878,2)&lt;&gt;"15",LEFT(M878,2)&lt;&gt;"33"))),"x","")</f>
        <v/>
      </c>
      <c r="W878" s="52" t="str">
        <f>IF(AND(OR(LEFT(TH!L878,2)="15",LEFT(TH!M878,2)="15"),'152-CT'!$J$8=TH!F878),"x","")</f>
        <v/>
      </c>
      <c r="X878" s="52" t="str">
        <f>IF(AND(OR(LEFT(TH!L878,2)="15",LEFT(TH!M878,2)="15"),TK!$E$7=TH!F878),"x","")</f>
        <v/>
      </c>
      <c r="Y878" s="52" t="str">
        <f>IF(AND(B878&lt;=NKC!$N$8,B878&gt;=NKC!$M$8),"x","")</f>
        <v/>
      </c>
      <c r="Z878" s="208"/>
    </row>
    <row r="879" spans="1:27" ht="15.75" customHeight="1">
      <c r="A879" s="201" t="str">
        <f>IF(B879&lt;&gt;"",IF(AND(B879&gt;=_TM1,B879&lt;=_TM2,OR(TH!L879="1111",TH!M879="1111")),TH!D879,""),"")</f>
        <v>C14</v>
      </c>
      <c r="B879" s="36">
        <f t="shared" si="38"/>
        <v>11</v>
      </c>
      <c r="C879" s="181">
        <f t="shared" si="39"/>
        <v>41581</v>
      </c>
      <c r="D879" s="181" t="s">
        <v>394</v>
      </c>
      <c r="E879" s="188">
        <v>41581</v>
      </c>
      <c r="F879" s="186" t="s">
        <v>520</v>
      </c>
      <c r="G879" s="657" t="s">
        <v>521</v>
      </c>
      <c r="H879" s="7" t="s">
        <v>522</v>
      </c>
      <c r="I879" s="250"/>
      <c r="J879" s="251"/>
      <c r="K879" s="38">
        <v>15445455</v>
      </c>
      <c r="L879" s="596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IF(OR(TH!L879=TH!$U$7,M879=TH!$U$7),"x","")</f>
        <v>x</v>
      </c>
      <c r="V879" s="52" t="str">
        <f>IF(AND(B879&gt;='IN-NX'!$P$3,B879&lt;='IN-NX'!$Q$3,'IN-NX'!$D$7=D879,OR(LEFT(L879,2)="15",AND(LEFT(M879,2)&lt;&gt;"15",LEFT(M879,2)&lt;&gt;"33"))),"x","")</f>
        <v/>
      </c>
      <c r="W879" s="52" t="str">
        <f>IF(AND(OR(LEFT(TH!L879,2)="15",LEFT(TH!M879,2)="15"),'152-CT'!$J$8=TH!F879),"x","")</f>
        <v/>
      </c>
      <c r="X879" s="52" t="str">
        <f>IF(AND(OR(LEFT(TH!L879,2)="15",LEFT(TH!M879,2)="15"),TK!$E$7=TH!F879),"x","")</f>
        <v/>
      </c>
      <c r="Y879" s="52" t="str">
        <f>IF(AND(B879&lt;=NKC!$N$8,B879&gt;=NKC!$M$8),"x","")</f>
        <v/>
      </c>
      <c r="Z879" s="587" t="s">
        <v>1336</v>
      </c>
    </row>
    <row r="880" spans="1:27" ht="15.75" customHeight="1">
      <c r="A880" s="201" t="str">
        <f>IF(B880&lt;&gt;"",IF(AND(B880&gt;=_TM1,B880&lt;=_TM2,OR(TH!L880="1111",TH!M880="1111")),TH!D880,""),"")</f>
        <v>C14</v>
      </c>
      <c r="B880" s="36">
        <f t="shared" si="38"/>
        <v>11</v>
      </c>
      <c r="C880" s="181">
        <f t="shared" si="39"/>
        <v>41581</v>
      </c>
      <c r="D880" s="181" t="s">
        <v>394</v>
      </c>
      <c r="E880" s="188">
        <v>41581</v>
      </c>
      <c r="F880" s="186" t="s">
        <v>523</v>
      </c>
      <c r="G880" s="657" t="s">
        <v>521</v>
      </c>
      <c r="H880" s="7" t="s">
        <v>522</v>
      </c>
      <c r="I880" s="250"/>
      <c r="J880" s="251"/>
      <c r="K880" s="38">
        <v>1544545</v>
      </c>
      <c r="L880" s="596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IF(OR(TH!L880=TH!$U$7,M880=TH!$U$7),"x","")</f>
        <v/>
      </c>
      <c r="V880" s="52" t="str">
        <f>IF(AND(B880&gt;='IN-NX'!$P$3,B880&lt;='IN-NX'!$Q$3,'IN-NX'!$D$7=D880,OR(LEFT(L880,2)="15",AND(LEFT(M880,2)&lt;&gt;"15",LEFT(M880,2)&lt;&gt;"33"))),"x","")</f>
        <v/>
      </c>
      <c r="W880" s="52" t="str">
        <f>IF(AND(OR(LEFT(TH!L880,2)="15",LEFT(TH!M880,2)="15"),'152-CT'!$J$8=TH!F880),"x","")</f>
        <v/>
      </c>
      <c r="X880" s="52" t="str">
        <f>IF(AND(OR(LEFT(TH!L880,2)="15",LEFT(TH!M880,2)="15"),TK!$E$7=TH!F880),"x","")</f>
        <v/>
      </c>
      <c r="Y880" s="52" t="str">
        <f>IF(AND(B880&lt;=NKC!$N$8,B880&gt;=NKC!$M$8),"x","")</f>
        <v/>
      </c>
      <c r="Z880" s="587" t="s">
        <v>1336</v>
      </c>
    </row>
    <row r="881" spans="1:28" ht="15.75" customHeight="1">
      <c r="A881" s="201" t="str">
        <f>IF(B881&lt;&gt;"",IF(AND(B881&gt;=_TM1,B881&lt;=_TM2,OR(TH!L881="1111",TH!M881="1111")),TH!D881,""),"")</f>
        <v/>
      </c>
      <c r="B881" s="36">
        <f t="shared" si="38"/>
        <v>11</v>
      </c>
      <c r="C881" s="181">
        <f t="shared" si="39"/>
        <v>41582</v>
      </c>
      <c r="D881" s="181" t="s">
        <v>335</v>
      </c>
      <c r="E881" s="188">
        <v>41582</v>
      </c>
      <c r="F881" s="186" t="s">
        <v>337</v>
      </c>
      <c r="G881" s="597" t="s">
        <v>332</v>
      </c>
      <c r="H881" s="7" t="s">
        <v>503</v>
      </c>
      <c r="I881" s="250"/>
      <c r="J881" s="251"/>
      <c r="K881" s="38">
        <v>17671050</v>
      </c>
      <c r="L881" s="596" t="s">
        <v>24</v>
      </c>
      <c r="M881" s="596" t="s">
        <v>262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IF(OR(TH!L881=TH!$U$7,M881=TH!$U$7),"x","")</f>
        <v/>
      </c>
      <c r="V881" s="52" t="str">
        <f>IF(AND(B881&gt;='IN-NX'!$P$3,B881&lt;='IN-NX'!$Q$3,'IN-NX'!$D$7=D881,OR(LEFT(L881,2)="15",AND(LEFT(M881,2)&lt;&gt;"15",LEFT(M881,2)&lt;&gt;"33"))),"x","")</f>
        <v/>
      </c>
      <c r="W881" s="52" t="str">
        <f>IF(AND(OR(LEFT(TH!L881,2)="15",LEFT(TH!M881,2)="15"),'152-CT'!$J$8=TH!F881),"x","")</f>
        <v/>
      </c>
      <c r="X881" s="52" t="str">
        <f>IF(AND(OR(LEFT(TH!L881,2)="15",LEFT(TH!M881,2)="15"),TK!$E$7=TH!F881),"x","")</f>
        <v/>
      </c>
      <c r="Y881" s="52" t="str">
        <f>IF(AND(B881&lt;=NKC!$N$8,B881&gt;=NKC!$M$8),"x","")</f>
        <v/>
      </c>
      <c r="Z881" s="587"/>
    </row>
    <row r="882" spans="1:28" ht="15.75" customHeight="1">
      <c r="A882" s="201" t="str">
        <f>IF(B882&lt;&gt;"",IF(AND(B882&gt;=_TM1,B882&lt;=_TM2,OR(TH!L882="1111",TH!M882="1111")),TH!D882,""),"")</f>
        <v/>
      </c>
      <c r="B882" s="36">
        <f t="shared" si="38"/>
        <v>11</v>
      </c>
      <c r="C882" s="188">
        <f t="shared" si="39"/>
        <v>41582</v>
      </c>
      <c r="D882" s="181" t="s">
        <v>412</v>
      </c>
      <c r="E882" s="181">
        <v>41582</v>
      </c>
      <c r="F882" s="189" t="s">
        <v>675</v>
      </c>
      <c r="G882" s="657" t="s">
        <v>676</v>
      </c>
      <c r="H882" s="190" t="s">
        <v>674</v>
      </c>
      <c r="I882" s="249">
        <v>1000</v>
      </c>
      <c r="J882" s="249">
        <v>9500</v>
      </c>
      <c r="K882" s="38">
        <f>ROUND(I882*J882,0)</f>
        <v>9500000</v>
      </c>
      <c r="L882" s="191" t="s">
        <v>156</v>
      </c>
      <c r="M882" s="191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IF(OR(TH!L882=TH!$U$7,M882=TH!$U$7),"x","")</f>
        <v/>
      </c>
      <c r="V882" s="52" t="str">
        <f>IF(AND(B882&gt;='IN-NX'!$P$3,B882&lt;='IN-NX'!$Q$3,'IN-NX'!$D$7=D882,OR(LEFT(L882,2)="15",AND(LEFT(M882,2)&lt;&gt;"15",LEFT(M882,2)&lt;&gt;"33"))),"x","")</f>
        <v/>
      </c>
      <c r="W882" s="52" t="str">
        <f>IF(AND(OR(LEFT(TH!L882,2)="15",LEFT(TH!M882,2)="15"),'152-CT'!$J$8=TH!F882),"x","")</f>
        <v/>
      </c>
      <c r="X882" s="52" t="str">
        <f>IF(AND(OR(LEFT(TH!L882,2)="15",LEFT(TH!M882,2)="15"),TK!$E$7=TH!F882),"x","")</f>
        <v/>
      </c>
      <c r="Y882" s="52" t="str">
        <f>IF(AND(B882&lt;=NKC!$N$8,B882&gt;=NKC!$M$8),"x","")</f>
        <v/>
      </c>
      <c r="Z882" s="587" t="s">
        <v>1336</v>
      </c>
    </row>
    <row r="883" spans="1:28" ht="15.75" customHeight="1">
      <c r="A883" s="201" t="str">
        <f>IF(B883&lt;&gt;"",IF(AND(B883&gt;=_TM1,B883&lt;=_TM2,OR(TH!L883="1111",TH!M883="1111")),TH!D883,""),"")</f>
        <v/>
      </c>
      <c r="B883" s="36">
        <f t="shared" ref="B883:B943" si="40">IF(C883&lt;&gt;"",MONTH(C883),"")</f>
        <v>11</v>
      </c>
      <c r="C883" s="188">
        <f t="shared" si="39"/>
        <v>41582</v>
      </c>
      <c r="D883" s="181" t="s">
        <v>412</v>
      </c>
      <c r="E883" s="181">
        <v>41582</v>
      </c>
      <c r="F883" s="189" t="s">
        <v>677</v>
      </c>
      <c r="G883" s="657" t="s">
        <v>676</v>
      </c>
      <c r="H883" s="190" t="s">
        <v>674</v>
      </c>
      <c r="I883" s="249">
        <v>800</v>
      </c>
      <c r="J883" s="249">
        <v>9000</v>
      </c>
      <c r="K883" s="38">
        <f>ROUND(I883*J883,0)</f>
        <v>7200000</v>
      </c>
      <c r="L883" s="191" t="s">
        <v>156</v>
      </c>
      <c r="M883" s="191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IF(OR(TH!L883=TH!$U$7,M883=TH!$U$7),"x","")</f>
        <v/>
      </c>
      <c r="V883" s="52" t="str">
        <f>IF(AND(B883&gt;='IN-NX'!$P$3,B883&lt;='IN-NX'!$Q$3,'IN-NX'!$D$7=D883,OR(LEFT(L883,2)="15",AND(LEFT(M883,2)&lt;&gt;"15",LEFT(M883,2)&lt;&gt;"33"))),"x","")</f>
        <v/>
      </c>
      <c r="W883" s="52" t="str">
        <f>IF(AND(OR(LEFT(TH!L883,2)="15",LEFT(TH!M883,2)="15"),'152-CT'!$J$8=TH!F883),"x","")</f>
        <v/>
      </c>
      <c r="X883" s="52" t="str">
        <f>IF(AND(OR(LEFT(TH!L883,2)="15",LEFT(TH!M883,2)="15"),TK!$E$7=TH!F883),"x","")</f>
        <v/>
      </c>
      <c r="Y883" s="52" t="str">
        <f>IF(AND(B883&lt;=NKC!$N$8,B883&gt;=NKC!$M$8),"x","")</f>
        <v/>
      </c>
      <c r="Z883" s="587" t="s">
        <v>1336</v>
      </c>
    </row>
    <row r="884" spans="1:28" ht="15.75" customHeight="1">
      <c r="A884" s="201" t="str">
        <f>IF(B884&lt;&gt;"",IF(AND(B884&gt;=_TM1,B884&lt;=_TM2,OR(TH!L884="1111",TH!M884="1111")),TH!D884,""),"")</f>
        <v/>
      </c>
      <c r="B884" s="36">
        <f t="shared" si="40"/>
        <v>11</v>
      </c>
      <c r="C884" s="188">
        <f t="shared" si="39"/>
        <v>41582</v>
      </c>
      <c r="D884" s="181" t="s">
        <v>412</v>
      </c>
      <c r="E884" s="181">
        <v>41582</v>
      </c>
      <c r="F884" s="189" t="s">
        <v>557</v>
      </c>
      <c r="G884" s="657" t="s">
        <v>676</v>
      </c>
      <c r="H884" s="190" t="s">
        <v>674</v>
      </c>
      <c r="I884" s="249"/>
      <c r="J884" s="249"/>
      <c r="K884" s="38">
        <v>1670000</v>
      </c>
      <c r="L884" s="191" t="s">
        <v>9</v>
      </c>
      <c r="M884" s="191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IF(OR(TH!L884=TH!$U$7,M884=TH!$U$7),"x","")</f>
        <v/>
      </c>
      <c r="V884" s="52" t="str">
        <f>IF(AND(B884&gt;='IN-NX'!$P$3,B884&lt;='IN-NX'!$Q$3,'IN-NX'!$D$7=D884,OR(LEFT(L884,2)="15",AND(LEFT(M884,2)&lt;&gt;"15",LEFT(M884,2)&lt;&gt;"33"))),"x","")</f>
        <v/>
      </c>
      <c r="W884" s="52" t="str">
        <f>IF(AND(OR(LEFT(TH!L884,2)="15",LEFT(TH!M884,2)="15"),'152-CT'!$J$8=TH!F884),"x","")</f>
        <v/>
      </c>
      <c r="X884" s="52" t="str">
        <f>IF(AND(OR(LEFT(TH!L884,2)="15",LEFT(TH!M884,2)="15"),TK!$E$7=TH!F884),"x","")</f>
        <v/>
      </c>
      <c r="Y884" s="52" t="str">
        <f>IF(AND(B884&lt;=NKC!$N$8,B884&gt;=NKC!$M$8),"x","")</f>
        <v/>
      </c>
      <c r="Z884" s="587" t="s">
        <v>1336</v>
      </c>
    </row>
    <row r="885" spans="1:28" ht="15.75" customHeight="1">
      <c r="A885" s="201" t="str">
        <f>IF(B885&lt;&gt;"",IF(AND(B885&gt;=_TM1,B885&lt;=_TM2,OR(TH!L885="1111",TH!M885="1111")),TH!D885,""),"")</f>
        <v>C15</v>
      </c>
      <c r="B885" s="36">
        <f t="shared" si="40"/>
        <v>11</v>
      </c>
      <c r="C885" s="188">
        <f t="shared" si="39"/>
        <v>41582</v>
      </c>
      <c r="D885" s="181" t="s">
        <v>395</v>
      </c>
      <c r="E885" s="181">
        <v>41582</v>
      </c>
      <c r="F885" s="189" t="s">
        <v>367</v>
      </c>
      <c r="G885" s="657" t="s">
        <v>676</v>
      </c>
      <c r="H885" s="190" t="s">
        <v>674</v>
      </c>
      <c r="I885" s="249"/>
      <c r="J885" s="249"/>
      <c r="K885" s="38">
        <v>18370000</v>
      </c>
      <c r="L885" s="191" t="s">
        <v>8</v>
      </c>
      <c r="M885" s="191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IF(OR(TH!L885=TH!$U$7,M885=TH!$U$7),"x","")</f>
        <v/>
      </c>
      <c r="V885" s="52" t="str">
        <f>IF(AND(B885&gt;='IN-NX'!$P$3,B885&lt;='IN-NX'!$Q$3,'IN-NX'!$D$7=D885,OR(LEFT(L885,2)="15",AND(LEFT(M885,2)&lt;&gt;"15",LEFT(M885,2)&lt;&gt;"33"))),"x","")</f>
        <v/>
      </c>
      <c r="W885" s="52" t="str">
        <f>IF(AND(OR(LEFT(TH!L885,2)="15",LEFT(TH!M885,2)="15"),'152-CT'!$J$8=TH!F885),"x","")</f>
        <v/>
      </c>
      <c r="X885" s="52" t="str">
        <f>IF(AND(OR(LEFT(TH!L885,2)="15",LEFT(TH!M885,2)="15"),TK!$E$7=TH!F885),"x","")</f>
        <v/>
      </c>
      <c r="Y885" s="52" t="str">
        <f>IF(AND(B885&lt;=NKC!$N$8,B885&gt;=NKC!$M$8),"x","")</f>
        <v/>
      </c>
      <c r="Z885" s="208"/>
    </row>
    <row r="886" spans="1:28" ht="15.75" customHeight="1">
      <c r="A886" s="201" t="str">
        <f>IF(B886&lt;&gt;"",IF(AND(B886&gt;=_TM1,B886&lt;=_TM2,OR(TH!L886="1111",TH!M886="1111")),TH!D886,""),"")</f>
        <v/>
      </c>
      <c r="B886" s="36">
        <f t="shared" si="40"/>
        <v>11</v>
      </c>
      <c r="C886" s="188">
        <f t="shared" si="39"/>
        <v>41582</v>
      </c>
      <c r="D886" s="181" t="s">
        <v>1043</v>
      </c>
      <c r="E886" s="188">
        <v>41582</v>
      </c>
      <c r="F886" s="189" t="s">
        <v>784</v>
      </c>
      <c r="G886" s="480" t="s">
        <v>969</v>
      </c>
      <c r="H886" s="7" t="s">
        <v>1079</v>
      </c>
      <c r="I886" s="249">
        <v>500</v>
      </c>
      <c r="J886" s="249">
        <v>17300</v>
      </c>
      <c r="K886" s="38">
        <f>ROUND(I886*J886,0)</f>
        <v>8650000</v>
      </c>
      <c r="L886" s="191" t="s">
        <v>262</v>
      </c>
      <c r="M886" s="191" t="s">
        <v>172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IF(OR(TH!L886=TH!$U$7,M886=TH!$U$7),"x","")</f>
        <v/>
      </c>
      <c r="V886" s="52" t="str">
        <f>IF(AND(B886&gt;='IN-NX'!$P$3,B886&lt;='IN-NX'!$Q$3,'IN-NX'!$D$7=D886,OR(LEFT(L886,2)="15",AND(LEFT(M886,2)&lt;&gt;"15",LEFT(M886,2)&lt;&gt;"33"))),"x","")</f>
        <v/>
      </c>
      <c r="W886" s="52" t="str">
        <f>IF(AND(OR(LEFT(TH!L886,2)="15",LEFT(TH!M886,2)="15"),'152-CT'!$J$8=TH!F886),"x","")</f>
        <v/>
      </c>
      <c r="X886" s="52" t="str">
        <f>IF(AND(OR(LEFT(TH!L886,2)="15",LEFT(TH!M886,2)="15"),TK!$E$7=TH!F886),"x","")</f>
        <v/>
      </c>
      <c r="Y886" s="52" t="str">
        <f>IF(AND(B886&lt;=NKC!$N$8,B886&gt;=NKC!$M$8),"x","")</f>
        <v/>
      </c>
      <c r="Z886" s="769"/>
      <c r="AA886" s="587"/>
    </row>
    <row r="887" spans="1:28" ht="15.75" customHeight="1">
      <c r="A887" s="201" t="str">
        <f>IF(B887&lt;&gt;"",IF(AND(B887&gt;=_TM1,B887&lt;=_TM2,OR(TH!L887="1111",TH!M887="1111")),TH!D887,""),"")</f>
        <v/>
      </c>
      <c r="B887" s="36">
        <f t="shared" si="40"/>
        <v>11</v>
      </c>
      <c r="C887" s="188">
        <f t="shared" ref="C887:C946" si="41">E887</f>
        <v>41582</v>
      </c>
      <c r="D887" s="181" t="s">
        <v>1043</v>
      </c>
      <c r="E887" s="188">
        <v>41582</v>
      </c>
      <c r="F887" s="189" t="s">
        <v>786</v>
      </c>
      <c r="G887" s="480" t="s">
        <v>969</v>
      </c>
      <c r="H887" s="7" t="s">
        <v>1079</v>
      </c>
      <c r="I887" s="249">
        <v>1000</v>
      </c>
      <c r="J887" s="249">
        <v>1500</v>
      </c>
      <c r="K887" s="38">
        <f>ROUND(I887*J887,0)</f>
        <v>1500000</v>
      </c>
      <c r="L887" s="191" t="s">
        <v>262</v>
      </c>
      <c r="M887" s="191" t="s">
        <v>172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IF(OR(TH!L887=TH!$U$7,M887=TH!$U$7),"x","")</f>
        <v/>
      </c>
      <c r="V887" s="52" t="str">
        <f>IF(AND(B887&gt;='IN-NX'!$P$3,B887&lt;='IN-NX'!$Q$3,'IN-NX'!$D$7=D887,OR(LEFT(L887,2)="15",AND(LEFT(M887,2)&lt;&gt;"15",LEFT(M887,2)&lt;&gt;"33"))),"x","")</f>
        <v/>
      </c>
      <c r="W887" s="52" t="str">
        <f>IF(AND(OR(LEFT(TH!L887,2)="15",LEFT(TH!M887,2)="15"),'152-CT'!$J$8=TH!F887),"x","")</f>
        <v/>
      </c>
      <c r="X887" s="52" t="str">
        <f>IF(AND(OR(LEFT(TH!L887,2)="15",LEFT(TH!M887,2)="15"),TK!$E$7=TH!F887),"x","")</f>
        <v/>
      </c>
      <c r="Y887" s="52" t="str">
        <f>IF(AND(B887&lt;=NKC!$N$8,B887&gt;=NKC!$M$8),"x","")</f>
        <v/>
      </c>
      <c r="AA887" s="587"/>
    </row>
    <row r="888" spans="1:28" ht="15.75" customHeight="1">
      <c r="A888" s="201" t="str">
        <f>IF(B888&lt;&gt;"",IF(AND(B888&gt;=_TM1,B888&lt;=_TM2,OR(TH!L888="1111",TH!M888="1111")),TH!D888,""),"")</f>
        <v/>
      </c>
      <c r="B888" s="36">
        <f t="shared" si="40"/>
        <v>11</v>
      </c>
      <c r="C888" s="188">
        <f t="shared" si="41"/>
        <v>41582</v>
      </c>
      <c r="D888" s="181" t="s">
        <v>1043</v>
      </c>
      <c r="E888" s="188">
        <v>41582</v>
      </c>
      <c r="F888" s="189" t="s">
        <v>693</v>
      </c>
      <c r="G888" s="480" t="s">
        <v>969</v>
      </c>
      <c r="H888" s="7" t="s">
        <v>1079</v>
      </c>
      <c r="I888" s="249"/>
      <c r="J888" s="249"/>
      <c r="K888" s="38">
        <v>1015000</v>
      </c>
      <c r="L888" s="191" t="s">
        <v>262</v>
      </c>
      <c r="M888" s="191" t="s">
        <v>425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IF(OR(TH!L888=TH!$U$7,M888=TH!$U$7),"x","")</f>
        <v/>
      </c>
      <c r="V888" s="52" t="str">
        <f>IF(AND(B888&gt;='IN-NX'!$P$3,B888&lt;='IN-NX'!$Q$3,'IN-NX'!$D$7=D888,OR(LEFT(L888,2)="15",AND(LEFT(M888,2)&lt;&gt;"15",LEFT(M888,2)&lt;&gt;"33"))),"x","")</f>
        <v/>
      </c>
      <c r="W888" s="52" t="str">
        <f>IF(AND(OR(LEFT(TH!L888,2)="15",LEFT(TH!M888,2)="15"),'152-CT'!$J$8=TH!F888),"x","")</f>
        <v/>
      </c>
      <c r="X888" s="52" t="str">
        <f>IF(AND(OR(LEFT(TH!L888,2)="15",LEFT(TH!M888,2)="15"),TK!$E$7=TH!F888),"x","")</f>
        <v/>
      </c>
      <c r="Y888" s="52" t="str">
        <f>IF(AND(B888&lt;=NKC!$N$8,B888&gt;=NKC!$M$8),"x","")</f>
        <v/>
      </c>
      <c r="AA888" s="587" t="str">
        <f>IF(VLOOKUP(H888,DS_131,1,0)&lt;&gt;"","","x")</f>
        <v/>
      </c>
    </row>
    <row r="889" spans="1:28" ht="15.75" customHeight="1">
      <c r="A889" s="201" t="str">
        <f>IF(B889&lt;&gt;"",IF(AND(B889&gt;=_TM1,B889&lt;=_TM2,OR(TH!L889="1111",TH!M889="1111")),TH!D889,""),"")</f>
        <v>T14</v>
      </c>
      <c r="B889" s="36">
        <f t="shared" si="40"/>
        <v>11</v>
      </c>
      <c r="C889" s="188">
        <f t="shared" si="41"/>
        <v>41582</v>
      </c>
      <c r="D889" s="181" t="s">
        <v>1267</v>
      </c>
      <c r="E889" s="188">
        <v>41582</v>
      </c>
      <c r="F889" s="186" t="s">
        <v>337</v>
      </c>
      <c r="G889" s="480" t="s">
        <v>1328</v>
      </c>
      <c r="H889" s="7" t="s">
        <v>1079</v>
      </c>
      <c r="I889" s="249"/>
      <c r="J889" s="249"/>
      <c r="K889" s="38">
        <v>19233720</v>
      </c>
      <c r="L889" s="191" t="s">
        <v>47</v>
      </c>
      <c r="M889" s="191" t="s">
        <v>262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IF(OR(TH!L889=TH!$U$7,M889=TH!$U$7),"x","")</f>
        <v/>
      </c>
      <c r="V889" s="52" t="str">
        <f>IF(AND(B889&gt;='IN-NX'!$P$3,B889&lt;='IN-NX'!$Q$3,'IN-NX'!$D$7=D889,OR(LEFT(L889,2)="15",AND(LEFT(M889,2)&lt;&gt;"15",LEFT(M889,2)&lt;&gt;"33"))),"x","")</f>
        <v/>
      </c>
      <c r="W889" s="52" t="str">
        <f>IF(AND(OR(LEFT(TH!L889,2)="15",LEFT(TH!M889,2)="15"),'152-CT'!$J$8=TH!F889),"x","")</f>
        <v/>
      </c>
      <c r="X889" s="52" t="str">
        <f>IF(AND(OR(LEFT(TH!L889,2)="15",LEFT(TH!M889,2)="15"),TK!$E$7=TH!F889),"x","")</f>
        <v/>
      </c>
      <c r="Y889" s="52" t="str">
        <f>IF(AND(B889&lt;=NKC!$N$8,B889&gt;=NKC!$M$8),"x","")</f>
        <v/>
      </c>
      <c r="AA889" s="587" t="str">
        <f>IF(VLOOKUP(H889,DS_131,1,0)&lt;&gt;"","","x")</f>
        <v/>
      </c>
    </row>
    <row r="890" spans="1:28" ht="15.75" customHeight="1">
      <c r="A890" s="201" t="str">
        <f>IF(B890&lt;&gt;"",IF(AND(B890&gt;=_TM1,B890&lt;=_TM2,OR(TH!L890="1111",TH!M890="1111")),TH!D890,""),"")</f>
        <v/>
      </c>
      <c r="B890" s="36">
        <f t="shared" si="40"/>
        <v>11</v>
      </c>
      <c r="C890" s="181">
        <f t="shared" si="41"/>
        <v>41583</v>
      </c>
      <c r="D890" s="181" t="s">
        <v>335</v>
      </c>
      <c r="E890" s="181">
        <v>41583</v>
      </c>
      <c r="F890" s="186" t="s">
        <v>337</v>
      </c>
      <c r="G890" s="597" t="s">
        <v>332</v>
      </c>
      <c r="H890" s="7" t="s">
        <v>470</v>
      </c>
      <c r="I890" s="249"/>
      <c r="J890" s="249"/>
      <c r="K890" s="38">
        <v>9604386</v>
      </c>
      <c r="L890" s="596" t="s">
        <v>24</v>
      </c>
      <c r="M890" s="596" t="s">
        <v>262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IF(OR(TH!L890=TH!$U$7,M890=TH!$U$7),"x","")</f>
        <v/>
      </c>
      <c r="V890" s="52" t="str">
        <f>IF(AND(B890&gt;='IN-NX'!$P$3,B890&lt;='IN-NX'!$Q$3,'IN-NX'!$D$7=D890,OR(LEFT(L890,2)="15",AND(LEFT(M890,2)&lt;&gt;"15",LEFT(M890,2)&lt;&gt;"33"))),"x","")</f>
        <v/>
      </c>
      <c r="W890" s="52" t="str">
        <f>IF(AND(OR(LEFT(TH!L890,2)="15",LEFT(TH!M890,2)="15"),'152-CT'!$J$8=TH!F890),"x","")</f>
        <v/>
      </c>
      <c r="X890" s="52" t="str">
        <f>IF(AND(OR(LEFT(TH!L890,2)="15",LEFT(TH!M890,2)="15"),TK!$E$7=TH!F890),"x","")</f>
        <v/>
      </c>
      <c r="Y890" s="52" t="str">
        <f>IF(AND(B890&lt;=NKC!$N$8,B890&gt;=NKC!$M$8),"x","")</f>
        <v/>
      </c>
      <c r="Z890" s="587"/>
    </row>
    <row r="891" spans="1:28" ht="15.75" customHeight="1">
      <c r="A891" s="201" t="str">
        <f>IF(B891&lt;&gt;"",IF(AND(B891&gt;=_TM1,B891&lt;=_TM2,OR(TH!L891="1111",TH!M891="1111")),TH!D891,""),"")</f>
        <v>T15</v>
      </c>
      <c r="B891" s="36">
        <f t="shared" si="40"/>
        <v>11</v>
      </c>
      <c r="C891" s="181">
        <f t="shared" si="41"/>
        <v>41583</v>
      </c>
      <c r="D891" s="181" t="s">
        <v>1269</v>
      </c>
      <c r="E891" s="188">
        <v>41583</v>
      </c>
      <c r="F891" s="186" t="s">
        <v>469</v>
      </c>
      <c r="G891" s="597" t="s">
        <v>332</v>
      </c>
      <c r="H891" s="7" t="s">
        <v>364</v>
      </c>
      <c r="I891" s="249"/>
      <c r="J891" s="249"/>
      <c r="K891" s="38">
        <v>27500000</v>
      </c>
      <c r="L891" s="596" t="s">
        <v>47</v>
      </c>
      <c r="M891" s="5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IF(OR(TH!L891=TH!$U$7,M891=TH!$U$7),"x","")</f>
        <v/>
      </c>
      <c r="V891" s="52" t="str">
        <f>IF(AND(B891&gt;='IN-NX'!$P$3,B891&lt;='IN-NX'!$Q$3,'IN-NX'!$D$7=D891,OR(LEFT(L891,2)="15",AND(LEFT(M891,2)&lt;&gt;"15",LEFT(M891,2)&lt;&gt;"33"))),"x","")</f>
        <v/>
      </c>
      <c r="W891" s="52" t="str">
        <f>IF(AND(OR(LEFT(TH!L891,2)="15",LEFT(TH!M891,2)="15"),'152-CT'!$J$8=TH!F891),"x","")</f>
        <v/>
      </c>
      <c r="X891" s="52" t="str">
        <f>IF(AND(OR(LEFT(TH!L891,2)="15",LEFT(TH!M891,2)="15"),TK!$E$7=TH!F891),"x","")</f>
        <v/>
      </c>
      <c r="Y891" s="52" t="str">
        <f>IF(AND(B891&lt;=NKC!$N$8,B891&gt;=NKC!$M$8),"x","")</f>
        <v/>
      </c>
      <c r="Z891" s="587"/>
    </row>
    <row r="892" spans="1:28" ht="15.75" customHeight="1">
      <c r="A892" s="201" t="str">
        <f>IF(B892&lt;&gt;"",IF(AND(B892&gt;=_TM1,B892&lt;=_TM2,OR(TH!L892="1111",TH!M892="1111")),TH!D892,""),"")</f>
        <v/>
      </c>
      <c r="B892" s="36">
        <f t="shared" si="40"/>
        <v>11</v>
      </c>
      <c r="C892" s="188">
        <f t="shared" si="41"/>
        <v>41583</v>
      </c>
      <c r="D892" s="181" t="s">
        <v>1044</v>
      </c>
      <c r="E892" s="188">
        <v>41583</v>
      </c>
      <c r="F892" s="189" t="s">
        <v>970</v>
      </c>
      <c r="G892" s="480" t="s">
        <v>971</v>
      </c>
      <c r="H892" s="7" t="s">
        <v>511</v>
      </c>
      <c r="I892" s="249">
        <v>1005</v>
      </c>
      <c r="J892" s="249">
        <v>5570</v>
      </c>
      <c r="K892" s="38">
        <f>ROUND(I892*J892,0)</f>
        <v>5597850</v>
      </c>
      <c r="L892" s="191" t="s">
        <v>262</v>
      </c>
      <c r="M892" s="191" t="s">
        <v>172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IF(OR(TH!L892=TH!$U$7,M892=TH!$U$7),"x","")</f>
        <v/>
      </c>
      <c r="V892" s="52" t="str">
        <f>IF(AND(B892&gt;='IN-NX'!$P$3,B892&lt;='IN-NX'!$Q$3,'IN-NX'!$D$7=D892,OR(LEFT(L892,2)="15",AND(LEFT(M892,2)&lt;&gt;"15",LEFT(M892,2)&lt;&gt;"33"))),"x","")</f>
        <v/>
      </c>
      <c r="W892" s="52" t="str">
        <f>IF(AND(OR(LEFT(TH!L892,2)="15",LEFT(TH!M892,2)="15"),'152-CT'!$J$8=TH!F892),"x","")</f>
        <v/>
      </c>
      <c r="X892" s="52" t="str">
        <f>IF(AND(OR(LEFT(TH!L892,2)="15",LEFT(TH!M892,2)="15"),TK!$E$7=TH!F892),"x","")</f>
        <v/>
      </c>
      <c r="Y892" s="52" t="str">
        <f>IF(AND(B892&lt;=NKC!$N$8,B892&gt;=NKC!$M$8),"x","")</f>
        <v/>
      </c>
      <c r="AA892" s="587"/>
    </row>
    <row r="893" spans="1:28" ht="15.75" customHeight="1">
      <c r="A893" s="201" t="str">
        <f>IF(B893&lt;&gt;"",IF(AND(B893&gt;=_TM1,B893&lt;=_TM2,OR(TH!L893="1111",TH!M893="1111")),TH!D893,""),"")</f>
        <v/>
      </c>
      <c r="B893" s="36">
        <f t="shared" si="40"/>
        <v>11</v>
      </c>
      <c r="C893" s="188">
        <f t="shared" si="41"/>
        <v>41583</v>
      </c>
      <c r="D893" s="181" t="s">
        <v>1044</v>
      </c>
      <c r="E893" s="188">
        <v>41583</v>
      </c>
      <c r="F893" s="189" t="s">
        <v>693</v>
      </c>
      <c r="G893" s="480" t="s">
        <v>971</v>
      </c>
      <c r="H893" s="7" t="s">
        <v>511</v>
      </c>
      <c r="I893" s="249"/>
      <c r="J893" s="249"/>
      <c r="K893" s="38">
        <v>559785</v>
      </c>
      <c r="L893" s="191" t="s">
        <v>262</v>
      </c>
      <c r="M893" s="191" t="s">
        <v>425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IF(OR(TH!L893=TH!$U$7,M893=TH!$U$7),"x","")</f>
        <v/>
      </c>
      <c r="V893" s="52" t="str">
        <f>IF(AND(B893&gt;='IN-NX'!$P$3,B893&lt;='IN-NX'!$Q$3,'IN-NX'!$D$7=D893,OR(LEFT(L893,2)="15",AND(LEFT(M893,2)&lt;&gt;"15",LEFT(M893,2)&lt;&gt;"33"))),"x","")</f>
        <v/>
      </c>
      <c r="W893" s="52" t="str">
        <f>IF(AND(OR(LEFT(TH!L893,2)="15",LEFT(TH!M893,2)="15"),'152-CT'!$J$8=TH!F893),"x","")</f>
        <v/>
      </c>
      <c r="X893" s="52" t="str">
        <f>IF(AND(OR(LEFT(TH!L893,2)="15",LEFT(TH!M893,2)="15"),TK!$E$7=TH!F893),"x","")</f>
        <v/>
      </c>
      <c r="Y893" s="52" t="str">
        <f>IF(AND(B893&lt;=NKC!$N$8,B893&gt;=NKC!$M$8),"x","")</f>
        <v/>
      </c>
      <c r="AA893" s="587" t="str">
        <f>IF(VLOOKUP(H893,DS_131,1,0)&lt;&gt;"","","x")</f>
        <v/>
      </c>
    </row>
    <row r="894" spans="1:28" ht="15.75" customHeight="1">
      <c r="A894" s="201" t="str">
        <f>IF(B894&lt;&gt;"",IF(AND(B894&gt;=_TM1,B894&lt;=_TM2,OR(TH!L894="1111",TH!M894="1111")),TH!D894,""),"")</f>
        <v/>
      </c>
      <c r="B894" s="36">
        <f t="shared" si="40"/>
        <v>11</v>
      </c>
      <c r="C894" s="188">
        <f t="shared" si="41"/>
        <v>41584</v>
      </c>
      <c r="D894" s="181" t="s">
        <v>1045</v>
      </c>
      <c r="E894" s="188">
        <v>41584</v>
      </c>
      <c r="F894" s="189" t="s">
        <v>828</v>
      </c>
      <c r="G894" s="480" t="s">
        <v>972</v>
      </c>
      <c r="H894" s="7" t="s">
        <v>427</v>
      </c>
      <c r="I894" s="249">
        <v>995</v>
      </c>
      <c r="J894" s="249">
        <v>19200</v>
      </c>
      <c r="K894" s="38">
        <f>ROUND(I894*J894,0)</f>
        <v>19104000</v>
      </c>
      <c r="L894" s="191" t="s">
        <v>262</v>
      </c>
      <c r="M894" s="191" t="s">
        <v>172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IF(OR(TH!L894=TH!$U$7,M894=TH!$U$7),"x","")</f>
        <v/>
      </c>
      <c r="V894" s="52" t="str">
        <f>IF(AND(B894&gt;='IN-NX'!$P$3,B894&lt;='IN-NX'!$Q$3,'IN-NX'!$D$7=D894,OR(LEFT(L894,2)="15",AND(LEFT(M894,2)&lt;&gt;"15",LEFT(M894,2)&lt;&gt;"33"))),"x","")</f>
        <v/>
      </c>
      <c r="W894" s="52" t="str">
        <f>IF(AND(OR(LEFT(TH!L894,2)="15",LEFT(TH!M894,2)="15"),'152-CT'!$J$8=TH!F894),"x","")</f>
        <v/>
      </c>
      <c r="X894" s="52" t="str">
        <f>IF(AND(OR(LEFT(TH!L894,2)="15",LEFT(TH!M894,2)="15"),TK!$E$7=TH!F894),"x","")</f>
        <v/>
      </c>
      <c r="Y894" s="52" t="str">
        <f>IF(AND(B894&lt;=NKC!$N$8,B894&gt;=NKC!$M$8),"x","")</f>
        <v/>
      </c>
      <c r="AA894" s="587"/>
    </row>
    <row r="895" spans="1:28" ht="15.75" customHeight="1">
      <c r="A895" s="201" t="str">
        <f>IF(B895&lt;&gt;"",IF(AND(B895&gt;=_TM1,B895&lt;=_TM2,OR(TH!L895="1111",TH!M895="1111")),TH!D895,""),"")</f>
        <v/>
      </c>
      <c r="B895" s="36">
        <f t="shared" si="40"/>
        <v>11</v>
      </c>
      <c r="C895" s="188">
        <f t="shared" si="41"/>
        <v>41584</v>
      </c>
      <c r="D895" s="181" t="s">
        <v>1045</v>
      </c>
      <c r="E895" s="188">
        <v>41584</v>
      </c>
      <c r="F895" s="189" t="s">
        <v>693</v>
      </c>
      <c r="G895" s="480" t="s">
        <v>972</v>
      </c>
      <c r="H895" s="7" t="s">
        <v>427</v>
      </c>
      <c r="I895" s="249"/>
      <c r="J895" s="249"/>
      <c r="K895" s="38">
        <v>1910400</v>
      </c>
      <c r="L895" s="191" t="s">
        <v>262</v>
      </c>
      <c r="M895" s="191" t="s">
        <v>425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IF(OR(TH!L895=TH!$U$7,M895=TH!$U$7),"x","")</f>
        <v/>
      </c>
      <c r="V895" s="52" t="str">
        <f>IF(AND(B895&gt;='IN-NX'!$P$3,B895&lt;='IN-NX'!$Q$3,'IN-NX'!$D$7=D895,OR(LEFT(L895,2)="15",AND(LEFT(M895,2)&lt;&gt;"15",LEFT(M895,2)&lt;&gt;"33"))),"x","")</f>
        <v/>
      </c>
      <c r="W895" s="52" t="str">
        <f>IF(AND(OR(LEFT(TH!L895,2)="15",LEFT(TH!M895,2)="15"),'152-CT'!$J$8=TH!F895),"x","")</f>
        <v/>
      </c>
      <c r="X895" s="52" t="str">
        <f>IF(AND(OR(LEFT(TH!L895,2)="15",LEFT(TH!M895,2)="15"),TK!$E$7=TH!F895),"x","")</f>
        <v/>
      </c>
      <c r="Y895" s="52" t="str">
        <f>IF(AND(B895&lt;=NKC!$N$8,B895&gt;=NKC!$M$8),"x","")</f>
        <v/>
      </c>
      <c r="AA895" s="587" t="str">
        <f>IF(VLOOKUP(H895,DS_131,1,0)&lt;&gt;"","","x")</f>
        <v/>
      </c>
    </row>
    <row r="896" spans="1:28" ht="15.75" customHeight="1">
      <c r="A896" s="201" t="str">
        <f>IF(B896&lt;&gt;"",IF(AND(B896&gt;=_TM1,B896&lt;=_TM2,OR(TH!L896="1111",TH!M896="1111")),TH!D896,""),"")</f>
        <v/>
      </c>
      <c r="B896" s="36">
        <f t="shared" si="40"/>
        <v>11</v>
      </c>
      <c r="C896" s="181">
        <f t="shared" si="41"/>
        <v>41585</v>
      </c>
      <c r="D896" s="181" t="s">
        <v>335</v>
      </c>
      <c r="E896" s="181">
        <v>41585</v>
      </c>
      <c r="F896" s="186" t="s">
        <v>337</v>
      </c>
      <c r="G896" s="597" t="s">
        <v>332</v>
      </c>
      <c r="H896" s="7" t="s">
        <v>506</v>
      </c>
      <c r="I896" s="249"/>
      <c r="J896" s="249"/>
      <c r="K896" s="595">
        <v>15245736</v>
      </c>
      <c r="L896" s="596" t="s">
        <v>24</v>
      </c>
      <c r="M896" s="596" t="s">
        <v>262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IF(OR(TH!L896=TH!$U$7,M896=TH!$U$7),"x","")</f>
        <v/>
      </c>
      <c r="V896" s="52" t="str">
        <f>IF(AND(B896&gt;='IN-NX'!$P$3,B896&lt;='IN-NX'!$Q$3,'IN-NX'!$D$7=D896,OR(LEFT(L896,2)="15",AND(LEFT(M896,2)&lt;&gt;"15",LEFT(M896,2)&lt;&gt;"33"))),"x","")</f>
        <v/>
      </c>
      <c r="W896" s="52" t="str">
        <f>IF(AND(OR(LEFT(TH!L896,2)="15",LEFT(TH!M896,2)="15"),'152-CT'!$J$8=TH!F896),"x","")</f>
        <v/>
      </c>
      <c r="X896" s="52" t="str">
        <f>IF(AND(OR(LEFT(TH!L896,2)="15",LEFT(TH!M896,2)="15"),TK!$E$7=TH!F896),"x","")</f>
        <v/>
      </c>
      <c r="Y896" s="52" t="str">
        <f>IF(AND(B896&lt;=NKC!$N$8,B896&gt;=NKC!$M$8),"x","")</f>
        <v/>
      </c>
      <c r="Z896" s="587"/>
      <c r="AA896" s="587"/>
      <c r="AB896" s="208"/>
    </row>
    <row r="897" spans="1:28" ht="15.75" customHeight="1">
      <c r="A897" s="201" t="str">
        <f>IF(B897&lt;&gt;"",IF(AND(B897&gt;=_TM1,B897&lt;=_TM2,OR(TH!L897="1111",TH!M897="1111")),TH!D897,""),"")</f>
        <v/>
      </c>
      <c r="B897" s="36">
        <f t="shared" si="40"/>
        <v>11</v>
      </c>
      <c r="C897" s="181">
        <f t="shared" si="41"/>
        <v>41585</v>
      </c>
      <c r="D897" s="181" t="s">
        <v>335</v>
      </c>
      <c r="E897" s="181">
        <v>41585</v>
      </c>
      <c r="F897" s="186" t="s">
        <v>337</v>
      </c>
      <c r="G897" s="597" t="s">
        <v>332</v>
      </c>
      <c r="H897" s="7" t="s">
        <v>427</v>
      </c>
      <c r="I897" s="249"/>
      <c r="J897" s="249"/>
      <c r="K897" s="595">
        <v>18562500</v>
      </c>
      <c r="L897" s="596" t="s">
        <v>24</v>
      </c>
      <c r="M897" s="596" t="s">
        <v>262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IF(OR(TH!L897=TH!$U$7,M897=TH!$U$7),"x","")</f>
        <v/>
      </c>
      <c r="V897" s="52" t="str">
        <f>IF(AND(B897&gt;='IN-NX'!$P$3,B897&lt;='IN-NX'!$Q$3,'IN-NX'!$D$7=D897,OR(LEFT(L897,2)="15",AND(LEFT(M897,2)&lt;&gt;"15",LEFT(M897,2)&lt;&gt;"33"))),"x","")</f>
        <v/>
      </c>
      <c r="W897" s="52" t="str">
        <f>IF(AND(OR(LEFT(TH!L897,2)="15",LEFT(TH!M897,2)="15"),'152-CT'!$J$8=TH!F897),"x","")</f>
        <v/>
      </c>
      <c r="X897" s="52" t="str">
        <f>IF(AND(OR(LEFT(TH!L897,2)="15",LEFT(TH!M897,2)="15"),TK!$E$7=TH!F897),"x","")</f>
        <v/>
      </c>
      <c r="Y897" s="52" t="str">
        <f>IF(AND(B897&lt;=NKC!$N$8,B897&gt;=NKC!$M$8),"x","")</f>
        <v/>
      </c>
      <c r="Z897" s="587"/>
      <c r="AA897" s="587"/>
      <c r="AB897" s="587"/>
    </row>
    <row r="898" spans="1:28" ht="15.75" customHeight="1">
      <c r="A898" s="201" t="str">
        <f>IF(B898&lt;&gt;"",IF(AND(B898&gt;=_TM1,B898&lt;=_TM2,OR(TH!L898="1111",TH!M898="1111")),TH!D898,""),"")</f>
        <v/>
      </c>
      <c r="B898" s="36">
        <f t="shared" si="40"/>
        <v>11</v>
      </c>
      <c r="C898" s="181">
        <f t="shared" si="41"/>
        <v>41585</v>
      </c>
      <c r="D898" s="181" t="s">
        <v>335</v>
      </c>
      <c r="E898" s="181">
        <v>41585</v>
      </c>
      <c r="F898" s="186" t="s">
        <v>337</v>
      </c>
      <c r="G898" s="597" t="s">
        <v>332</v>
      </c>
      <c r="H898" s="7" t="s">
        <v>427</v>
      </c>
      <c r="I898" s="250"/>
      <c r="J898" s="251"/>
      <c r="K898" s="38">
        <v>15537500</v>
      </c>
      <c r="L898" s="596" t="s">
        <v>24</v>
      </c>
      <c r="M898" s="596" t="s">
        <v>262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IF(OR(TH!L898=TH!$U$7,M898=TH!$U$7),"x","")</f>
        <v/>
      </c>
      <c r="V898" s="52" t="str">
        <f>IF(AND(B898&gt;='IN-NX'!$P$3,B898&lt;='IN-NX'!$Q$3,'IN-NX'!$D$7=D898,OR(LEFT(L898,2)="15",AND(LEFT(M898,2)&lt;&gt;"15",LEFT(M898,2)&lt;&gt;"33"))),"x","")</f>
        <v/>
      </c>
      <c r="W898" s="52" t="str">
        <f>IF(AND(OR(LEFT(TH!L898,2)="15",LEFT(TH!M898,2)="15"),'152-CT'!$J$8=TH!F898),"x","")</f>
        <v/>
      </c>
      <c r="X898" s="52" t="str">
        <f>IF(AND(OR(LEFT(TH!L898,2)="15",LEFT(TH!M898,2)="15"),TK!$E$7=TH!F898),"x","")</f>
        <v/>
      </c>
      <c r="Y898" s="52" t="str">
        <f>IF(AND(B898&lt;=NKC!$N$8,B898&gt;=NKC!$M$8),"x","")</f>
        <v/>
      </c>
      <c r="Z898" s="587"/>
      <c r="AA898" s="208"/>
      <c r="AB898" s="587"/>
    </row>
    <row r="899" spans="1:28" ht="15.75" customHeight="1">
      <c r="A899" s="201" t="str">
        <f>IF(B899&lt;&gt;"",IF(AND(B899&gt;=_TM1,B899&lt;=_TM2,OR(TH!L899="1111",TH!M899="1111")),TH!D899,""),"")</f>
        <v/>
      </c>
      <c r="B899" s="36">
        <f t="shared" si="40"/>
        <v>11</v>
      </c>
      <c r="C899" s="181">
        <f t="shared" si="41"/>
        <v>41586</v>
      </c>
      <c r="D899" s="181" t="s">
        <v>335</v>
      </c>
      <c r="E899" s="181">
        <v>41586</v>
      </c>
      <c r="F899" s="186" t="s">
        <v>337</v>
      </c>
      <c r="G899" s="597" t="s">
        <v>332</v>
      </c>
      <c r="H899" s="7" t="s">
        <v>511</v>
      </c>
      <c r="I899" s="250"/>
      <c r="J899" s="251"/>
      <c r="K899" s="38">
        <v>9105558</v>
      </c>
      <c r="L899" s="596" t="s">
        <v>24</v>
      </c>
      <c r="M899" s="596" t="s">
        <v>262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IF(OR(TH!L899=TH!$U$7,M899=TH!$U$7),"x","")</f>
        <v/>
      </c>
      <c r="V899" s="52" t="str">
        <f>IF(AND(B899&gt;='IN-NX'!$P$3,B899&lt;='IN-NX'!$Q$3,'IN-NX'!$D$7=D899,OR(LEFT(L899,2)="15",AND(LEFT(M899,2)&lt;&gt;"15",LEFT(M899,2)&lt;&gt;"33"))),"x","")</f>
        <v/>
      </c>
      <c r="W899" s="52" t="str">
        <f>IF(AND(OR(LEFT(TH!L899,2)="15",LEFT(TH!M899,2)="15"),'152-CT'!$J$8=TH!F899),"x","")</f>
        <v/>
      </c>
      <c r="X899" s="52" t="str">
        <f>IF(AND(OR(LEFT(TH!L899,2)="15",LEFT(TH!M899,2)="15"),TK!$E$7=TH!F899),"x","")</f>
        <v/>
      </c>
      <c r="Y899" s="52" t="str">
        <f>IF(AND(B899&lt;=NKC!$N$8,B899&gt;=NKC!$M$8),"x","")</f>
        <v/>
      </c>
      <c r="Z899" s="208"/>
      <c r="AA899" s="587"/>
      <c r="AB899" s="587"/>
    </row>
    <row r="900" spans="1:28" ht="15.75" customHeight="1">
      <c r="A900" s="201" t="str">
        <f>IF(B900&lt;&gt;"",IF(AND(B900&gt;=_TM1,B900&lt;=_TM2,OR(TH!L900="1111",TH!M900="1111")),TH!D900,""),"")</f>
        <v>T16</v>
      </c>
      <c r="B900" s="36">
        <f t="shared" si="40"/>
        <v>11</v>
      </c>
      <c r="C900" s="181">
        <f t="shared" si="41"/>
        <v>41586</v>
      </c>
      <c r="D900" s="181" t="s">
        <v>1270</v>
      </c>
      <c r="E900" s="188">
        <v>41586</v>
      </c>
      <c r="F900" s="186" t="s">
        <v>469</v>
      </c>
      <c r="G900" s="597" t="s">
        <v>332</v>
      </c>
      <c r="H900" s="7" t="s">
        <v>364</v>
      </c>
      <c r="I900" s="250"/>
      <c r="J900" s="251"/>
      <c r="K900" s="38">
        <v>58400000</v>
      </c>
      <c r="L900" s="596" t="s">
        <v>47</v>
      </c>
      <c r="M900" s="5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IF(OR(TH!L900=TH!$U$7,M900=TH!$U$7),"x","")</f>
        <v/>
      </c>
      <c r="V900" s="52" t="str">
        <f>IF(AND(B900&gt;='IN-NX'!$P$3,B900&lt;='IN-NX'!$Q$3,'IN-NX'!$D$7=D900,OR(LEFT(L900,2)="15",AND(LEFT(M900,2)&lt;&gt;"15",LEFT(M900,2)&lt;&gt;"33"))),"x","")</f>
        <v/>
      </c>
      <c r="W900" s="52" t="str">
        <f>IF(AND(OR(LEFT(TH!L900,2)="15",LEFT(TH!M900,2)="15"),'152-CT'!$J$8=TH!F900),"x","")</f>
        <v/>
      </c>
      <c r="X900" s="52" t="str">
        <f>IF(AND(OR(LEFT(TH!L900,2)="15",LEFT(TH!M900,2)="15"),TK!$E$7=TH!F900),"x","")</f>
        <v/>
      </c>
      <c r="Y900" s="52" t="str">
        <f>IF(AND(B900&lt;=NKC!$N$8,B900&gt;=NKC!$M$8),"x","")</f>
        <v/>
      </c>
      <c r="Z900" s="587"/>
      <c r="AA900" s="587"/>
      <c r="AB900" s="587"/>
    </row>
    <row r="901" spans="1:28" ht="15.75" customHeight="1">
      <c r="A901" s="201" t="str">
        <f>IF(B901&lt;&gt;"",IF(AND(B901&gt;=_TM1,B901&lt;=_TM2,OR(TH!L901="1111",TH!M901="1111")),TH!D901,""),"")</f>
        <v/>
      </c>
      <c r="B901" s="36">
        <f t="shared" si="40"/>
        <v>11</v>
      </c>
      <c r="C901" s="188">
        <f t="shared" si="41"/>
        <v>41586</v>
      </c>
      <c r="D901" s="181" t="s">
        <v>413</v>
      </c>
      <c r="E901" s="188">
        <v>41586</v>
      </c>
      <c r="F901" s="189" t="s">
        <v>678</v>
      </c>
      <c r="G901" s="478" t="s">
        <v>679</v>
      </c>
      <c r="H901" s="190" t="s">
        <v>674</v>
      </c>
      <c r="I901" s="249">
        <v>1100</v>
      </c>
      <c r="J901" s="249">
        <v>15000</v>
      </c>
      <c r="K901" s="38">
        <f>ROUND(I901*J901,0)</f>
        <v>16500000</v>
      </c>
      <c r="L901" s="191" t="s">
        <v>156</v>
      </c>
      <c r="M901" s="191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IF(OR(TH!L901=TH!$U$7,M901=TH!$U$7),"x","")</f>
        <v/>
      </c>
      <c r="V901" s="52" t="str">
        <f>IF(AND(B901&gt;='IN-NX'!$P$3,B901&lt;='IN-NX'!$Q$3,'IN-NX'!$D$7=D901,OR(LEFT(L901,2)="15",AND(LEFT(M901,2)&lt;&gt;"15",LEFT(M901,2)&lt;&gt;"33"))),"x","")</f>
        <v/>
      </c>
      <c r="W901" s="52" t="str">
        <f>IF(AND(OR(LEFT(TH!L901,2)="15",LEFT(TH!M901,2)="15"),'152-CT'!$J$8=TH!F901),"x","")</f>
        <v/>
      </c>
      <c r="X901" s="52" t="str">
        <f>IF(AND(OR(LEFT(TH!L901,2)="15",LEFT(TH!M901,2)="15"),TK!$E$7=TH!F901),"x","")</f>
        <v/>
      </c>
      <c r="Y901" s="52" t="str">
        <f>IF(AND(B901&lt;=NKC!$N$8,B901&gt;=NKC!$M$8),"x","")</f>
        <v/>
      </c>
      <c r="Z901" s="587" t="s">
        <v>1336</v>
      </c>
    </row>
    <row r="902" spans="1:28" ht="15.75" customHeight="1">
      <c r="A902" s="201" t="str">
        <f>IF(B902&lt;&gt;"",IF(AND(B902&gt;=_TM1,B902&lt;=_TM2,OR(TH!L902="1111",TH!M902="1111")),TH!D902,""),"")</f>
        <v/>
      </c>
      <c r="B902" s="36">
        <f t="shared" si="40"/>
        <v>11</v>
      </c>
      <c r="C902" s="188">
        <f t="shared" si="41"/>
        <v>41586</v>
      </c>
      <c r="D902" s="181" t="s">
        <v>413</v>
      </c>
      <c r="E902" s="188">
        <v>41586</v>
      </c>
      <c r="F902" s="189" t="s">
        <v>557</v>
      </c>
      <c r="G902" s="478" t="s">
        <v>679</v>
      </c>
      <c r="H902" s="190" t="s">
        <v>674</v>
      </c>
      <c r="I902" s="249"/>
      <c r="J902" s="249"/>
      <c r="K902" s="38">
        <v>1650000</v>
      </c>
      <c r="L902" s="191" t="s">
        <v>9</v>
      </c>
      <c r="M902" s="191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IF(OR(TH!L902=TH!$U$7,M902=TH!$U$7),"x","")</f>
        <v/>
      </c>
      <c r="V902" s="52" t="str">
        <f>IF(AND(B902&gt;='IN-NX'!$P$3,B902&lt;='IN-NX'!$Q$3,'IN-NX'!$D$7=D902,OR(LEFT(L902,2)="15",AND(LEFT(M902,2)&lt;&gt;"15",LEFT(M902,2)&lt;&gt;"33"))),"x","")</f>
        <v/>
      </c>
      <c r="W902" s="52" t="str">
        <f>IF(AND(OR(LEFT(TH!L902,2)="15",LEFT(TH!M902,2)="15"),'152-CT'!$J$8=TH!F902),"x","")</f>
        <v/>
      </c>
      <c r="X902" s="52" t="str">
        <f>IF(AND(OR(LEFT(TH!L902,2)="15",LEFT(TH!M902,2)="15"),TK!$E$7=TH!F902),"x","")</f>
        <v/>
      </c>
      <c r="Y902" s="52" t="str">
        <f>IF(AND(B902&lt;=NKC!$N$8,B902&gt;=NKC!$M$8),"x","")</f>
        <v/>
      </c>
      <c r="Z902" s="587" t="s">
        <v>1336</v>
      </c>
    </row>
    <row r="903" spans="1:28" ht="15.75" customHeight="1">
      <c r="A903" s="201" t="str">
        <f>IF(B903&lt;&gt;"",IF(AND(B903&gt;=_TM1,B903&lt;=_TM2,OR(TH!L903="1111",TH!M903="1111")),TH!D903,""),"")</f>
        <v>C16</v>
      </c>
      <c r="B903" s="36">
        <f t="shared" si="40"/>
        <v>11</v>
      </c>
      <c r="C903" s="188">
        <f t="shared" si="41"/>
        <v>41586</v>
      </c>
      <c r="D903" s="181" t="s">
        <v>396</v>
      </c>
      <c r="E903" s="188">
        <v>41586</v>
      </c>
      <c r="F903" s="189" t="s">
        <v>367</v>
      </c>
      <c r="G903" s="478" t="s">
        <v>679</v>
      </c>
      <c r="H903" s="190" t="s">
        <v>674</v>
      </c>
      <c r="I903" s="249"/>
      <c r="J903" s="249"/>
      <c r="K903" s="38">
        <v>18150000</v>
      </c>
      <c r="L903" s="191" t="s">
        <v>8</v>
      </c>
      <c r="M903" s="191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IF(OR(TH!L903=TH!$U$7,M903=TH!$U$7),"x","")</f>
        <v/>
      </c>
      <c r="V903" s="52" t="str">
        <f>IF(AND(B903&gt;='IN-NX'!$P$3,B903&lt;='IN-NX'!$Q$3,'IN-NX'!$D$7=D903,OR(LEFT(L903,2)="15",AND(LEFT(M903,2)&lt;&gt;"15",LEFT(M903,2)&lt;&gt;"33"))),"x","")</f>
        <v/>
      </c>
      <c r="W903" s="52" t="str">
        <f>IF(AND(OR(LEFT(TH!L903,2)="15",LEFT(TH!M903,2)="15"),'152-CT'!$J$8=TH!F903),"x","")</f>
        <v/>
      </c>
      <c r="X903" s="52" t="str">
        <f>IF(AND(OR(LEFT(TH!L903,2)="15",LEFT(TH!M903,2)="15"),TK!$E$7=TH!F903),"x","")</f>
        <v/>
      </c>
      <c r="Y903" s="52" t="str">
        <f>IF(AND(B903&lt;=NKC!$N$8,B903&gt;=NKC!$M$8),"x","")</f>
        <v/>
      </c>
      <c r="Z903" s="208"/>
    </row>
    <row r="904" spans="1:28" ht="15.75" customHeight="1">
      <c r="A904" s="201" t="str">
        <f>IF(B904&lt;&gt;"",IF(AND(B904&gt;=_TM1,B904&lt;=_TM2,OR(TH!L904="1111",TH!M904="1111")),TH!D904,""),"")</f>
        <v/>
      </c>
      <c r="B904" s="36">
        <f t="shared" si="40"/>
        <v>11</v>
      </c>
      <c r="C904" s="188">
        <f t="shared" si="41"/>
        <v>41586</v>
      </c>
      <c r="D904" s="181" t="s">
        <v>1046</v>
      </c>
      <c r="E904" s="188">
        <v>41586</v>
      </c>
      <c r="F904" s="189" t="s">
        <v>1101</v>
      </c>
      <c r="G904" s="480" t="s">
        <v>616</v>
      </c>
      <c r="H904" s="7" t="s">
        <v>510</v>
      </c>
      <c r="I904" s="249">
        <v>200</v>
      </c>
      <c r="J904" s="249">
        <v>7000</v>
      </c>
      <c r="K904" s="38">
        <f>ROUND(I904*J904,0)</f>
        <v>1400000</v>
      </c>
      <c r="L904" s="191" t="s">
        <v>262</v>
      </c>
      <c r="M904" s="191" t="s">
        <v>172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IF(OR(TH!L904=TH!$U$7,M904=TH!$U$7),"x","")</f>
        <v/>
      </c>
      <c r="V904" s="52" t="str">
        <f>IF(AND(B904&gt;='IN-NX'!$P$3,B904&lt;='IN-NX'!$Q$3,'IN-NX'!$D$7=D904,OR(LEFT(L904,2)="15",AND(LEFT(M904,2)&lt;&gt;"15",LEFT(M904,2)&lt;&gt;"33"))),"x","")</f>
        <v/>
      </c>
      <c r="W904" s="52" t="str">
        <f>IF(AND(OR(LEFT(TH!L904,2)="15",LEFT(TH!M904,2)="15"),'152-CT'!$J$8=TH!F904),"x","")</f>
        <v/>
      </c>
      <c r="X904" s="52" t="str">
        <f>IF(AND(OR(LEFT(TH!L904,2)="15",LEFT(TH!M904,2)="15"),TK!$E$7=TH!F904),"x","")</f>
        <v/>
      </c>
      <c r="Y904" s="52" t="str">
        <f>IF(AND(B904&lt;=NKC!$N$8,B904&gt;=NKC!$M$8),"x","")</f>
        <v/>
      </c>
      <c r="Z904" s="769"/>
      <c r="AA904" s="587"/>
    </row>
    <row r="905" spans="1:28" ht="15.75" customHeight="1">
      <c r="A905" s="201" t="str">
        <f>IF(B905&lt;&gt;"",IF(AND(B905&gt;=_TM1,B905&lt;=_TM2,OR(TH!L905="1111",TH!M905="1111")),TH!D905,""),"")</f>
        <v/>
      </c>
      <c r="B905" s="36">
        <f t="shared" si="40"/>
        <v>11</v>
      </c>
      <c r="C905" s="188">
        <f t="shared" si="41"/>
        <v>41586</v>
      </c>
      <c r="D905" s="181" t="s">
        <v>1046</v>
      </c>
      <c r="E905" s="188">
        <v>41586</v>
      </c>
      <c r="F905" s="189" t="s">
        <v>1102</v>
      </c>
      <c r="G905" s="480" t="s">
        <v>616</v>
      </c>
      <c r="H905" s="7" t="s">
        <v>510</v>
      </c>
      <c r="I905" s="249">
        <v>157</v>
      </c>
      <c r="J905" s="249">
        <v>21150</v>
      </c>
      <c r="K905" s="38">
        <f>ROUND(I905*J905,0)</f>
        <v>3320550</v>
      </c>
      <c r="L905" s="191" t="s">
        <v>262</v>
      </c>
      <c r="M905" s="191" t="s">
        <v>172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IF(OR(TH!L905=TH!$U$7,M905=TH!$U$7),"x","")</f>
        <v/>
      </c>
      <c r="V905" s="52" t="str">
        <f>IF(AND(B905&gt;='IN-NX'!$P$3,B905&lt;='IN-NX'!$Q$3,'IN-NX'!$D$7=D905,OR(LEFT(L905,2)="15",AND(LEFT(M905,2)&lt;&gt;"15",LEFT(M905,2)&lt;&gt;"33"))),"x","")</f>
        <v/>
      </c>
      <c r="W905" s="52" t="str">
        <f>IF(AND(OR(LEFT(TH!L905,2)="15",LEFT(TH!M905,2)="15"),'152-CT'!$J$8=TH!F905),"x","")</f>
        <v/>
      </c>
      <c r="X905" s="52" t="str">
        <f>IF(AND(OR(LEFT(TH!L905,2)="15",LEFT(TH!M905,2)="15"),TK!$E$7=TH!F905),"x","")</f>
        <v/>
      </c>
      <c r="Y905" s="52" t="str">
        <f>IF(AND(B905&lt;=NKC!$N$8,B905&gt;=NKC!$M$8),"x","")</f>
        <v/>
      </c>
      <c r="Z905" s="769"/>
      <c r="AA905" s="587"/>
    </row>
    <row r="906" spans="1:28" ht="15.75" customHeight="1">
      <c r="A906" s="201" t="str">
        <f>IF(B906&lt;&gt;"",IF(AND(B906&gt;=_TM1,B906&lt;=_TM2,OR(TH!L906="1111",TH!M906="1111")),TH!D906,""),"")</f>
        <v/>
      </c>
      <c r="B906" s="36">
        <f t="shared" si="40"/>
        <v>11</v>
      </c>
      <c r="C906" s="188">
        <f t="shared" si="41"/>
        <v>41586</v>
      </c>
      <c r="D906" s="181" t="s">
        <v>1046</v>
      </c>
      <c r="E906" s="188">
        <v>41586</v>
      </c>
      <c r="F906" s="189" t="s">
        <v>693</v>
      </c>
      <c r="G906" s="480" t="s">
        <v>616</v>
      </c>
      <c r="H906" s="7" t="s">
        <v>510</v>
      </c>
      <c r="I906" s="249"/>
      <c r="J906" s="249"/>
      <c r="K906" s="38">
        <v>472055</v>
      </c>
      <c r="L906" s="191" t="s">
        <v>262</v>
      </c>
      <c r="M906" s="191" t="s">
        <v>425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IF(OR(TH!L906=TH!$U$7,M906=TH!$U$7),"x","")</f>
        <v/>
      </c>
      <c r="V906" s="52" t="str">
        <f>IF(AND(B906&gt;='IN-NX'!$P$3,B906&lt;='IN-NX'!$Q$3,'IN-NX'!$D$7=D906,OR(LEFT(L906,2)="15",AND(LEFT(M906,2)&lt;&gt;"15",LEFT(M906,2)&lt;&gt;"33"))),"x","")</f>
        <v/>
      </c>
      <c r="W906" s="52" t="str">
        <f>IF(AND(OR(LEFT(TH!L906,2)="15",LEFT(TH!M906,2)="15"),'152-CT'!$J$8=TH!F906),"x","")</f>
        <v/>
      </c>
      <c r="X906" s="52" t="str">
        <f>IF(AND(OR(LEFT(TH!L906,2)="15",LEFT(TH!M906,2)="15"),TK!$E$7=TH!F906),"x","")</f>
        <v/>
      </c>
      <c r="Y906" s="52" t="str">
        <f>IF(AND(B906&lt;=NKC!$N$8,B906&gt;=NKC!$M$8),"x","")</f>
        <v/>
      </c>
      <c r="Z906" s="769"/>
      <c r="AA906" s="587" t="str">
        <f>IF(VLOOKUP(H906,DS_131,1,0)&lt;&gt;"","","x")</f>
        <v/>
      </c>
    </row>
    <row r="907" spans="1:28" ht="15.75" customHeight="1">
      <c r="A907" s="201" t="str">
        <f>IF(B907&lt;&gt;"",IF(AND(B907&gt;=_TM1,B907&lt;=_TM2,OR(TH!L907="1111",TH!M907="1111")),TH!D907,""),"")</f>
        <v/>
      </c>
      <c r="B907" s="36">
        <f t="shared" si="40"/>
        <v>11</v>
      </c>
      <c r="C907" s="188">
        <f t="shared" si="41"/>
        <v>41586</v>
      </c>
      <c r="D907" s="181" t="s">
        <v>1047</v>
      </c>
      <c r="E907" s="188">
        <v>41586</v>
      </c>
      <c r="F907" s="189" t="s">
        <v>973</v>
      </c>
      <c r="G907" s="480" t="s">
        <v>974</v>
      </c>
      <c r="H907" s="7" t="s">
        <v>975</v>
      </c>
      <c r="I907" s="249">
        <v>200</v>
      </c>
      <c r="J907" s="249">
        <v>8000</v>
      </c>
      <c r="K907" s="38">
        <f>ROUND(I907*J907,0)</f>
        <v>1600000</v>
      </c>
      <c r="L907" s="191" t="s">
        <v>262</v>
      </c>
      <c r="M907" s="191" t="s">
        <v>172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IF(OR(TH!L907=TH!$U$7,M907=TH!$U$7),"x","")</f>
        <v/>
      </c>
      <c r="V907" s="52" t="str">
        <f>IF(AND(B907&gt;='IN-NX'!$P$3,B907&lt;='IN-NX'!$Q$3,'IN-NX'!$D$7=D907,OR(LEFT(L907,2)="15",AND(LEFT(M907,2)&lt;&gt;"15",LEFT(M907,2)&lt;&gt;"33"))),"x","")</f>
        <v/>
      </c>
      <c r="W907" s="52" t="str">
        <f>IF(AND(OR(LEFT(TH!L907,2)="15",LEFT(TH!M907,2)="15"),'152-CT'!$J$8=TH!F907),"x","")</f>
        <v/>
      </c>
      <c r="X907" s="52" t="str">
        <f>IF(AND(OR(LEFT(TH!L907,2)="15",LEFT(TH!M907,2)="15"),TK!$E$7=TH!F907),"x","")</f>
        <v/>
      </c>
      <c r="Y907" s="52" t="str">
        <f>IF(AND(B907&lt;=NKC!$N$8,B907&gt;=NKC!$M$8),"x","")</f>
        <v/>
      </c>
      <c r="Z907" s="769"/>
      <c r="AA907" s="587"/>
    </row>
    <row r="908" spans="1:28" ht="15.75" customHeight="1">
      <c r="A908" s="201" t="str">
        <f>IF(B908&lt;&gt;"",IF(AND(B908&gt;=_TM1,B908&lt;=_TM2,OR(TH!L908="1111",TH!M908="1111")),TH!D908,""),"")</f>
        <v/>
      </c>
      <c r="B908" s="36">
        <f t="shared" si="40"/>
        <v>11</v>
      </c>
      <c r="C908" s="188">
        <f t="shared" si="41"/>
        <v>41586</v>
      </c>
      <c r="D908" s="181" t="s">
        <v>1047</v>
      </c>
      <c r="E908" s="188">
        <v>41586</v>
      </c>
      <c r="F908" s="189" t="s">
        <v>976</v>
      </c>
      <c r="G908" s="480" t="s">
        <v>974</v>
      </c>
      <c r="H908" s="7" t="s">
        <v>975</v>
      </c>
      <c r="I908" s="249">
        <v>100</v>
      </c>
      <c r="J908" s="249">
        <v>14200</v>
      </c>
      <c r="K908" s="38">
        <f>ROUND(I908*J908,0)</f>
        <v>1420000</v>
      </c>
      <c r="L908" s="191" t="s">
        <v>262</v>
      </c>
      <c r="M908" s="191" t="s">
        <v>172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IF(OR(TH!L908=TH!$U$7,M908=TH!$U$7),"x","")</f>
        <v/>
      </c>
      <c r="V908" s="52" t="str">
        <f>IF(AND(B908&gt;='IN-NX'!$P$3,B908&lt;='IN-NX'!$Q$3,'IN-NX'!$D$7=D908,OR(LEFT(L908,2)="15",AND(LEFT(M908,2)&lt;&gt;"15",LEFT(M908,2)&lt;&gt;"33"))),"x","")</f>
        <v/>
      </c>
      <c r="W908" s="52" t="str">
        <f>IF(AND(OR(LEFT(TH!L908,2)="15",LEFT(TH!M908,2)="15"),'152-CT'!$J$8=TH!F908),"x","")</f>
        <v/>
      </c>
      <c r="X908" s="52" t="str">
        <f>IF(AND(OR(LEFT(TH!L908,2)="15",LEFT(TH!M908,2)="15"),TK!$E$7=TH!F908),"x","")</f>
        <v/>
      </c>
      <c r="Y908" s="52" t="str">
        <f>IF(AND(B908&lt;=NKC!$N$8,B908&gt;=NKC!$M$8),"x","")</f>
        <v/>
      </c>
      <c r="Z908" s="769"/>
      <c r="AA908" s="587"/>
    </row>
    <row r="909" spans="1:28" ht="15.75" customHeight="1">
      <c r="A909" s="201" t="str">
        <f>IF(B909&lt;&gt;"",IF(AND(B909&gt;=_TM1,B909&lt;=_TM2,OR(TH!L909="1111",TH!M909="1111")),TH!D909,""),"")</f>
        <v/>
      </c>
      <c r="B909" s="36">
        <f t="shared" si="40"/>
        <v>11</v>
      </c>
      <c r="C909" s="188">
        <f t="shared" si="41"/>
        <v>41586</v>
      </c>
      <c r="D909" s="181" t="s">
        <v>1047</v>
      </c>
      <c r="E909" s="188">
        <v>41586</v>
      </c>
      <c r="F909" s="835" t="s">
        <v>977</v>
      </c>
      <c r="G909" s="480" t="s">
        <v>974</v>
      </c>
      <c r="H909" s="7" t="s">
        <v>975</v>
      </c>
      <c r="I909" s="249">
        <v>150</v>
      </c>
      <c r="J909" s="249">
        <v>13000</v>
      </c>
      <c r="K909" s="38">
        <f>ROUND(I909*J909,0)</f>
        <v>1950000</v>
      </c>
      <c r="L909" s="191" t="s">
        <v>262</v>
      </c>
      <c r="M909" s="191" t="s">
        <v>172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IF(OR(TH!L909=TH!$U$7,M909=TH!$U$7),"x","")</f>
        <v/>
      </c>
      <c r="V909" s="52" t="str">
        <f>IF(AND(B909&gt;='IN-NX'!$P$3,B909&lt;='IN-NX'!$Q$3,'IN-NX'!$D$7=D909,OR(LEFT(L909,2)="15",AND(LEFT(M909,2)&lt;&gt;"15",LEFT(M909,2)&lt;&gt;"33"))),"x","")</f>
        <v/>
      </c>
      <c r="W909" s="52" t="str">
        <f>IF(AND(OR(LEFT(TH!L909,2)="15",LEFT(TH!M909,2)="15"),'152-CT'!$J$8=TH!F909),"x","")</f>
        <v/>
      </c>
      <c r="X909" s="52" t="str">
        <f>IF(AND(OR(LEFT(TH!L909,2)="15",LEFT(TH!M909,2)="15"),TK!$E$7=TH!F909),"x","")</f>
        <v/>
      </c>
      <c r="Y909" s="52" t="str">
        <f>IF(AND(B909&lt;=NKC!$N$8,B909&gt;=NKC!$M$8),"x","")</f>
        <v/>
      </c>
      <c r="Z909" s="769"/>
      <c r="AA909" s="587"/>
    </row>
    <row r="910" spans="1:28" ht="15.75" customHeight="1">
      <c r="A910" s="201" t="str">
        <f>IF(B910&lt;&gt;"",IF(AND(B910&gt;=_TM1,B910&lt;=_TM2,OR(TH!L910="1111",TH!M910="1111")),TH!D910,""),"")</f>
        <v/>
      </c>
      <c r="B910" s="36">
        <f t="shared" si="40"/>
        <v>11</v>
      </c>
      <c r="C910" s="188">
        <f t="shared" si="41"/>
        <v>41586</v>
      </c>
      <c r="D910" s="181" t="s">
        <v>1047</v>
      </c>
      <c r="E910" s="188">
        <v>41586</v>
      </c>
      <c r="F910" s="835" t="s">
        <v>693</v>
      </c>
      <c r="G910" s="480" t="s">
        <v>974</v>
      </c>
      <c r="H910" s="7" t="s">
        <v>975</v>
      </c>
      <c r="I910" s="249"/>
      <c r="J910" s="249"/>
      <c r="K910" s="38">
        <v>497000</v>
      </c>
      <c r="L910" s="191" t="s">
        <v>262</v>
      </c>
      <c r="M910" s="191" t="s">
        <v>425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IF(OR(TH!L910=TH!$U$7,M910=TH!$U$7),"x","")</f>
        <v/>
      </c>
      <c r="V910" s="52" t="str">
        <f>IF(AND(B910&gt;='IN-NX'!$P$3,B910&lt;='IN-NX'!$Q$3,'IN-NX'!$D$7=D910,OR(LEFT(L910,2)="15",AND(LEFT(M910,2)&lt;&gt;"15",LEFT(M910,2)&lt;&gt;"33"))),"x","")</f>
        <v/>
      </c>
      <c r="W910" s="52" t="str">
        <f>IF(AND(OR(LEFT(TH!L910,2)="15",LEFT(TH!M910,2)="15"),'152-CT'!$J$8=TH!F910),"x","")</f>
        <v/>
      </c>
      <c r="X910" s="52" t="str">
        <f>IF(AND(OR(LEFT(TH!L910,2)="15",LEFT(TH!M910,2)="15"),TK!$E$7=TH!F910),"x","")</f>
        <v/>
      </c>
      <c r="Y910" s="52" t="str">
        <f>IF(AND(B910&lt;=NKC!$N$8,B910&gt;=NKC!$M$8),"x","")</f>
        <v/>
      </c>
      <c r="Z910" s="769"/>
      <c r="AA910" s="587" t="str">
        <f>IF(VLOOKUP(H910,DS_131,1,0)&lt;&gt;"","","x")</f>
        <v/>
      </c>
    </row>
    <row r="911" spans="1:28" ht="15.75" customHeight="1">
      <c r="A911" s="201" t="str">
        <f>IF(B911&lt;&gt;"",IF(AND(B911&gt;=_TM1,B911&lt;=_TM2,OR(TH!L911="1111",TH!M911="1111")),TH!D911,""),"")</f>
        <v>C17</v>
      </c>
      <c r="B911" s="36">
        <f t="shared" si="40"/>
        <v>11</v>
      </c>
      <c r="C911" s="181">
        <f t="shared" si="41"/>
        <v>41589</v>
      </c>
      <c r="D911" s="181" t="s">
        <v>398</v>
      </c>
      <c r="E911" s="188">
        <v>41589</v>
      </c>
      <c r="F911" s="186" t="s">
        <v>345</v>
      </c>
      <c r="G911" s="657" t="s">
        <v>524</v>
      </c>
      <c r="H911" s="7" t="s">
        <v>525</v>
      </c>
      <c r="I911" s="250"/>
      <c r="J911" s="251"/>
      <c r="K911" s="38">
        <v>293364</v>
      </c>
      <c r="L911" s="596" t="s">
        <v>83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IF(OR(TH!L911=TH!$U$7,M911=TH!$U$7),"x","")</f>
        <v>x</v>
      </c>
      <c r="V911" s="52" t="str">
        <f>IF(AND(B911&gt;='IN-NX'!$P$3,B911&lt;='IN-NX'!$Q$3,'IN-NX'!$D$7=D911,OR(LEFT(L911,2)="15",AND(LEFT(M911,2)&lt;&gt;"15",LEFT(M911,2)&lt;&gt;"33"))),"x","")</f>
        <v/>
      </c>
      <c r="W911" s="52" t="str">
        <f>IF(AND(OR(LEFT(TH!L911,2)="15",LEFT(TH!M911,2)="15"),'152-CT'!$J$8=TH!F911),"x","")</f>
        <v/>
      </c>
      <c r="X911" s="52" t="str">
        <f>IF(AND(OR(LEFT(TH!L911,2)="15",LEFT(TH!M911,2)="15"),TK!$E$7=TH!F911),"x","")</f>
        <v/>
      </c>
      <c r="Y911" s="52" t="str">
        <f>IF(AND(B911&lt;=NKC!$N$8,B911&gt;=NKC!$M$8),"x","")</f>
        <v/>
      </c>
      <c r="Z911" s="587" t="s">
        <v>1336</v>
      </c>
      <c r="AA911" s="208"/>
      <c r="AB911" s="587"/>
    </row>
    <row r="912" spans="1:28" ht="15.75" customHeight="1">
      <c r="A912" s="201" t="str">
        <f>IF(B912&lt;&gt;"",IF(AND(B912&gt;=_TM1,B912&lt;=_TM2,OR(TH!L912="1111",TH!M912="1111")),TH!D912,""),"")</f>
        <v>C17</v>
      </c>
      <c r="B912" s="36">
        <f t="shared" si="40"/>
        <v>11</v>
      </c>
      <c r="C912" s="181">
        <f t="shared" si="41"/>
        <v>41589</v>
      </c>
      <c r="D912" s="181" t="s">
        <v>398</v>
      </c>
      <c r="E912" s="188">
        <v>41589</v>
      </c>
      <c r="F912" s="186" t="s">
        <v>526</v>
      </c>
      <c r="G912" s="657" t="s">
        <v>524</v>
      </c>
      <c r="H912" s="7" t="s">
        <v>525</v>
      </c>
      <c r="I912" s="250"/>
      <c r="J912" s="251"/>
      <c r="K912" s="38">
        <v>29336</v>
      </c>
      <c r="L912" s="596" t="s">
        <v>9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IF(OR(TH!L912=TH!$U$7,M912=TH!$U$7),"x","")</f>
        <v/>
      </c>
      <c r="V912" s="52" t="str">
        <f>IF(AND(B912&gt;='IN-NX'!$P$3,B912&lt;='IN-NX'!$Q$3,'IN-NX'!$D$7=D912,OR(LEFT(L912,2)="15",AND(LEFT(M912,2)&lt;&gt;"15",LEFT(M912,2)&lt;&gt;"33"))),"x","")</f>
        <v/>
      </c>
      <c r="W912" s="52" t="str">
        <f>IF(AND(OR(LEFT(TH!L912,2)="15",LEFT(TH!M912,2)="15"),'152-CT'!$J$8=TH!F912),"x","")</f>
        <v/>
      </c>
      <c r="X912" s="52" t="str">
        <f>IF(AND(OR(LEFT(TH!L912,2)="15",LEFT(TH!M912,2)="15"),TK!$E$7=TH!F912),"x","")</f>
        <v/>
      </c>
      <c r="Y912" s="52" t="str">
        <f>IF(AND(B912&lt;=NKC!$N$8,B912&gt;=NKC!$M$8),"x","")</f>
        <v/>
      </c>
      <c r="Z912" s="587" t="s">
        <v>1336</v>
      </c>
      <c r="AA912" s="587"/>
      <c r="AB912" s="587"/>
    </row>
    <row r="913" spans="1:28" ht="15.75" customHeight="1">
      <c r="A913" s="201" t="str">
        <f>IF(B913&lt;&gt;"",IF(AND(B913&gt;=_TM1,B913&lt;=_TM2,OR(TH!L913="1111",TH!M913="1111")),TH!D913,""),"")</f>
        <v>C18</v>
      </c>
      <c r="B913" s="36">
        <f t="shared" si="40"/>
        <v>11</v>
      </c>
      <c r="C913" s="181">
        <f t="shared" si="41"/>
        <v>41591</v>
      </c>
      <c r="D913" s="181" t="s">
        <v>1262</v>
      </c>
      <c r="E913" s="188">
        <v>41591</v>
      </c>
      <c r="F913" s="186" t="s">
        <v>490</v>
      </c>
      <c r="G913" s="657" t="s">
        <v>527</v>
      </c>
      <c r="H913" s="7" t="s">
        <v>492</v>
      </c>
      <c r="I913" s="250"/>
      <c r="J913" s="251"/>
      <c r="K913" s="38">
        <f>753970+328347+599063</f>
        <v>1681380</v>
      </c>
      <c r="L913" s="596" t="s">
        <v>83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IF(OR(TH!L913=TH!$U$7,M913=TH!$U$7),"x","")</f>
        <v>x</v>
      </c>
      <c r="V913" s="52" t="str">
        <f>IF(AND(B913&gt;='IN-NX'!$P$3,B913&lt;='IN-NX'!$Q$3,'IN-NX'!$D$7=D913,OR(LEFT(L913,2)="15",AND(LEFT(M913,2)&lt;&gt;"15",LEFT(M913,2)&lt;&gt;"33"))),"x","")</f>
        <v/>
      </c>
      <c r="W913" s="52" t="str">
        <f>IF(AND(OR(LEFT(TH!L913,2)="15",LEFT(TH!M913,2)="15"),'152-CT'!$J$8=TH!F913),"x","")</f>
        <v/>
      </c>
      <c r="X913" s="52" t="str">
        <f>IF(AND(OR(LEFT(TH!L913,2)="15",LEFT(TH!M913,2)="15"),TK!$E$7=TH!F913),"x","")</f>
        <v/>
      </c>
      <c r="Y913" s="52" t="str">
        <f>IF(AND(B913&lt;=NKC!$N$8,B913&gt;=NKC!$M$8),"x","")</f>
        <v/>
      </c>
      <c r="Z913" s="587" t="s">
        <v>1336</v>
      </c>
      <c r="AA913" s="587"/>
      <c r="AB913" s="587"/>
    </row>
    <row r="914" spans="1:28" ht="15.75" customHeight="1">
      <c r="A914" s="201" t="str">
        <f>IF(B914&lt;&gt;"",IF(AND(B914&gt;=_TM1,B914&lt;=_TM2,OR(TH!L914="1111",TH!M914="1111")),TH!D914,""),"")</f>
        <v>C18</v>
      </c>
      <c r="B914" s="36">
        <f t="shared" si="40"/>
        <v>11</v>
      </c>
      <c r="C914" s="181">
        <f t="shared" si="41"/>
        <v>41591</v>
      </c>
      <c r="D914" s="181" t="s">
        <v>1262</v>
      </c>
      <c r="E914" s="188">
        <v>41591</v>
      </c>
      <c r="F914" s="186" t="s">
        <v>493</v>
      </c>
      <c r="G914" s="657" t="s">
        <v>527</v>
      </c>
      <c r="H914" s="7" t="s">
        <v>492</v>
      </c>
      <c r="I914" s="249"/>
      <c r="J914" s="251"/>
      <c r="K914" s="595">
        <f>75397+32833+59906</f>
        <v>168136</v>
      </c>
      <c r="L914" s="596" t="s">
        <v>9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IF(OR(TH!L914=TH!$U$7,M914=TH!$U$7),"x","")</f>
        <v/>
      </c>
      <c r="V914" s="52" t="str">
        <f>IF(AND(B914&gt;='IN-NX'!$P$3,B914&lt;='IN-NX'!$Q$3,'IN-NX'!$D$7=D914,OR(LEFT(L914,2)="15",AND(LEFT(M914,2)&lt;&gt;"15",LEFT(M914,2)&lt;&gt;"33"))),"x","")</f>
        <v/>
      </c>
      <c r="W914" s="52" t="str">
        <f>IF(AND(OR(LEFT(TH!L914,2)="15",LEFT(TH!M914,2)="15"),'152-CT'!$J$8=TH!F914),"x","")</f>
        <v/>
      </c>
      <c r="X914" s="52" t="str">
        <f>IF(AND(OR(LEFT(TH!L914,2)="15",LEFT(TH!M914,2)="15"),TK!$E$7=TH!F914),"x","")</f>
        <v/>
      </c>
      <c r="Y914" s="52" t="str">
        <f>IF(AND(B914&lt;=NKC!$N$8,B914&gt;=NKC!$M$8),"x","")</f>
        <v/>
      </c>
      <c r="Z914" s="587" t="s">
        <v>1336</v>
      </c>
      <c r="AA914" s="587"/>
      <c r="AB914" s="587"/>
    </row>
    <row r="915" spans="1:28" ht="15.75" customHeight="1">
      <c r="A915" s="201" t="str">
        <f>IF(B915&lt;&gt;"",IF(AND(B915&gt;=_TM1,B915&lt;=_TM2,OR(TH!L915="1111",TH!M915="1111")),TH!D915,""),"")</f>
        <v>C19</v>
      </c>
      <c r="B915" s="36">
        <f t="shared" si="40"/>
        <v>11</v>
      </c>
      <c r="C915" s="188">
        <f t="shared" si="41"/>
        <v>41591</v>
      </c>
      <c r="D915" s="181" t="s">
        <v>1263</v>
      </c>
      <c r="E915" s="188">
        <v>41591</v>
      </c>
      <c r="F915" s="186" t="s">
        <v>431</v>
      </c>
      <c r="G915" s="480" t="s">
        <v>528</v>
      </c>
      <c r="H915" s="7" t="s">
        <v>368</v>
      </c>
      <c r="I915" s="249"/>
      <c r="J915" s="249"/>
      <c r="K915" s="595">
        <v>1360000</v>
      </c>
      <c r="L915" s="596" t="s">
        <v>162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IF(OR(TH!L915=TH!$U$7,M915=TH!$U$7),"x","")</f>
        <v/>
      </c>
      <c r="V915" s="52" t="str">
        <f>IF(AND(B915&gt;='IN-NX'!$P$3,B915&lt;='IN-NX'!$Q$3,'IN-NX'!$D$7=D915,OR(LEFT(L915,2)="15",AND(LEFT(M915,2)&lt;&gt;"15",LEFT(M915,2)&lt;&gt;"33"))),"x","")</f>
        <v/>
      </c>
      <c r="W915" s="52" t="str">
        <f>IF(AND(OR(LEFT(TH!L915,2)="15",LEFT(TH!M915,2)="15"),'152-CT'!$J$8=TH!F915),"x","")</f>
        <v/>
      </c>
      <c r="X915" s="52" t="str">
        <f>IF(AND(OR(LEFT(TH!L915,2)="15",LEFT(TH!M915,2)="15"),TK!$E$7=TH!F915),"x","")</f>
        <v/>
      </c>
      <c r="Y915" s="52" t="str">
        <f>IF(AND(B915&lt;=NKC!$N$8,B915&gt;=NKC!$M$8),"x","")</f>
        <v/>
      </c>
      <c r="Z915" s="587" t="s">
        <v>1336</v>
      </c>
      <c r="AA915" s="587"/>
      <c r="AB915" s="587"/>
    </row>
    <row r="916" spans="1:28" ht="15.75" customHeight="1">
      <c r="A916" s="201" t="str">
        <f>IF(B916&lt;&gt;"",IF(AND(B916&gt;=_TM1,B916&lt;=_TM2,OR(TH!L916="1111",TH!M916="1111")),TH!D916,""),"")</f>
        <v>C19</v>
      </c>
      <c r="B916" s="36">
        <f t="shared" si="40"/>
        <v>11</v>
      </c>
      <c r="C916" s="188">
        <f t="shared" si="41"/>
        <v>41591</v>
      </c>
      <c r="D916" s="181" t="s">
        <v>1263</v>
      </c>
      <c r="E916" s="188">
        <v>41591</v>
      </c>
      <c r="F916" s="186" t="s">
        <v>344</v>
      </c>
      <c r="G916" s="480" t="s">
        <v>528</v>
      </c>
      <c r="H916" s="7" t="s">
        <v>368</v>
      </c>
      <c r="I916" s="250"/>
      <c r="J916" s="250"/>
      <c r="K916" s="595">
        <v>136000</v>
      </c>
      <c r="L916" s="596" t="s">
        <v>9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IF(OR(TH!L916=TH!$U$7,M916=TH!$U$7),"x","")</f>
        <v/>
      </c>
      <c r="V916" s="52" t="str">
        <f>IF(AND(B916&gt;='IN-NX'!$P$3,B916&lt;='IN-NX'!$Q$3,'IN-NX'!$D$7=D916,OR(LEFT(L916,2)="15",AND(LEFT(M916,2)&lt;&gt;"15",LEFT(M916,2)&lt;&gt;"33"))),"x","")</f>
        <v/>
      </c>
      <c r="W916" s="52" t="str">
        <f>IF(AND(OR(LEFT(TH!L916,2)="15",LEFT(TH!M916,2)="15"),'152-CT'!$J$8=TH!F916),"x","")</f>
        <v/>
      </c>
      <c r="X916" s="52" t="str">
        <f>IF(AND(OR(LEFT(TH!L916,2)="15",LEFT(TH!M916,2)="15"),TK!$E$7=TH!F916),"x","")</f>
        <v/>
      </c>
      <c r="Y916" s="52" t="str">
        <f>IF(AND(B916&lt;=NKC!$N$8,B916&gt;=NKC!$M$8),"x","")</f>
        <v/>
      </c>
      <c r="Z916" s="587" t="s">
        <v>1336</v>
      </c>
      <c r="AA916" s="208"/>
      <c r="AB916" s="587"/>
    </row>
    <row r="917" spans="1:28" ht="15.75" customHeight="1">
      <c r="A917" s="201" t="str">
        <f>IF(B917&lt;&gt;"",IF(AND(B917&gt;=_TM1,B917&lt;=_TM2,OR(TH!L917="1111",TH!M917="1111")),TH!D917,""),"")</f>
        <v/>
      </c>
      <c r="B917" s="36">
        <f t="shared" si="40"/>
        <v>11</v>
      </c>
      <c r="C917" s="188">
        <f t="shared" si="41"/>
        <v>41591</v>
      </c>
      <c r="D917" s="181" t="s">
        <v>1048</v>
      </c>
      <c r="E917" s="188">
        <v>41591</v>
      </c>
      <c r="F917" s="189" t="s">
        <v>805</v>
      </c>
      <c r="G917" s="480" t="s">
        <v>978</v>
      </c>
      <c r="H917" s="7" t="s">
        <v>710</v>
      </c>
      <c r="I917" s="249">
        <v>395</v>
      </c>
      <c r="J917" s="249">
        <v>10500</v>
      </c>
      <c r="K917" s="38">
        <f>ROUND(I917*J917,0)</f>
        <v>4147500</v>
      </c>
      <c r="L917" s="191" t="s">
        <v>262</v>
      </c>
      <c r="M917" s="191" t="s">
        <v>172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IF(OR(TH!L917=TH!$U$7,M917=TH!$U$7),"x","")</f>
        <v/>
      </c>
      <c r="V917" s="52" t="str">
        <f>IF(AND(B917&gt;='IN-NX'!$P$3,B917&lt;='IN-NX'!$Q$3,'IN-NX'!$D$7=D917,OR(LEFT(L917,2)="15",AND(LEFT(M917,2)&lt;&gt;"15",LEFT(M917,2)&lt;&gt;"33"))),"x","")</f>
        <v/>
      </c>
      <c r="W917" s="52" t="str">
        <f>IF(AND(OR(LEFT(TH!L917,2)="15",LEFT(TH!M917,2)="15"),'152-CT'!$J$8=TH!F917),"x","")</f>
        <v/>
      </c>
      <c r="X917" s="52" t="str">
        <f>IF(AND(OR(LEFT(TH!L917,2)="15",LEFT(TH!M917,2)="15"),TK!$E$7=TH!F917),"x","")</f>
        <v/>
      </c>
      <c r="Y917" s="52" t="str">
        <f>IF(AND(B917&lt;=NKC!$N$8,B917&gt;=NKC!$M$8),"x","")</f>
        <v/>
      </c>
      <c r="Z917" s="769"/>
      <c r="AA917" s="587"/>
    </row>
    <row r="918" spans="1:28" ht="15.75" customHeight="1">
      <c r="A918" s="201" t="str">
        <f>IF(B918&lt;&gt;"",IF(AND(B918&gt;=_TM1,B918&lt;=_TM2,OR(TH!L918="1111",TH!M918="1111")),TH!D918,""),"")</f>
        <v/>
      </c>
      <c r="B918" s="36">
        <f t="shared" si="40"/>
        <v>11</v>
      </c>
      <c r="C918" s="188">
        <f t="shared" si="41"/>
        <v>41591</v>
      </c>
      <c r="D918" s="181" t="s">
        <v>1048</v>
      </c>
      <c r="E918" s="188">
        <v>41591</v>
      </c>
      <c r="F918" s="835" t="s">
        <v>693</v>
      </c>
      <c r="G918" s="480" t="s">
        <v>978</v>
      </c>
      <c r="H918" s="7" t="s">
        <v>710</v>
      </c>
      <c r="I918" s="249"/>
      <c r="J918" s="249"/>
      <c r="K918" s="38">
        <v>414750</v>
      </c>
      <c r="L918" s="191" t="s">
        <v>262</v>
      </c>
      <c r="M918" s="191" t="s">
        <v>425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IF(OR(TH!L918=TH!$U$7,M918=TH!$U$7),"x","")</f>
        <v/>
      </c>
      <c r="V918" s="52" t="str">
        <f>IF(AND(B918&gt;='IN-NX'!$P$3,B918&lt;='IN-NX'!$Q$3,'IN-NX'!$D$7=D918,OR(LEFT(L918,2)="15",AND(LEFT(M918,2)&lt;&gt;"15",LEFT(M918,2)&lt;&gt;"33"))),"x","")</f>
        <v/>
      </c>
      <c r="W918" s="52" t="str">
        <f>IF(AND(OR(LEFT(TH!L918,2)="15",LEFT(TH!M918,2)="15"),'152-CT'!$J$8=TH!F918),"x","")</f>
        <v/>
      </c>
      <c r="X918" s="52" t="str">
        <f>IF(AND(OR(LEFT(TH!L918,2)="15",LEFT(TH!M918,2)="15"),TK!$E$7=TH!F918),"x","")</f>
        <v/>
      </c>
      <c r="Y918" s="52" t="str">
        <f>IF(AND(B918&lt;=NKC!$N$8,B918&gt;=NKC!$M$8),"x","")</f>
        <v/>
      </c>
      <c r="Z918" s="769"/>
      <c r="AA918" s="587" t="str">
        <f>IF(VLOOKUP(H918,DS_131,1,0)&lt;&gt;"","","x")</f>
        <v/>
      </c>
    </row>
    <row r="919" spans="1:28" ht="15.75" customHeight="1">
      <c r="A919" s="201" t="str">
        <f>IF(B919&lt;&gt;"",IF(AND(B919&gt;=_TM1,B919&lt;=_TM2,OR(TH!L919="1111",TH!M919="1111")),TH!D919,""),"")</f>
        <v/>
      </c>
      <c r="B919" s="36">
        <f t="shared" si="40"/>
        <v>11</v>
      </c>
      <c r="C919" s="181">
        <f t="shared" si="41"/>
        <v>41592</v>
      </c>
      <c r="D919" s="181" t="s">
        <v>335</v>
      </c>
      <c r="E919" s="188">
        <v>41592</v>
      </c>
      <c r="F919" s="186" t="s">
        <v>337</v>
      </c>
      <c r="G919" s="597" t="s">
        <v>332</v>
      </c>
      <c r="H919" s="7" t="s">
        <v>506</v>
      </c>
      <c r="I919" s="250"/>
      <c r="J919" s="251"/>
      <c r="K919" s="38">
        <v>14204124</v>
      </c>
      <c r="L919" s="596" t="s">
        <v>24</v>
      </c>
      <c r="M919" s="596" t="s">
        <v>262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IF(OR(TH!L919=TH!$U$7,M919=TH!$U$7),"x","")</f>
        <v/>
      </c>
      <c r="V919" s="52" t="str">
        <f>IF(AND(B919&gt;='IN-NX'!$P$3,B919&lt;='IN-NX'!$Q$3,'IN-NX'!$D$7=D919,OR(LEFT(L919,2)="15",AND(LEFT(M919,2)&lt;&gt;"15",LEFT(M919,2)&lt;&gt;"33"))),"x","")</f>
        <v/>
      </c>
      <c r="W919" s="52" t="str">
        <f>IF(AND(OR(LEFT(TH!L919,2)="15",LEFT(TH!M919,2)="15"),'152-CT'!$J$8=TH!F919),"x","")</f>
        <v/>
      </c>
      <c r="X919" s="52" t="str">
        <f>IF(AND(OR(LEFT(TH!L919,2)="15",LEFT(TH!M919,2)="15"),TK!$E$7=TH!F919),"x","")</f>
        <v/>
      </c>
      <c r="Y919" s="52" t="str">
        <f>IF(AND(B919&lt;=NKC!$N$8,B919&gt;=NKC!$M$8),"x","")</f>
        <v/>
      </c>
      <c r="Z919" s="208"/>
      <c r="AA919" s="587"/>
      <c r="AB919" s="587"/>
    </row>
    <row r="920" spans="1:28" ht="15.75" customHeight="1">
      <c r="A920" s="201" t="str">
        <f>IF(B920&lt;&gt;"",IF(AND(B920&gt;=_TM1,B920&lt;=_TM2,OR(TH!L920="1111",TH!M920="1111")),TH!D920,""),"")</f>
        <v/>
      </c>
      <c r="B920" s="36">
        <f t="shared" si="40"/>
        <v>11</v>
      </c>
      <c r="C920" s="188">
        <f t="shared" si="41"/>
        <v>41592</v>
      </c>
      <c r="D920" s="181" t="s">
        <v>1049</v>
      </c>
      <c r="E920" s="188">
        <v>41592</v>
      </c>
      <c r="F920" s="189" t="s">
        <v>1095</v>
      </c>
      <c r="G920" s="480" t="s">
        <v>979</v>
      </c>
      <c r="H920" s="7" t="s">
        <v>757</v>
      </c>
      <c r="I920" s="249">
        <v>500</v>
      </c>
      <c r="J920" s="249">
        <v>16380</v>
      </c>
      <c r="K920" s="38">
        <f>ROUND(I920*J920,0)</f>
        <v>8190000</v>
      </c>
      <c r="L920" s="191" t="s">
        <v>262</v>
      </c>
      <c r="M920" s="191" t="s">
        <v>172</v>
      </c>
      <c r="N920" s="52" t="str">
        <f>IF(AND('331-CT'!$E$7=TH!H920,OR(L920="331",M920="331")),"331",IF(AND(OR(L920="131",M920="131"),H920='131-CT'!$E$7),"131",""))</f>
        <v>131</v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IF(OR(TH!L920=TH!$U$7,M920=TH!$U$7),"x","")</f>
        <v/>
      </c>
      <c r="V920" s="52" t="str">
        <f>IF(AND(B920&gt;='IN-NX'!$P$3,B920&lt;='IN-NX'!$Q$3,'IN-NX'!$D$7=D920,OR(LEFT(L920,2)="15",AND(LEFT(M920,2)&lt;&gt;"15",LEFT(M920,2)&lt;&gt;"33"))),"x","")</f>
        <v/>
      </c>
      <c r="W920" s="52" t="str">
        <f>IF(AND(OR(LEFT(TH!L920,2)="15",LEFT(TH!M920,2)="15"),'152-CT'!$J$8=TH!F920),"x","")</f>
        <v/>
      </c>
      <c r="X920" s="52" t="str">
        <f>IF(AND(OR(LEFT(TH!L920,2)="15",LEFT(TH!M920,2)="15"),TK!$E$7=TH!F920),"x","")</f>
        <v/>
      </c>
      <c r="Y920" s="52" t="str">
        <f>IF(AND(B920&lt;=NKC!$N$8,B920&gt;=NKC!$M$8),"x","")</f>
        <v/>
      </c>
      <c r="Z920" s="769"/>
      <c r="AA920" s="587"/>
    </row>
    <row r="921" spans="1:28" ht="15.75" customHeight="1">
      <c r="A921" s="201" t="str">
        <f>IF(B921&lt;&gt;"",IF(AND(B921&gt;=_TM1,B921&lt;=_TM2,OR(TH!L921="1111",TH!M921="1111")),TH!D921,""),"")</f>
        <v/>
      </c>
      <c r="B921" s="36">
        <f t="shared" si="40"/>
        <v>11</v>
      </c>
      <c r="C921" s="188">
        <f t="shared" si="41"/>
        <v>41592</v>
      </c>
      <c r="D921" s="181" t="s">
        <v>1049</v>
      </c>
      <c r="E921" s="188">
        <v>41592</v>
      </c>
      <c r="F921" s="835" t="s">
        <v>693</v>
      </c>
      <c r="G921" s="480" t="s">
        <v>979</v>
      </c>
      <c r="H921" s="7" t="s">
        <v>757</v>
      </c>
      <c r="I921" s="249"/>
      <c r="J921" s="249"/>
      <c r="K921" s="38">
        <v>819000</v>
      </c>
      <c r="L921" s="191" t="s">
        <v>262</v>
      </c>
      <c r="M921" s="191" t="s">
        <v>425</v>
      </c>
      <c r="N921" s="52" t="str">
        <f>IF(AND('331-CT'!$E$7=TH!H921,OR(L921="331",M921="331")),"331",IF(AND(OR(L921="131",M921="131"),H921='131-CT'!$E$7),"131",""))</f>
        <v>131</v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IF(OR(TH!L921=TH!$U$7,M921=TH!$U$7),"x","")</f>
        <v/>
      </c>
      <c r="V921" s="52" t="str">
        <f>IF(AND(B921&gt;='IN-NX'!$P$3,B921&lt;='IN-NX'!$Q$3,'IN-NX'!$D$7=D921,OR(LEFT(L921,2)="15",AND(LEFT(M921,2)&lt;&gt;"15",LEFT(M921,2)&lt;&gt;"33"))),"x","")</f>
        <v/>
      </c>
      <c r="W921" s="52" t="str">
        <f>IF(AND(OR(LEFT(TH!L921,2)="15",LEFT(TH!M921,2)="15"),'152-CT'!$J$8=TH!F921),"x","")</f>
        <v/>
      </c>
      <c r="X921" s="52" t="str">
        <f>IF(AND(OR(LEFT(TH!L921,2)="15",LEFT(TH!M921,2)="15"),TK!$E$7=TH!F921),"x","")</f>
        <v/>
      </c>
      <c r="Y921" s="52" t="str">
        <f>IF(AND(B921&lt;=NKC!$N$8,B921&gt;=NKC!$M$8),"x","")</f>
        <v/>
      </c>
      <c r="Z921" s="769"/>
      <c r="AA921" s="587" t="str">
        <f>IF(VLOOKUP(H921,DS_131,1,0)&lt;&gt;"","","x")</f>
        <v/>
      </c>
    </row>
    <row r="922" spans="1:28" ht="15.75" customHeight="1">
      <c r="A922" s="201" t="str">
        <f>IF(B922&lt;&gt;"",IF(AND(B922&gt;=_TM1,B922&lt;=_TM2,OR(TH!L922="1111",TH!M922="1111")),TH!D922,""),"")</f>
        <v>T17</v>
      </c>
      <c r="B922" s="36">
        <f t="shared" si="40"/>
        <v>11</v>
      </c>
      <c r="C922" s="188">
        <f t="shared" si="41"/>
        <v>41592</v>
      </c>
      <c r="D922" s="181" t="s">
        <v>1271</v>
      </c>
      <c r="E922" s="188">
        <v>41592</v>
      </c>
      <c r="F922" s="186" t="s">
        <v>337</v>
      </c>
      <c r="G922" s="480" t="s">
        <v>1306</v>
      </c>
      <c r="H922" s="7" t="s">
        <v>757</v>
      </c>
      <c r="I922" s="249"/>
      <c r="J922" s="249"/>
      <c r="K922" s="38">
        <v>16994450</v>
      </c>
      <c r="L922" s="191" t="s">
        <v>47</v>
      </c>
      <c r="M922" s="191" t="s">
        <v>262</v>
      </c>
      <c r="N922" s="52" t="str">
        <f>IF(AND('331-CT'!$E$7=TH!H922,OR(L922="331",M922="331")),"331",IF(AND(OR(L922="131",M922="131"),H922='131-CT'!$E$7),"131",""))</f>
        <v>131</v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IF(OR(TH!L922=TH!$U$7,M922=TH!$U$7),"x","")</f>
        <v/>
      </c>
      <c r="V922" s="52" t="str">
        <f>IF(AND(B922&gt;='IN-NX'!$P$3,B922&lt;='IN-NX'!$Q$3,'IN-NX'!$D$7=D922,OR(LEFT(L922,2)="15",AND(LEFT(M922,2)&lt;&gt;"15",LEFT(M922,2)&lt;&gt;"33"))),"x","")</f>
        <v/>
      </c>
      <c r="W922" s="52" t="str">
        <f>IF(AND(OR(LEFT(TH!L922,2)="15",LEFT(TH!M922,2)="15"),'152-CT'!$J$8=TH!F922),"x","")</f>
        <v/>
      </c>
      <c r="X922" s="52" t="str">
        <f>IF(AND(OR(LEFT(TH!L922,2)="15",LEFT(TH!M922,2)="15"),TK!$E$7=TH!F922),"x","")</f>
        <v/>
      </c>
      <c r="Y922" s="52" t="str">
        <f>IF(AND(B922&lt;=NKC!$N$8,B922&gt;=NKC!$M$8),"x","")</f>
        <v/>
      </c>
      <c r="Z922" s="769"/>
      <c r="AA922" s="587" t="str">
        <f>IF(VLOOKUP(H922,DS_131,1,0)&lt;&gt;"","","x")</f>
        <v/>
      </c>
    </row>
    <row r="923" spans="1:28" ht="15.75" customHeight="1">
      <c r="A923" s="201" t="str">
        <f>IF(B923&lt;&gt;"",IF(AND(B923&gt;=_TM1,B923&lt;=_TM2,OR(TH!L923="1111",TH!M923="1111")),TH!D923,""),"")</f>
        <v/>
      </c>
      <c r="B923" s="36">
        <f t="shared" si="40"/>
        <v>11</v>
      </c>
      <c r="C923" s="188">
        <f t="shared" si="41"/>
        <v>41592</v>
      </c>
      <c r="D923" s="181" t="s">
        <v>1050</v>
      </c>
      <c r="E923" s="188">
        <v>41592</v>
      </c>
      <c r="F923" s="189" t="s">
        <v>805</v>
      </c>
      <c r="G923" s="480" t="s">
        <v>980</v>
      </c>
      <c r="H923" s="7" t="s">
        <v>710</v>
      </c>
      <c r="I923" s="249">
        <v>500</v>
      </c>
      <c r="J923" s="249">
        <v>10500</v>
      </c>
      <c r="K923" s="38">
        <f>ROUND(I923*J923,0)</f>
        <v>5250000</v>
      </c>
      <c r="L923" s="191" t="s">
        <v>262</v>
      </c>
      <c r="M923" s="191" t="s">
        <v>172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IF(OR(TH!L923=TH!$U$7,M923=TH!$U$7),"x","")</f>
        <v/>
      </c>
      <c r="V923" s="52" t="str">
        <f>IF(AND(B923&gt;='IN-NX'!$P$3,B923&lt;='IN-NX'!$Q$3,'IN-NX'!$D$7=D923,OR(LEFT(L923,2)="15",AND(LEFT(M923,2)&lt;&gt;"15",LEFT(M923,2)&lt;&gt;"33"))),"x","")</f>
        <v/>
      </c>
      <c r="W923" s="52" t="str">
        <f>IF(AND(OR(LEFT(TH!L923,2)="15",LEFT(TH!M923,2)="15"),'152-CT'!$J$8=TH!F923),"x","")</f>
        <v/>
      </c>
      <c r="X923" s="52" t="str">
        <f>IF(AND(OR(LEFT(TH!L923,2)="15",LEFT(TH!M923,2)="15"),TK!$E$7=TH!F923),"x","")</f>
        <v/>
      </c>
      <c r="Y923" s="52" t="str">
        <f>IF(AND(B923&lt;=NKC!$N$8,B923&gt;=NKC!$M$8),"x","")</f>
        <v/>
      </c>
      <c r="Z923" s="769"/>
      <c r="AA923" s="587"/>
    </row>
    <row r="924" spans="1:28" ht="15.75" customHeight="1">
      <c r="A924" s="201" t="str">
        <f>IF(B924&lt;&gt;"",IF(AND(B924&gt;=_TM1,B924&lt;=_TM2,OR(TH!L924="1111",TH!M924="1111")),TH!D924,""),"")</f>
        <v/>
      </c>
      <c r="B924" s="36">
        <f t="shared" si="40"/>
        <v>11</v>
      </c>
      <c r="C924" s="188">
        <f t="shared" si="41"/>
        <v>41592</v>
      </c>
      <c r="D924" s="181" t="s">
        <v>1050</v>
      </c>
      <c r="E924" s="188">
        <v>41592</v>
      </c>
      <c r="F924" s="189" t="s">
        <v>693</v>
      </c>
      <c r="G924" s="480" t="s">
        <v>980</v>
      </c>
      <c r="H924" s="7" t="s">
        <v>710</v>
      </c>
      <c r="I924" s="249"/>
      <c r="J924" s="249"/>
      <c r="K924" s="38">
        <v>525000</v>
      </c>
      <c r="L924" s="191" t="s">
        <v>262</v>
      </c>
      <c r="M924" s="191" t="s">
        <v>425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IF(OR(TH!L924=TH!$U$7,M924=TH!$U$7),"x","")</f>
        <v/>
      </c>
      <c r="V924" s="52" t="str">
        <f>IF(AND(B924&gt;='IN-NX'!$P$3,B924&lt;='IN-NX'!$Q$3,'IN-NX'!$D$7=D924,OR(LEFT(L924,2)="15",AND(LEFT(M924,2)&lt;&gt;"15",LEFT(M924,2)&lt;&gt;"33"))),"x","")</f>
        <v/>
      </c>
      <c r="W924" s="52" t="str">
        <f>IF(AND(OR(LEFT(TH!L924,2)="15",LEFT(TH!M924,2)="15"),'152-CT'!$J$8=TH!F924),"x","")</f>
        <v/>
      </c>
      <c r="X924" s="52" t="str">
        <f>IF(AND(OR(LEFT(TH!L924,2)="15",LEFT(TH!M924,2)="15"),TK!$E$7=TH!F924),"x","")</f>
        <v/>
      </c>
      <c r="Y924" s="52" t="str">
        <f>IF(AND(B924&lt;=NKC!$N$8,B924&gt;=NKC!$M$8),"x","")</f>
        <v/>
      </c>
      <c r="Z924" s="769"/>
      <c r="AA924" s="587" t="str">
        <f>IF(VLOOKUP(H924,DS_131,1,0)&lt;&gt;"","","x")</f>
        <v/>
      </c>
    </row>
    <row r="925" spans="1:28" ht="15.75" customHeight="1">
      <c r="A925" s="201" t="str">
        <f>IF(B925&lt;&gt;"",IF(AND(B925&gt;=_TM1,B925&lt;=_TM2,OR(TH!L925="1111",TH!M925="1111")),TH!D925,""),"")</f>
        <v/>
      </c>
      <c r="B925" s="36">
        <f t="shared" si="40"/>
        <v>11</v>
      </c>
      <c r="C925" s="188">
        <f t="shared" si="41"/>
        <v>41592</v>
      </c>
      <c r="D925" s="181" t="s">
        <v>1051</v>
      </c>
      <c r="E925" s="188">
        <v>41592</v>
      </c>
      <c r="F925" s="189" t="s">
        <v>1116</v>
      </c>
      <c r="G925" s="480" t="s">
        <v>981</v>
      </c>
      <c r="H925" s="7" t="s">
        <v>863</v>
      </c>
      <c r="I925" s="249">
        <v>2642</v>
      </c>
      <c r="J925" s="249">
        <v>4700</v>
      </c>
      <c r="K925" s="38">
        <f>ROUND(I925*J925,0)</f>
        <v>12417400</v>
      </c>
      <c r="L925" s="191" t="s">
        <v>262</v>
      </c>
      <c r="M925" s="191" t="s">
        <v>172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IF(OR(TH!L925=TH!$U$7,M925=TH!$U$7),"x","")</f>
        <v/>
      </c>
      <c r="V925" s="52" t="str">
        <f>IF(AND(B925&gt;='IN-NX'!$P$3,B925&lt;='IN-NX'!$Q$3,'IN-NX'!$D$7=D925,OR(LEFT(L925,2)="15",AND(LEFT(M925,2)&lt;&gt;"15",LEFT(M925,2)&lt;&gt;"33"))),"x","")</f>
        <v/>
      </c>
      <c r="W925" s="52" t="str">
        <f>IF(AND(OR(LEFT(TH!L925,2)="15",LEFT(TH!M925,2)="15"),'152-CT'!$J$8=TH!F925),"x","")</f>
        <v/>
      </c>
      <c r="X925" s="52" t="str">
        <f>IF(AND(OR(LEFT(TH!L925,2)="15",LEFT(TH!M925,2)="15"),TK!$E$7=TH!F925),"x","")</f>
        <v/>
      </c>
      <c r="Y925" s="52" t="str">
        <f>IF(AND(B925&lt;=NKC!$N$8,B925&gt;=NKC!$M$8),"x","")</f>
        <v/>
      </c>
      <c r="Z925" s="769"/>
      <c r="AA925" s="587"/>
    </row>
    <row r="926" spans="1:28" ht="15.75" customHeight="1">
      <c r="A926" s="201" t="str">
        <f>IF(B926&lt;&gt;"",IF(AND(B926&gt;=_TM1,B926&lt;=_TM2,OR(TH!L926="1111",TH!M926="1111")),TH!D926,""),"")</f>
        <v/>
      </c>
      <c r="B926" s="36">
        <f t="shared" si="40"/>
        <v>11</v>
      </c>
      <c r="C926" s="188">
        <f t="shared" si="41"/>
        <v>41592</v>
      </c>
      <c r="D926" s="181" t="s">
        <v>1051</v>
      </c>
      <c r="E926" s="188">
        <v>41592</v>
      </c>
      <c r="F926" s="189" t="s">
        <v>693</v>
      </c>
      <c r="G926" s="480" t="s">
        <v>981</v>
      </c>
      <c r="H926" s="190" t="s">
        <v>863</v>
      </c>
      <c r="I926" s="249"/>
      <c r="J926" s="249"/>
      <c r="K926" s="38">
        <v>1241740</v>
      </c>
      <c r="L926" s="191" t="s">
        <v>262</v>
      </c>
      <c r="M926" s="191" t="s">
        <v>425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IF(OR(TH!L926=TH!$U$7,M926=TH!$U$7),"x","")</f>
        <v/>
      </c>
      <c r="V926" s="52" t="str">
        <f>IF(AND(B926&gt;='IN-NX'!$P$3,B926&lt;='IN-NX'!$Q$3,'IN-NX'!$D$7=D926,OR(LEFT(L926,2)="15",AND(LEFT(M926,2)&lt;&gt;"15",LEFT(M926,2)&lt;&gt;"33"))),"x","")</f>
        <v/>
      </c>
      <c r="W926" s="52" t="str">
        <f>IF(AND(OR(LEFT(TH!L926,2)="15",LEFT(TH!M926,2)="15"),'152-CT'!$J$8=TH!F926),"x","")</f>
        <v/>
      </c>
      <c r="X926" s="52" t="str">
        <f>IF(AND(OR(LEFT(TH!L926,2)="15",LEFT(TH!M926,2)="15"),TK!$E$7=TH!F926),"x","")</f>
        <v/>
      </c>
      <c r="Y926" s="52" t="str">
        <f>IF(AND(B926&lt;=NKC!$N$8,B926&gt;=NKC!$M$8),"x","")</f>
        <v/>
      </c>
      <c r="Z926" s="769"/>
      <c r="AA926" s="587" t="str">
        <f>IF(VLOOKUP(H926,DS_131,1,0)&lt;&gt;"","","x")</f>
        <v/>
      </c>
    </row>
    <row r="927" spans="1:28" ht="15.75" customHeight="1">
      <c r="A927" s="201" t="str">
        <f>IF(B927&lt;&gt;"",IF(AND(B927&gt;=_TM1,B927&lt;=_TM2,OR(TH!L927="1111",TH!M927="1111")),TH!D927,""),"")</f>
        <v/>
      </c>
      <c r="B927" s="36">
        <f t="shared" si="40"/>
        <v>11</v>
      </c>
      <c r="C927" s="188">
        <f t="shared" si="41"/>
        <v>41593</v>
      </c>
      <c r="D927" s="181" t="s">
        <v>1052</v>
      </c>
      <c r="E927" s="188">
        <v>41593</v>
      </c>
      <c r="F927" s="189" t="s">
        <v>1128</v>
      </c>
      <c r="G927" s="480" t="s">
        <v>982</v>
      </c>
      <c r="H927" s="7" t="s">
        <v>511</v>
      </c>
      <c r="I927" s="249">
        <v>2330</v>
      </c>
      <c r="J927" s="249">
        <v>5860</v>
      </c>
      <c r="K927" s="38">
        <f>ROUND(I927*J927,0)</f>
        <v>13653800</v>
      </c>
      <c r="L927" s="191" t="s">
        <v>262</v>
      </c>
      <c r="M927" s="191" t="s">
        <v>172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IF(OR(TH!L927=TH!$U$7,M927=TH!$U$7),"x","")</f>
        <v/>
      </c>
      <c r="V927" s="52" t="str">
        <f>IF(AND(B927&gt;='IN-NX'!$P$3,B927&lt;='IN-NX'!$Q$3,'IN-NX'!$D$7=D927,OR(LEFT(L927,2)="15",AND(LEFT(M927,2)&lt;&gt;"15",LEFT(M927,2)&lt;&gt;"33"))),"x","")</f>
        <v/>
      </c>
      <c r="W927" s="52" t="str">
        <f>IF(AND(OR(LEFT(TH!L927,2)="15",LEFT(TH!M927,2)="15"),'152-CT'!$J$8=TH!F927),"x","")</f>
        <v/>
      </c>
      <c r="X927" s="52" t="str">
        <f>IF(AND(OR(LEFT(TH!L927,2)="15",LEFT(TH!M927,2)="15"),TK!$E$7=TH!F927),"x","")</f>
        <v/>
      </c>
      <c r="Y927" s="52" t="str">
        <f>IF(AND(B927&lt;=NKC!$N$8,B927&gt;=NKC!$M$8),"x","")</f>
        <v/>
      </c>
      <c r="Z927" s="769"/>
      <c r="AA927" s="587"/>
    </row>
    <row r="928" spans="1:28" ht="15.75" customHeight="1">
      <c r="A928" s="201" t="str">
        <f>IF(B928&lt;&gt;"",IF(AND(B928&gt;=_TM1,B928&lt;=_TM2,OR(TH!L928="1111",TH!M928="1111")),TH!D928,""),"")</f>
        <v/>
      </c>
      <c r="B928" s="36">
        <f t="shared" si="40"/>
        <v>11</v>
      </c>
      <c r="C928" s="188">
        <f t="shared" si="41"/>
        <v>41593</v>
      </c>
      <c r="D928" s="181" t="s">
        <v>1052</v>
      </c>
      <c r="E928" s="188">
        <v>41593</v>
      </c>
      <c r="F928" s="189" t="s">
        <v>693</v>
      </c>
      <c r="G928" s="480" t="s">
        <v>982</v>
      </c>
      <c r="H928" s="190" t="s">
        <v>511</v>
      </c>
      <c r="I928" s="249"/>
      <c r="J928" s="249"/>
      <c r="K928" s="38">
        <v>1365380</v>
      </c>
      <c r="L928" s="191" t="s">
        <v>262</v>
      </c>
      <c r="M928" s="191" t="s">
        <v>425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IF(OR(TH!L928=TH!$U$7,M928=TH!$U$7),"x","")</f>
        <v/>
      </c>
      <c r="V928" s="52" t="str">
        <f>IF(AND(B928&gt;='IN-NX'!$P$3,B928&lt;='IN-NX'!$Q$3,'IN-NX'!$D$7=D928,OR(LEFT(L928,2)="15",AND(LEFT(M928,2)&lt;&gt;"15",LEFT(M928,2)&lt;&gt;"33"))),"x","")</f>
        <v/>
      </c>
      <c r="W928" s="52" t="str">
        <f>IF(AND(OR(LEFT(TH!L928,2)="15",LEFT(TH!M928,2)="15"),'152-CT'!$J$8=TH!F928),"x","")</f>
        <v/>
      </c>
      <c r="X928" s="52" t="str">
        <f>IF(AND(OR(LEFT(TH!L928,2)="15",LEFT(TH!M928,2)="15"),TK!$E$7=TH!F928),"x","")</f>
        <v/>
      </c>
      <c r="Y928" s="52" t="str">
        <f>IF(AND(B928&lt;=NKC!$N$8,B928&gt;=NKC!$M$8),"x","")</f>
        <v/>
      </c>
      <c r="Z928" s="769"/>
      <c r="AA928" s="587" t="str">
        <f>IF(VLOOKUP(H928,DS_131,1,0)&lt;&gt;"","","x")</f>
        <v/>
      </c>
    </row>
    <row r="929" spans="1:28" ht="15.75" customHeight="1">
      <c r="A929" s="201" t="str">
        <f>IF(B929&lt;&gt;"",IF(AND(B929&gt;=_TM1,B929&lt;=_TM2,OR(TH!L929="1111",TH!M929="1111")),TH!D929,""),"")</f>
        <v/>
      </c>
      <c r="B929" s="36">
        <f t="shared" si="40"/>
        <v>11</v>
      </c>
      <c r="C929" s="188">
        <f t="shared" si="41"/>
        <v>41594</v>
      </c>
      <c r="D929" s="181" t="s">
        <v>1053</v>
      </c>
      <c r="E929" s="188">
        <v>41594</v>
      </c>
      <c r="F929" s="189" t="s">
        <v>805</v>
      </c>
      <c r="G929" s="480" t="s">
        <v>983</v>
      </c>
      <c r="H929" s="190" t="s">
        <v>710</v>
      </c>
      <c r="I929" s="249">
        <v>428</v>
      </c>
      <c r="J929" s="249">
        <v>10500</v>
      </c>
      <c r="K929" s="38">
        <f>ROUND(I929*J929,0)</f>
        <v>4494000</v>
      </c>
      <c r="L929" s="191" t="s">
        <v>262</v>
      </c>
      <c r="M929" s="191" t="s">
        <v>172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IF(OR(TH!L929=TH!$U$7,M929=TH!$U$7),"x","")</f>
        <v/>
      </c>
      <c r="V929" s="52" t="str">
        <f>IF(AND(B929&gt;='IN-NX'!$P$3,B929&lt;='IN-NX'!$Q$3,'IN-NX'!$D$7=D929,OR(LEFT(L929,2)="15",AND(LEFT(M929,2)&lt;&gt;"15",LEFT(M929,2)&lt;&gt;"33"))),"x","")</f>
        <v/>
      </c>
      <c r="W929" s="52" t="str">
        <f>IF(AND(OR(LEFT(TH!L929,2)="15",LEFT(TH!M929,2)="15"),'152-CT'!$J$8=TH!F929),"x","")</f>
        <v/>
      </c>
      <c r="X929" s="52" t="str">
        <f>IF(AND(OR(LEFT(TH!L929,2)="15",LEFT(TH!M929,2)="15"),TK!$E$7=TH!F929),"x","")</f>
        <v/>
      </c>
      <c r="Y929" s="52" t="str">
        <f>IF(AND(B929&lt;=NKC!$N$8,B929&gt;=NKC!$M$8),"x","")</f>
        <v/>
      </c>
      <c r="Z929" s="769"/>
      <c r="AA929" s="587"/>
    </row>
    <row r="930" spans="1:28" ht="15.75" customHeight="1">
      <c r="A930" s="201" t="str">
        <f>IF(B930&lt;&gt;"",IF(AND(B930&gt;=_TM1,B930&lt;=_TM2,OR(TH!L930="1111",TH!M930="1111")),TH!D930,""),"")</f>
        <v/>
      </c>
      <c r="B930" s="36">
        <f t="shared" si="40"/>
        <v>11</v>
      </c>
      <c r="C930" s="188">
        <f t="shared" si="41"/>
        <v>41594</v>
      </c>
      <c r="D930" s="181" t="s">
        <v>1053</v>
      </c>
      <c r="E930" s="188">
        <v>41594</v>
      </c>
      <c r="F930" s="189" t="s">
        <v>693</v>
      </c>
      <c r="G930" s="480" t="s">
        <v>983</v>
      </c>
      <c r="H930" s="190" t="s">
        <v>710</v>
      </c>
      <c r="I930" s="249"/>
      <c r="J930" s="249"/>
      <c r="K930" s="38">
        <v>449400</v>
      </c>
      <c r="L930" s="191" t="s">
        <v>262</v>
      </c>
      <c r="M930" s="191" t="s">
        <v>425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IF(OR(TH!L930=TH!$U$7,M930=TH!$U$7),"x","")</f>
        <v/>
      </c>
      <c r="V930" s="52" t="str">
        <f>IF(AND(B930&gt;='IN-NX'!$P$3,B930&lt;='IN-NX'!$Q$3,'IN-NX'!$D$7=D930,OR(LEFT(L930,2)="15",AND(LEFT(M930,2)&lt;&gt;"15",LEFT(M930,2)&lt;&gt;"33"))),"x","")</f>
        <v/>
      </c>
      <c r="W930" s="52" t="str">
        <f>IF(AND(OR(LEFT(TH!L930,2)="15",LEFT(TH!M930,2)="15"),'152-CT'!$J$8=TH!F930),"x","")</f>
        <v/>
      </c>
      <c r="X930" s="52" t="str">
        <f>IF(AND(OR(LEFT(TH!L930,2)="15",LEFT(TH!M930,2)="15"),TK!$E$7=TH!F930),"x","")</f>
        <v/>
      </c>
      <c r="Y930" s="52" t="str">
        <f>IF(AND(B930&lt;=NKC!$N$8,B930&gt;=NKC!$M$8),"x","")</f>
        <v/>
      </c>
      <c r="Z930" s="769"/>
      <c r="AA930" s="587" t="str">
        <f>IF(VLOOKUP(H930,DS_131,1,0)&lt;&gt;"","","x")</f>
        <v/>
      </c>
    </row>
    <row r="931" spans="1:28" ht="15.75" customHeight="1">
      <c r="A931" s="201" t="str">
        <f>IF(B931&lt;&gt;"",IF(AND(B931&gt;=_TM1,B931&lt;=_TM2,OR(TH!L931="1111",TH!M931="1111")),TH!D931,""),"")</f>
        <v>T18</v>
      </c>
      <c r="B931" s="36">
        <f t="shared" si="40"/>
        <v>11</v>
      </c>
      <c r="C931" s="188">
        <f t="shared" si="41"/>
        <v>41594</v>
      </c>
      <c r="D931" s="181" t="s">
        <v>1272</v>
      </c>
      <c r="E931" s="188">
        <v>41594</v>
      </c>
      <c r="F931" s="186" t="s">
        <v>337</v>
      </c>
      <c r="G931" s="480" t="s">
        <v>1326</v>
      </c>
      <c r="H931" s="190" t="s">
        <v>710</v>
      </c>
      <c r="I931" s="249"/>
      <c r="J931" s="249"/>
      <c r="K931" s="38">
        <v>15280650</v>
      </c>
      <c r="L931" s="191" t="s">
        <v>47</v>
      </c>
      <c r="M931" s="191" t="s">
        <v>262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IF(OR(TH!L931=TH!$U$7,M931=TH!$U$7),"x","")</f>
        <v/>
      </c>
      <c r="V931" s="52" t="str">
        <f>IF(AND(B931&gt;='IN-NX'!$P$3,B931&lt;='IN-NX'!$Q$3,'IN-NX'!$D$7=D931,OR(LEFT(L931,2)="15",AND(LEFT(M931,2)&lt;&gt;"15",LEFT(M931,2)&lt;&gt;"33"))),"x","")</f>
        <v/>
      </c>
      <c r="W931" s="52" t="str">
        <f>IF(AND(OR(LEFT(TH!L931,2)="15",LEFT(TH!M931,2)="15"),'152-CT'!$J$8=TH!F931),"x","")</f>
        <v/>
      </c>
      <c r="X931" s="52" t="str">
        <f>IF(AND(OR(LEFT(TH!L931,2)="15",LEFT(TH!M931,2)="15"),TK!$E$7=TH!F931),"x","")</f>
        <v/>
      </c>
      <c r="Y931" s="52" t="str">
        <f>IF(AND(B931&lt;=NKC!$N$8,B931&gt;=NKC!$M$8),"x","")</f>
        <v/>
      </c>
      <c r="Z931" s="769"/>
      <c r="AA931" s="587" t="str">
        <f>IF(VLOOKUP(H931,DS_131,1,0)&lt;&gt;"","","x")</f>
        <v/>
      </c>
    </row>
    <row r="932" spans="1:28" ht="15.75" customHeight="1">
      <c r="A932" s="201" t="str">
        <f>IF(B932&lt;&gt;"",IF(AND(B932&gt;=_TM1,B932&lt;=_TM2,OR(TH!L932="1111",TH!M932="1111")),TH!D932,""),"")</f>
        <v/>
      </c>
      <c r="B932" s="36">
        <f t="shared" si="40"/>
        <v>11</v>
      </c>
      <c r="C932" s="188">
        <f t="shared" si="41"/>
        <v>41596</v>
      </c>
      <c r="D932" s="181" t="s">
        <v>1054</v>
      </c>
      <c r="E932" s="188">
        <v>41596</v>
      </c>
      <c r="F932" s="189" t="s">
        <v>843</v>
      </c>
      <c r="G932" s="480" t="s">
        <v>984</v>
      </c>
      <c r="H932" s="7" t="s">
        <v>507</v>
      </c>
      <c r="I932" s="249">
        <v>1017</v>
      </c>
      <c r="J932" s="249">
        <v>12000</v>
      </c>
      <c r="K932" s="38">
        <f>ROUND(I932*J932,0)</f>
        <v>12204000</v>
      </c>
      <c r="L932" s="191" t="s">
        <v>262</v>
      </c>
      <c r="M932" s="191" t="s">
        <v>172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IF(OR(TH!L932=TH!$U$7,M932=TH!$U$7),"x","")</f>
        <v/>
      </c>
      <c r="V932" s="52" t="str">
        <f>IF(AND(B932&gt;='IN-NX'!$P$3,B932&lt;='IN-NX'!$Q$3,'IN-NX'!$D$7=D932,OR(LEFT(L932,2)="15",AND(LEFT(M932,2)&lt;&gt;"15",LEFT(M932,2)&lt;&gt;"33"))),"x","")</f>
        <v/>
      </c>
      <c r="W932" s="52" t="str">
        <f>IF(AND(OR(LEFT(TH!L932,2)="15",LEFT(TH!M932,2)="15"),'152-CT'!$J$8=TH!F932),"x","")</f>
        <v/>
      </c>
      <c r="X932" s="52" t="str">
        <f>IF(AND(OR(LEFT(TH!L932,2)="15",LEFT(TH!M932,2)="15"),TK!$E$7=TH!F932),"x","")</f>
        <v/>
      </c>
      <c r="Y932" s="52" t="str">
        <f>IF(AND(B932&lt;=NKC!$N$8,B932&gt;=NKC!$M$8),"x","")</f>
        <v/>
      </c>
      <c r="Z932" s="769"/>
      <c r="AA932" s="587"/>
    </row>
    <row r="933" spans="1:28" ht="15.75" customHeight="1">
      <c r="A933" s="201" t="str">
        <f>IF(B933&lt;&gt;"",IF(AND(B933&gt;=_TM1,B933&lt;=_TM2,OR(TH!L933="1111",TH!M933="1111")),TH!D933,""),"")</f>
        <v/>
      </c>
      <c r="B933" s="36">
        <f t="shared" si="40"/>
        <v>11</v>
      </c>
      <c r="C933" s="188">
        <f t="shared" si="41"/>
        <v>41596</v>
      </c>
      <c r="D933" s="181" t="s">
        <v>1054</v>
      </c>
      <c r="E933" s="188">
        <v>41596</v>
      </c>
      <c r="F933" s="189" t="s">
        <v>693</v>
      </c>
      <c r="G933" s="480" t="s">
        <v>984</v>
      </c>
      <c r="H933" s="7" t="s">
        <v>507</v>
      </c>
      <c r="I933" s="249"/>
      <c r="J933" s="249"/>
      <c r="K933" s="38">
        <v>1220400</v>
      </c>
      <c r="L933" s="191" t="s">
        <v>262</v>
      </c>
      <c r="M933" s="191" t="s">
        <v>425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IF(OR(TH!L933=TH!$U$7,M933=TH!$U$7),"x","")</f>
        <v/>
      </c>
      <c r="V933" s="52" t="str">
        <f>IF(AND(B933&gt;='IN-NX'!$P$3,B933&lt;='IN-NX'!$Q$3,'IN-NX'!$D$7=D933,OR(LEFT(L933,2)="15",AND(LEFT(M933,2)&lt;&gt;"15",LEFT(M933,2)&lt;&gt;"33"))),"x","")</f>
        <v/>
      </c>
      <c r="W933" s="52" t="str">
        <f>IF(AND(OR(LEFT(TH!L933,2)="15",LEFT(TH!M933,2)="15"),'152-CT'!$J$8=TH!F933),"x","")</f>
        <v/>
      </c>
      <c r="X933" s="52" t="str">
        <f>IF(AND(OR(LEFT(TH!L933,2)="15",LEFT(TH!M933,2)="15"),TK!$E$7=TH!F933),"x","")</f>
        <v/>
      </c>
      <c r="Y933" s="52" t="str">
        <f>IF(AND(B933&lt;=NKC!$N$8,B933&gt;=NKC!$M$8),"x","")</f>
        <v/>
      </c>
      <c r="Z933" s="769"/>
      <c r="AA933" s="587" t="str">
        <f>IF(VLOOKUP(H933,DS_131,1,0)&lt;&gt;"","","x")</f>
        <v/>
      </c>
    </row>
    <row r="934" spans="1:28" ht="15.75" customHeight="1">
      <c r="A934" s="201" t="str">
        <f>IF(B934&lt;&gt;"",IF(AND(B934&gt;=_TM1,B934&lt;=_TM2,OR(TH!L934="1111",TH!M934="1111")),TH!D934,""),"")</f>
        <v/>
      </c>
      <c r="B934" s="36">
        <f t="shared" si="40"/>
        <v>11</v>
      </c>
      <c r="C934" s="188">
        <f t="shared" si="41"/>
        <v>41597</v>
      </c>
      <c r="D934" s="181" t="s">
        <v>1055</v>
      </c>
      <c r="E934" s="188">
        <v>41597</v>
      </c>
      <c r="F934" s="189" t="s">
        <v>985</v>
      </c>
      <c r="G934" s="189" t="s">
        <v>986</v>
      </c>
      <c r="H934" s="7" t="s">
        <v>846</v>
      </c>
      <c r="I934" s="249">
        <v>70</v>
      </c>
      <c r="J934" s="249">
        <v>42000</v>
      </c>
      <c r="K934" s="38">
        <f>ROUND(I934*J934,0)</f>
        <v>2940000</v>
      </c>
      <c r="L934" s="191" t="s">
        <v>262</v>
      </c>
      <c r="M934" s="191" t="s">
        <v>172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IF(OR(TH!L934=TH!$U$7,M934=TH!$U$7),"x","")</f>
        <v/>
      </c>
      <c r="V934" s="52" t="str">
        <f>IF(AND(B934&gt;='IN-NX'!$P$3,B934&lt;='IN-NX'!$Q$3,'IN-NX'!$D$7=D934,OR(LEFT(L934,2)="15",AND(LEFT(M934,2)&lt;&gt;"15",LEFT(M934,2)&lt;&gt;"33"))),"x","")</f>
        <v/>
      </c>
      <c r="W934" s="52" t="str">
        <f>IF(AND(OR(LEFT(TH!L934,2)="15",LEFT(TH!M934,2)="15"),'152-CT'!$J$8=TH!F934),"x","")</f>
        <v/>
      </c>
      <c r="X934" s="52" t="str">
        <f>IF(AND(OR(LEFT(TH!L934,2)="15",LEFT(TH!M934,2)="15"),TK!$E$7=TH!F934),"x","")</f>
        <v/>
      </c>
      <c r="Y934" s="52" t="str">
        <f>IF(AND(B934&lt;=NKC!$N$8,B934&gt;=NKC!$M$8),"x","")</f>
        <v/>
      </c>
      <c r="Z934" s="769"/>
      <c r="AA934" s="587"/>
    </row>
    <row r="935" spans="1:28" ht="15.75" customHeight="1">
      <c r="A935" s="201" t="str">
        <f>IF(B935&lt;&gt;"",IF(AND(B935&gt;=_TM1,B935&lt;=_TM2,OR(TH!L935="1111",TH!M935="1111")),TH!D935,""),"")</f>
        <v/>
      </c>
      <c r="B935" s="36">
        <f t="shared" si="40"/>
        <v>11</v>
      </c>
      <c r="C935" s="188">
        <f t="shared" si="41"/>
        <v>41597</v>
      </c>
      <c r="D935" s="181" t="s">
        <v>1055</v>
      </c>
      <c r="E935" s="188">
        <v>41597</v>
      </c>
      <c r="F935" s="189" t="s">
        <v>847</v>
      </c>
      <c r="G935" s="189" t="s">
        <v>986</v>
      </c>
      <c r="H935" s="7" t="s">
        <v>846</v>
      </c>
      <c r="I935" s="249">
        <v>70</v>
      </c>
      <c r="J935" s="249">
        <v>45000</v>
      </c>
      <c r="K935" s="38">
        <f>ROUND(I935*J935,0)</f>
        <v>3150000</v>
      </c>
      <c r="L935" s="191" t="s">
        <v>262</v>
      </c>
      <c r="M935" s="191" t="s">
        <v>172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IF(OR(TH!L935=TH!$U$7,M935=TH!$U$7),"x","")</f>
        <v/>
      </c>
      <c r="V935" s="52" t="str">
        <f>IF(AND(B935&gt;='IN-NX'!$P$3,B935&lt;='IN-NX'!$Q$3,'IN-NX'!$D$7=D935,OR(LEFT(L935,2)="15",AND(LEFT(M935,2)&lt;&gt;"15",LEFT(M935,2)&lt;&gt;"33"))),"x","")</f>
        <v/>
      </c>
      <c r="W935" s="52" t="str">
        <f>IF(AND(OR(LEFT(TH!L935,2)="15",LEFT(TH!M935,2)="15"),'152-CT'!$J$8=TH!F935),"x","")</f>
        <v/>
      </c>
      <c r="X935" s="52" t="str">
        <f>IF(AND(OR(LEFT(TH!L935,2)="15",LEFT(TH!M935,2)="15"),TK!$E$7=TH!F935),"x","")</f>
        <v/>
      </c>
      <c r="Y935" s="52" t="str">
        <f>IF(AND(B935&lt;=NKC!$N$8,B935&gt;=NKC!$M$8),"x","")</f>
        <v/>
      </c>
      <c r="Z935" s="769"/>
      <c r="AA935" s="587"/>
    </row>
    <row r="936" spans="1:28" ht="15.75" customHeight="1">
      <c r="A936" s="201" t="str">
        <f>IF(B936&lt;&gt;"",IF(AND(B936&gt;=_TM1,B936&lt;=_TM2,OR(TH!L936="1111",TH!M936="1111")),TH!D936,""),"")</f>
        <v/>
      </c>
      <c r="B936" s="36">
        <f t="shared" si="40"/>
        <v>11</v>
      </c>
      <c r="C936" s="188">
        <f t="shared" si="41"/>
        <v>41597</v>
      </c>
      <c r="D936" s="181" t="s">
        <v>1055</v>
      </c>
      <c r="E936" s="188">
        <v>41597</v>
      </c>
      <c r="F936" s="189" t="s">
        <v>987</v>
      </c>
      <c r="G936" s="189" t="s">
        <v>986</v>
      </c>
      <c r="H936" s="7" t="s">
        <v>846</v>
      </c>
      <c r="I936" s="249">
        <v>50</v>
      </c>
      <c r="J936" s="249">
        <v>45300</v>
      </c>
      <c r="K936" s="38">
        <f>ROUND(I936*J936,0)</f>
        <v>2265000</v>
      </c>
      <c r="L936" s="191" t="s">
        <v>262</v>
      </c>
      <c r="M936" s="191" t="s">
        <v>172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IF(OR(TH!L936=TH!$U$7,M936=TH!$U$7),"x","")</f>
        <v/>
      </c>
      <c r="V936" s="52" t="str">
        <f>IF(AND(B936&gt;='IN-NX'!$P$3,B936&lt;='IN-NX'!$Q$3,'IN-NX'!$D$7=D936,OR(LEFT(L936,2)="15",AND(LEFT(M936,2)&lt;&gt;"15",LEFT(M936,2)&lt;&gt;"33"))),"x","")</f>
        <v/>
      </c>
      <c r="W936" s="52" t="str">
        <f>IF(AND(OR(LEFT(TH!L936,2)="15",LEFT(TH!M936,2)="15"),'152-CT'!$J$8=TH!F936),"x","")</f>
        <v/>
      </c>
      <c r="X936" s="52" t="str">
        <f>IF(AND(OR(LEFT(TH!L936,2)="15",LEFT(TH!M936,2)="15"),TK!$E$7=TH!F936),"x","")</f>
        <v/>
      </c>
      <c r="Y936" s="52" t="str">
        <f>IF(AND(B936&lt;=NKC!$N$8,B936&gt;=NKC!$M$8),"x","")</f>
        <v/>
      </c>
      <c r="Z936" s="769"/>
      <c r="AA936" s="587"/>
    </row>
    <row r="937" spans="1:28" ht="15.75" customHeight="1">
      <c r="A937" s="201" t="str">
        <f>IF(B937&lt;&gt;"",IF(AND(B937&gt;=_TM1,B937&lt;=_TM2,OR(TH!L937="1111",TH!M937="1111")),TH!D937,""),"")</f>
        <v/>
      </c>
      <c r="B937" s="36">
        <f t="shared" si="40"/>
        <v>11</v>
      </c>
      <c r="C937" s="188">
        <f t="shared" si="41"/>
        <v>41597</v>
      </c>
      <c r="D937" s="181" t="s">
        <v>1055</v>
      </c>
      <c r="E937" s="188">
        <v>41597</v>
      </c>
      <c r="F937" s="189" t="s">
        <v>848</v>
      </c>
      <c r="G937" s="189" t="s">
        <v>986</v>
      </c>
      <c r="H937" s="7" t="s">
        <v>846</v>
      </c>
      <c r="I937" s="250">
        <v>50</v>
      </c>
      <c r="J937" s="250">
        <v>50400</v>
      </c>
      <c r="K937" s="38">
        <f>ROUND(I937*J937,0)</f>
        <v>2520000</v>
      </c>
      <c r="L937" s="191" t="s">
        <v>262</v>
      </c>
      <c r="M937" s="191" t="s">
        <v>172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IF(OR(TH!L937=TH!$U$7,M937=TH!$U$7),"x","")</f>
        <v/>
      </c>
      <c r="V937" s="52" t="str">
        <f>IF(AND(B937&gt;='IN-NX'!$P$3,B937&lt;='IN-NX'!$Q$3,'IN-NX'!$D$7=D937,OR(LEFT(L937,2)="15",AND(LEFT(M937,2)&lt;&gt;"15",LEFT(M937,2)&lt;&gt;"33"))),"x","")</f>
        <v/>
      </c>
      <c r="W937" s="52" t="str">
        <f>IF(AND(OR(LEFT(TH!L937,2)="15",LEFT(TH!M937,2)="15"),'152-CT'!$J$8=TH!F937),"x","")</f>
        <v/>
      </c>
      <c r="X937" s="52" t="str">
        <f>IF(AND(OR(LEFT(TH!L937,2)="15",LEFT(TH!M937,2)="15"),TK!$E$7=TH!F937),"x","")</f>
        <v/>
      </c>
      <c r="Y937" s="52" t="str">
        <f>IF(AND(B937&lt;=NKC!$N$8,B937&gt;=NKC!$M$8),"x","")</f>
        <v/>
      </c>
      <c r="Z937" s="769"/>
      <c r="AA937" s="587"/>
    </row>
    <row r="938" spans="1:28" ht="15.75" customHeight="1">
      <c r="A938" s="201" t="str">
        <f>IF(B938&lt;&gt;"",IF(AND(B938&gt;=_TM1,B938&lt;=_TM2,OR(TH!L938="1111",TH!M938="1111")),TH!D938,""),"")</f>
        <v/>
      </c>
      <c r="B938" s="36">
        <f t="shared" si="40"/>
        <v>11</v>
      </c>
      <c r="C938" s="188">
        <f t="shared" si="41"/>
        <v>41597</v>
      </c>
      <c r="D938" s="181" t="s">
        <v>1055</v>
      </c>
      <c r="E938" s="188">
        <v>41597</v>
      </c>
      <c r="F938" s="189" t="s">
        <v>693</v>
      </c>
      <c r="G938" s="189" t="s">
        <v>986</v>
      </c>
      <c r="H938" s="7" t="s">
        <v>846</v>
      </c>
      <c r="I938" s="249"/>
      <c r="J938" s="249"/>
      <c r="K938" s="38">
        <v>1087500</v>
      </c>
      <c r="L938" s="191" t="s">
        <v>262</v>
      </c>
      <c r="M938" s="191" t="s">
        <v>425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IF(OR(TH!L938=TH!$U$7,M938=TH!$U$7),"x","")</f>
        <v/>
      </c>
      <c r="V938" s="52" t="str">
        <f>IF(AND(B938&gt;='IN-NX'!$P$3,B938&lt;='IN-NX'!$Q$3,'IN-NX'!$D$7=D938,OR(LEFT(L938,2)="15",AND(LEFT(M938,2)&lt;&gt;"15",LEFT(M938,2)&lt;&gt;"33"))),"x","")</f>
        <v/>
      </c>
      <c r="W938" s="52" t="str">
        <f>IF(AND(OR(LEFT(TH!L938,2)="15",LEFT(TH!M938,2)="15"),'152-CT'!$J$8=TH!F938),"x","")</f>
        <v/>
      </c>
      <c r="X938" s="52" t="str">
        <f>IF(AND(OR(LEFT(TH!L938,2)="15",LEFT(TH!M938,2)="15"),TK!$E$7=TH!F938),"x","")</f>
        <v/>
      </c>
      <c r="Y938" s="52" t="str">
        <f>IF(AND(B938&lt;=NKC!$N$8,B938&gt;=NKC!$M$8),"x","")</f>
        <v/>
      </c>
      <c r="Z938" s="769"/>
      <c r="AA938" s="587" t="str">
        <f>IF(VLOOKUP(H938,DS_131,1,0)&lt;&gt;"","","x")</f>
        <v/>
      </c>
    </row>
    <row r="939" spans="1:28" ht="15.75" customHeight="1">
      <c r="A939" s="201" t="str">
        <f>IF(B939&lt;&gt;"",IF(AND(B939&gt;=_TM1,B939&lt;=_TM2,OR(TH!L939="1111",TH!M939="1111")),TH!D939,""),"")</f>
        <v>T19</v>
      </c>
      <c r="B939" s="36">
        <f t="shared" si="40"/>
        <v>11</v>
      </c>
      <c r="C939" s="188">
        <f t="shared" si="41"/>
        <v>41597</v>
      </c>
      <c r="D939" s="181" t="s">
        <v>1273</v>
      </c>
      <c r="E939" s="188">
        <v>41597</v>
      </c>
      <c r="F939" s="186" t="s">
        <v>337</v>
      </c>
      <c r="G939" s="189" t="s">
        <v>986</v>
      </c>
      <c r="H939" s="7" t="s">
        <v>846</v>
      </c>
      <c r="I939" s="249"/>
      <c r="J939" s="249"/>
      <c r="K939" s="38">
        <v>11962500</v>
      </c>
      <c r="L939" s="191" t="s">
        <v>47</v>
      </c>
      <c r="M939" s="191" t="s">
        <v>262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IF(OR(TH!L939=TH!$U$7,M939=TH!$U$7),"x","")</f>
        <v/>
      </c>
      <c r="V939" s="52" t="str">
        <f>IF(AND(B939&gt;='IN-NX'!$P$3,B939&lt;='IN-NX'!$Q$3,'IN-NX'!$D$7=D939,OR(LEFT(L939,2)="15",AND(LEFT(M939,2)&lt;&gt;"15",LEFT(M939,2)&lt;&gt;"33"))),"x","")</f>
        <v/>
      </c>
      <c r="W939" s="52" t="str">
        <f>IF(AND(OR(LEFT(TH!L939,2)="15",LEFT(TH!M939,2)="15"),'152-CT'!$J$8=TH!F939),"x","")</f>
        <v/>
      </c>
      <c r="X939" s="52" t="str">
        <f>IF(AND(OR(LEFT(TH!L939,2)="15",LEFT(TH!M939,2)="15"),TK!$E$7=TH!F939),"x","")</f>
        <v/>
      </c>
      <c r="Y939" s="52" t="str">
        <f>IF(AND(B939&lt;=NKC!$N$8,B939&gt;=NKC!$M$8),"x","")</f>
        <v/>
      </c>
      <c r="Z939" s="769"/>
      <c r="AA939" s="587" t="str">
        <f>IF(VLOOKUP(H939,DS_131,1,0)&lt;&gt;"","","x")</f>
        <v/>
      </c>
    </row>
    <row r="940" spans="1:28" ht="15.75" customHeight="1">
      <c r="A940" s="201" t="str">
        <f>IF(B940&lt;&gt;"",IF(AND(B940&gt;=_TM1,B940&lt;=_TM2,OR(TH!L940="1111",TH!M940="1111")),TH!D940,""),"")</f>
        <v>T20</v>
      </c>
      <c r="B940" s="36">
        <f t="shared" si="40"/>
        <v>11</v>
      </c>
      <c r="C940" s="181">
        <f t="shared" si="41"/>
        <v>41598</v>
      </c>
      <c r="D940" s="181" t="s">
        <v>1274</v>
      </c>
      <c r="E940" s="188">
        <v>41598</v>
      </c>
      <c r="F940" s="186" t="s">
        <v>469</v>
      </c>
      <c r="G940" s="597" t="s">
        <v>332</v>
      </c>
      <c r="H940" s="7" t="s">
        <v>364</v>
      </c>
      <c r="I940" s="250"/>
      <c r="J940" s="251"/>
      <c r="K940" s="38">
        <v>14200000</v>
      </c>
      <c r="L940" s="596" t="s">
        <v>47</v>
      </c>
      <c r="M940" s="596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IF(OR(TH!L940=TH!$U$7,M940=TH!$U$7),"x","")</f>
        <v/>
      </c>
      <c r="V940" s="52" t="str">
        <f>IF(AND(B940&gt;='IN-NX'!$P$3,B940&lt;='IN-NX'!$Q$3,'IN-NX'!$D$7=D940,OR(LEFT(L940,2)="15",AND(LEFT(M940,2)&lt;&gt;"15",LEFT(M940,2)&lt;&gt;"33"))),"x","")</f>
        <v/>
      </c>
      <c r="W940" s="52" t="str">
        <f>IF(AND(OR(LEFT(TH!L940,2)="15",LEFT(TH!M940,2)="15"),'152-CT'!$J$8=TH!F940),"x","")</f>
        <v/>
      </c>
      <c r="X940" s="52" t="str">
        <f>IF(AND(OR(LEFT(TH!L940,2)="15",LEFT(TH!M940,2)="15"),TK!$E$7=TH!F940),"x","")</f>
        <v/>
      </c>
      <c r="Y940" s="52" t="str">
        <f>IF(AND(B940&lt;=NKC!$N$8,B940&gt;=NKC!$M$8),"x","")</f>
        <v/>
      </c>
      <c r="Z940" s="208"/>
      <c r="AA940" s="208"/>
      <c r="AB940" s="587"/>
    </row>
    <row r="941" spans="1:28" ht="15.75" customHeight="1">
      <c r="A941" s="201" t="str">
        <f>IF(B941&lt;&gt;"",IF(AND(B941&gt;=_TM1,B941&lt;=_TM2,OR(TH!L941="1111",TH!M941="1111")),TH!D941,""),"")</f>
        <v/>
      </c>
      <c r="B941" s="36">
        <f t="shared" si="40"/>
        <v>11</v>
      </c>
      <c r="C941" s="188">
        <f t="shared" si="41"/>
        <v>41598</v>
      </c>
      <c r="D941" s="181" t="s">
        <v>1056</v>
      </c>
      <c r="E941" s="188">
        <v>41598</v>
      </c>
      <c r="F941" s="189" t="s">
        <v>849</v>
      </c>
      <c r="G941" s="189" t="s">
        <v>988</v>
      </c>
      <c r="H941" s="7" t="s">
        <v>846</v>
      </c>
      <c r="I941" s="249">
        <v>50</v>
      </c>
      <c r="J941" s="249">
        <v>53500</v>
      </c>
      <c r="K941" s="38">
        <f>ROUND(I941*J941,0)</f>
        <v>2675000</v>
      </c>
      <c r="L941" s="191" t="s">
        <v>262</v>
      </c>
      <c r="M941" s="191" t="s">
        <v>172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IF(OR(TH!L941=TH!$U$7,M941=TH!$U$7),"x","")</f>
        <v/>
      </c>
      <c r="V941" s="52" t="str">
        <f>IF(AND(B941&gt;='IN-NX'!$P$3,B941&lt;='IN-NX'!$Q$3,'IN-NX'!$D$7=D941,OR(LEFT(L941,2)="15",AND(LEFT(M941,2)&lt;&gt;"15",LEFT(M941,2)&lt;&gt;"33"))),"x","")</f>
        <v/>
      </c>
      <c r="W941" s="52" t="str">
        <f>IF(AND(OR(LEFT(TH!L941,2)="15",LEFT(TH!M941,2)="15"),'152-CT'!$J$8=TH!F941),"x","")</f>
        <v/>
      </c>
      <c r="X941" s="52" t="str">
        <f>IF(AND(OR(LEFT(TH!L941,2)="15",LEFT(TH!M941,2)="15"),TK!$E$7=TH!F941),"x","")</f>
        <v/>
      </c>
      <c r="Y941" s="52" t="str">
        <f>IF(AND(B941&lt;=NKC!$N$8,B941&gt;=NKC!$M$8),"x","")</f>
        <v/>
      </c>
      <c r="Z941" s="769"/>
      <c r="AA941" s="587"/>
    </row>
    <row r="942" spans="1:28" ht="15.75" customHeight="1">
      <c r="A942" s="201" t="str">
        <f>IF(B942&lt;&gt;"",IF(AND(B942&gt;=_TM1,B942&lt;=_TM2,OR(TH!L942="1111",TH!M942="1111")),TH!D942,""),"")</f>
        <v/>
      </c>
      <c r="B942" s="36">
        <f t="shared" si="40"/>
        <v>11</v>
      </c>
      <c r="C942" s="188">
        <f t="shared" si="41"/>
        <v>41598</v>
      </c>
      <c r="D942" s="181" t="s">
        <v>1056</v>
      </c>
      <c r="E942" s="188">
        <v>41598</v>
      </c>
      <c r="F942" s="189" t="s">
        <v>989</v>
      </c>
      <c r="G942" s="480" t="s">
        <v>988</v>
      </c>
      <c r="H942" s="7" t="s">
        <v>846</v>
      </c>
      <c r="I942" s="249">
        <v>50</v>
      </c>
      <c r="J942" s="249">
        <v>59700</v>
      </c>
      <c r="K942" s="38">
        <f>ROUND(I942*J942,0)</f>
        <v>2985000</v>
      </c>
      <c r="L942" s="191" t="s">
        <v>262</v>
      </c>
      <c r="M942" s="191" t="s">
        <v>172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IF(OR(TH!L942=TH!$U$7,M942=TH!$U$7),"x","")</f>
        <v/>
      </c>
      <c r="V942" s="52" t="str">
        <f>IF(AND(B942&gt;='IN-NX'!$P$3,B942&lt;='IN-NX'!$Q$3,'IN-NX'!$D$7=D942,OR(LEFT(L942,2)="15",AND(LEFT(M942,2)&lt;&gt;"15",LEFT(M942,2)&lt;&gt;"33"))),"x","")</f>
        <v/>
      </c>
      <c r="W942" s="52" t="str">
        <f>IF(AND(OR(LEFT(TH!L942,2)="15",LEFT(TH!M942,2)="15"),'152-CT'!$J$8=TH!F942),"x","")</f>
        <v/>
      </c>
      <c r="X942" s="52" t="str">
        <f>IF(AND(OR(LEFT(TH!L942,2)="15",LEFT(TH!M942,2)="15"),TK!$E$7=TH!F942),"x","")</f>
        <v/>
      </c>
      <c r="Y942" s="52" t="str">
        <f>IF(AND(B942&lt;=NKC!$N$8,B942&gt;=NKC!$M$8),"x","")</f>
        <v/>
      </c>
      <c r="Z942" s="769"/>
      <c r="AA942" s="587"/>
    </row>
    <row r="943" spans="1:28" ht="15.75" customHeight="1">
      <c r="A943" s="201" t="str">
        <f>IF(B943&lt;&gt;"",IF(AND(B943&gt;=_TM1,B943&lt;=_TM2,OR(TH!L943="1111",TH!M943="1111")),TH!D943,""),"")</f>
        <v/>
      </c>
      <c r="B943" s="36">
        <f t="shared" si="40"/>
        <v>11</v>
      </c>
      <c r="C943" s="188">
        <f t="shared" si="41"/>
        <v>41598</v>
      </c>
      <c r="D943" s="181" t="s">
        <v>1056</v>
      </c>
      <c r="E943" s="188">
        <v>41598</v>
      </c>
      <c r="F943" s="189" t="s">
        <v>990</v>
      </c>
      <c r="G943" s="480" t="s">
        <v>988</v>
      </c>
      <c r="H943" s="7" t="s">
        <v>846</v>
      </c>
      <c r="I943" s="249">
        <v>50</v>
      </c>
      <c r="J943" s="249">
        <v>65000</v>
      </c>
      <c r="K943" s="38">
        <f>ROUND(I943*J943,0)</f>
        <v>3250000</v>
      </c>
      <c r="L943" s="191" t="s">
        <v>262</v>
      </c>
      <c r="M943" s="191" t="s">
        <v>172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IF(OR(TH!L943=TH!$U$7,M943=TH!$U$7),"x","")</f>
        <v/>
      </c>
      <c r="V943" s="52" t="str">
        <f>IF(AND(B943&gt;='IN-NX'!$P$3,B943&lt;='IN-NX'!$Q$3,'IN-NX'!$D$7=D943,OR(LEFT(L943,2)="15",AND(LEFT(M943,2)&lt;&gt;"15",LEFT(M943,2)&lt;&gt;"33"))),"x","")</f>
        <v/>
      </c>
      <c r="W943" s="52" t="str">
        <f>IF(AND(OR(LEFT(TH!L943,2)="15",LEFT(TH!M943,2)="15"),'152-CT'!$J$8=TH!F943),"x","")</f>
        <v/>
      </c>
      <c r="X943" s="52" t="str">
        <f>IF(AND(OR(LEFT(TH!L943,2)="15",LEFT(TH!M943,2)="15"),TK!$E$7=TH!F943),"x","")</f>
        <v/>
      </c>
      <c r="Y943" s="52" t="str">
        <f>IF(AND(B943&lt;=NKC!$N$8,B943&gt;=NKC!$M$8),"x","")</f>
        <v/>
      </c>
      <c r="Z943" s="769"/>
      <c r="AA943" s="587"/>
    </row>
    <row r="944" spans="1:28" ht="15.75" customHeight="1">
      <c r="A944" s="201" t="str">
        <f>IF(B944&lt;&gt;"",IF(AND(B944&gt;=_TM1,B944&lt;=_TM2,OR(TH!L944="1111",TH!M944="1111")),TH!D944,""),"")</f>
        <v/>
      </c>
      <c r="B944" s="36">
        <f t="shared" ref="B944:B1005" si="42">IF(C944&lt;&gt;"",MONTH(C944),"")</f>
        <v>11</v>
      </c>
      <c r="C944" s="188">
        <f t="shared" si="41"/>
        <v>41598</v>
      </c>
      <c r="D944" s="181" t="s">
        <v>1056</v>
      </c>
      <c r="E944" s="188">
        <v>41598</v>
      </c>
      <c r="F944" s="189" t="s">
        <v>693</v>
      </c>
      <c r="G944" s="480" t="s">
        <v>988</v>
      </c>
      <c r="H944" s="7" t="s">
        <v>846</v>
      </c>
      <c r="I944" s="249"/>
      <c r="J944" s="249"/>
      <c r="K944" s="38">
        <v>891000</v>
      </c>
      <c r="L944" s="191" t="s">
        <v>262</v>
      </c>
      <c r="M944" s="191" t="s">
        <v>425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IF(OR(TH!L944=TH!$U$7,M944=TH!$U$7),"x","")</f>
        <v/>
      </c>
      <c r="V944" s="52" t="str">
        <f>IF(AND(B944&gt;='IN-NX'!$P$3,B944&lt;='IN-NX'!$Q$3,'IN-NX'!$D$7=D944,OR(LEFT(L944,2)="15",AND(LEFT(M944,2)&lt;&gt;"15",LEFT(M944,2)&lt;&gt;"33"))),"x","")</f>
        <v/>
      </c>
      <c r="W944" s="52" t="str">
        <f>IF(AND(OR(LEFT(TH!L944,2)="15",LEFT(TH!M944,2)="15"),'152-CT'!$J$8=TH!F944),"x","")</f>
        <v/>
      </c>
      <c r="X944" s="52" t="str">
        <f>IF(AND(OR(LEFT(TH!L944,2)="15",LEFT(TH!M944,2)="15"),TK!$E$7=TH!F944),"x","")</f>
        <v/>
      </c>
      <c r="Y944" s="52" t="str">
        <f>IF(AND(B944&lt;=NKC!$N$8,B944&gt;=NKC!$M$8),"x","")</f>
        <v/>
      </c>
      <c r="Z944" s="769"/>
      <c r="AA944" s="587" t="str">
        <f>IF(VLOOKUP(H944,DS_131,1,0)&lt;&gt;"","","x")</f>
        <v/>
      </c>
    </row>
    <row r="945" spans="1:28" ht="15.75" customHeight="1">
      <c r="A945" s="201" t="str">
        <f>IF(B945&lt;&gt;"",IF(AND(B945&gt;=_TM1,B945&lt;=_TM2,OR(TH!L945="1111",TH!M945="1111")),TH!D945,""),"")</f>
        <v>C20</v>
      </c>
      <c r="B945" s="36">
        <f t="shared" si="42"/>
        <v>11</v>
      </c>
      <c r="C945" s="181">
        <f t="shared" si="41"/>
        <v>41600</v>
      </c>
      <c r="D945" s="181" t="s">
        <v>1264</v>
      </c>
      <c r="E945" s="188">
        <v>41600</v>
      </c>
      <c r="F945" s="186" t="s">
        <v>529</v>
      </c>
      <c r="G945" s="657" t="s">
        <v>530</v>
      </c>
      <c r="H945" s="7" t="s">
        <v>531</v>
      </c>
      <c r="I945" s="250"/>
      <c r="J945" s="251"/>
      <c r="K945" s="38">
        <v>1027273</v>
      </c>
      <c r="L945" s="596" t="s">
        <v>83</v>
      </c>
      <c r="M945" s="596" t="s">
        <v>47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IF(OR(TH!L945=TH!$U$7,M945=TH!$U$7),"x","")</f>
        <v>x</v>
      </c>
      <c r="V945" s="52" t="str">
        <f>IF(AND(B945&gt;='IN-NX'!$P$3,B945&lt;='IN-NX'!$Q$3,'IN-NX'!$D$7=D945,OR(LEFT(L945,2)="15",AND(LEFT(M945,2)&lt;&gt;"15",LEFT(M945,2)&lt;&gt;"33"))),"x","")</f>
        <v/>
      </c>
      <c r="W945" s="52" t="str">
        <f>IF(AND(OR(LEFT(TH!L945,2)="15",LEFT(TH!M945,2)="15"),'152-CT'!$J$8=TH!F945),"x","")</f>
        <v/>
      </c>
      <c r="X945" s="52" t="str">
        <f>IF(AND(OR(LEFT(TH!L945,2)="15",LEFT(TH!M945,2)="15"),TK!$E$7=TH!F945),"x","")</f>
        <v/>
      </c>
      <c r="Y945" s="52" t="str">
        <f>IF(AND(B945&lt;=NKC!$N$8,B945&gt;=NKC!$M$8),"x","")</f>
        <v/>
      </c>
      <c r="Z945" s="587" t="s">
        <v>1336</v>
      </c>
      <c r="AA945" s="587"/>
      <c r="AB945" s="587"/>
    </row>
    <row r="946" spans="1:28" ht="15.75" customHeight="1">
      <c r="A946" s="201" t="str">
        <f>IF(B946&lt;&gt;"",IF(AND(B946&gt;=_TM1,B946&lt;=_TM2,OR(TH!L946="1111",TH!M946="1111")),TH!D946,""),"")</f>
        <v>C20</v>
      </c>
      <c r="B946" s="36">
        <f t="shared" si="42"/>
        <v>11</v>
      </c>
      <c r="C946" s="181">
        <f t="shared" si="41"/>
        <v>41600</v>
      </c>
      <c r="D946" s="181" t="s">
        <v>1264</v>
      </c>
      <c r="E946" s="188">
        <v>41600</v>
      </c>
      <c r="F946" s="186" t="s">
        <v>532</v>
      </c>
      <c r="G946" s="657" t="s">
        <v>530</v>
      </c>
      <c r="H946" s="7" t="s">
        <v>531</v>
      </c>
      <c r="I946" s="250"/>
      <c r="J946" s="251"/>
      <c r="K946" s="38">
        <v>102727</v>
      </c>
      <c r="L946" s="596" t="s">
        <v>9</v>
      </c>
      <c r="M946" s="596" t="s">
        <v>47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IF(OR(TH!L946=TH!$U$7,M946=TH!$U$7),"x","")</f>
        <v/>
      </c>
      <c r="V946" s="52" t="str">
        <f>IF(AND(B946&gt;='IN-NX'!$P$3,B946&lt;='IN-NX'!$Q$3,'IN-NX'!$D$7=D946,OR(LEFT(L946,2)="15",AND(LEFT(M946,2)&lt;&gt;"15",LEFT(M946,2)&lt;&gt;"33"))),"x","")</f>
        <v/>
      </c>
      <c r="W946" s="52" t="str">
        <f>IF(AND(OR(LEFT(TH!L946,2)="15",LEFT(TH!M946,2)="15"),'152-CT'!$J$8=TH!F946),"x","")</f>
        <v/>
      </c>
      <c r="X946" s="52" t="str">
        <f>IF(AND(OR(LEFT(TH!L946,2)="15",LEFT(TH!M946,2)="15"),TK!$E$7=TH!F946),"x","")</f>
        <v/>
      </c>
      <c r="Y946" s="52" t="str">
        <f>IF(AND(B946&lt;=NKC!$N$8,B946&gt;=NKC!$M$8),"x","")</f>
        <v/>
      </c>
      <c r="Z946" s="587" t="s">
        <v>1336</v>
      </c>
    </row>
    <row r="947" spans="1:28" ht="15.75" customHeight="1">
      <c r="A947" s="201" t="str">
        <f>IF(B947&lt;&gt;"",IF(AND(B947&gt;=_TM1,B947&lt;=_TM2,OR(TH!L947="1111",TH!M947="1111")),TH!D947,""),"")</f>
        <v/>
      </c>
      <c r="B947" s="36">
        <f t="shared" si="42"/>
        <v>11</v>
      </c>
      <c r="C947" s="181">
        <f t="shared" ref="C947:C1008" si="43">E947</f>
        <v>41603</v>
      </c>
      <c r="D947" s="181" t="s">
        <v>335</v>
      </c>
      <c r="E947" s="188">
        <v>41603</v>
      </c>
      <c r="F947" s="186" t="s">
        <v>365</v>
      </c>
      <c r="G947" s="597" t="s">
        <v>332</v>
      </c>
      <c r="H947" s="7"/>
      <c r="I947" s="250"/>
      <c r="J947" s="251"/>
      <c r="K947" s="38">
        <v>10898</v>
      </c>
      <c r="L947" s="596" t="s">
        <v>24</v>
      </c>
      <c r="M947" s="596" t="s">
        <v>40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IF(OR(TH!L947=TH!$U$7,M947=TH!$U$7),"x","")</f>
        <v/>
      </c>
      <c r="V947" s="52" t="str">
        <f>IF(AND(B947&gt;='IN-NX'!$P$3,B947&lt;='IN-NX'!$Q$3,'IN-NX'!$D$7=D947,OR(LEFT(L947,2)="15",AND(LEFT(M947,2)&lt;&gt;"15",LEFT(M947,2)&lt;&gt;"33"))),"x","")</f>
        <v/>
      </c>
      <c r="W947" s="52" t="str">
        <f>IF(AND(OR(LEFT(TH!L947,2)="15",LEFT(TH!M947,2)="15"),'152-CT'!$J$8=TH!F947),"x","")</f>
        <v/>
      </c>
      <c r="X947" s="52" t="str">
        <f>IF(AND(OR(LEFT(TH!L947,2)="15",LEFT(TH!M947,2)="15"),TK!$E$7=TH!F947),"x","")</f>
        <v/>
      </c>
      <c r="Y947" s="52" t="str">
        <f>IF(AND(B947&lt;=NKC!$N$8,B947&gt;=NKC!$M$8),"x","")</f>
        <v/>
      </c>
      <c r="Z947" s="208"/>
    </row>
    <row r="948" spans="1:28" ht="15.75" customHeight="1">
      <c r="A948" s="201" t="str">
        <f>IF(B948&lt;&gt;"",IF(AND(B948&gt;=_TM1,B948&lt;=_TM2,OR(TH!L948="1111",TH!M948="1111")),TH!D948,""),"")</f>
        <v/>
      </c>
      <c r="B948" s="36">
        <f t="shared" si="42"/>
        <v>11</v>
      </c>
      <c r="C948" s="188">
        <f t="shared" si="43"/>
        <v>41603</v>
      </c>
      <c r="D948" s="181" t="s">
        <v>1057</v>
      </c>
      <c r="E948" s="188">
        <v>41603</v>
      </c>
      <c r="F948" s="189" t="s">
        <v>690</v>
      </c>
      <c r="G948" s="480" t="s">
        <v>991</v>
      </c>
      <c r="H948" s="190" t="s">
        <v>992</v>
      </c>
      <c r="I948" s="249">
        <v>500</v>
      </c>
      <c r="J948" s="249">
        <v>5700</v>
      </c>
      <c r="K948" s="38">
        <f>ROUND(I948*J948,0)</f>
        <v>2850000</v>
      </c>
      <c r="L948" s="191" t="s">
        <v>262</v>
      </c>
      <c r="M948" s="191" t="s">
        <v>172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IF(OR(TH!L948=TH!$U$7,M948=TH!$U$7),"x","")</f>
        <v/>
      </c>
      <c r="V948" s="52" t="str">
        <f>IF(AND(B948&gt;='IN-NX'!$P$3,B948&lt;='IN-NX'!$Q$3,'IN-NX'!$D$7=D948,OR(LEFT(L948,2)="15",AND(LEFT(M948,2)&lt;&gt;"15",LEFT(M948,2)&lt;&gt;"33"))),"x","")</f>
        <v/>
      </c>
      <c r="W948" s="52" t="str">
        <f>IF(AND(OR(LEFT(TH!L948,2)="15",LEFT(TH!M948,2)="15"),'152-CT'!$J$8=TH!F948),"x","")</f>
        <v/>
      </c>
      <c r="X948" s="52" t="str">
        <f>IF(AND(OR(LEFT(TH!L948,2)="15",LEFT(TH!M948,2)="15"),TK!$E$7=TH!F948),"x","")</f>
        <v/>
      </c>
      <c r="Y948" s="52" t="str">
        <f>IF(AND(B948&lt;=NKC!$N$8,B948&gt;=NKC!$M$8),"x","")</f>
        <v/>
      </c>
      <c r="Z948" s="769"/>
      <c r="AA948" s="587"/>
    </row>
    <row r="949" spans="1:28" ht="15.75" customHeight="1">
      <c r="A949" s="201" t="str">
        <f>IF(B949&lt;&gt;"",IF(AND(B949&gt;=_TM1,B949&lt;=_TM2,OR(TH!L949="1111",TH!M949="1111")),TH!D949,""),"")</f>
        <v/>
      </c>
      <c r="B949" s="36">
        <f t="shared" si="42"/>
        <v>11</v>
      </c>
      <c r="C949" s="188">
        <f t="shared" si="43"/>
        <v>41603</v>
      </c>
      <c r="D949" s="181" t="s">
        <v>1057</v>
      </c>
      <c r="E949" s="188">
        <v>41603</v>
      </c>
      <c r="F949" s="189" t="s">
        <v>693</v>
      </c>
      <c r="G949" s="480" t="s">
        <v>991</v>
      </c>
      <c r="H949" s="190" t="s">
        <v>992</v>
      </c>
      <c r="I949" s="249"/>
      <c r="J949" s="249"/>
      <c r="K949" s="38">
        <v>285000</v>
      </c>
      <c r="L949" s="191" t="s">
        <v>262</v>
      </c>
      <c r="M949" s="191" t="s">
        <v>425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IF(OR(TH!L949=TH!$U$7,M949=TH!$U$7),"x","")</f>
        <v/>
      </c>
      <c r="V949" s="52" t="str">
        <f>IF(AND(B949&gt;='IN-NX'!$P$3,B949&lt;='IN-NX'!$Q$3,'IN-NX'!$D$7=D949,OR(LEFT(L949,2)="15",AND(LEFT(M949,2)&lt;&gt;"15",LEFT(M949,2)&lt;&gt;"33"))),"x","")</f>
        <v/>
      </c>
      <c r="W949" s="52" t="str">
        <f>IF(AND(OR(LEFT(TH!L949,2)="15",LEFT(TH!M949,2)="15"),'152-CT'!$J$8=TH!F949),"x","")</f>
        <v/>
      </c>
      <c r="X949" s="52" t="str">
        <f>IF(AND(OR(LEFT(TH!L949,2)="15",LEFT(TH!M949,2)="15"),TK!$E$7=TH!F949),"x","")</f>
        <v/>
      </c>
      <c r="Y949" s="52" t="str">
        <f>IF(AND(B949&lt;=NKC!$N$8,B949&gt;=NKC!$M$8),"x","")</f>
        <v/>
      </c>
      <c r="Z949" s="769"/>
      <c r="AA949" s="587" t="str">
        <f>IF(VLOOKUP(H949,DS_131,1,0)&lt;&gt;"","","x")</f>
        <v/>
      </c>
    </row>
    <row r="950" spans="1:28" ht="15.75" customHeight="1">
      <c r="A950" s="201" t="str">
        <f>IF(B950&lt;&gt;"",IF(AND(B950&gt;=_TM1,B950&lt;=_TM2,OR(TH!L950="1111",TH!M950="1111")),TH!D950,""),"")</f>
        <v>T21</v>
      </c>
      <c r="B950" s="36">
        <f t="shared" si="42"/>
        <v>11</v>
      </c>
      <c r="C950" s="188">
        <f t="shared" si="43"/>
        <v>41603</v>
      </c>
      <c r="D950" s="181" t="s">
        <v>1275</v>
      </c>
      <c r="E950" s="188">
        <v>41603</v>
      </c>
      <c r="F950" s="186" t="s">
        <v>337</v>
      </c>
      <c r="G950" s="480" t="s">
        <v>991</v>
      </c>
      <c r="H950" s="190" t="s">
        <v>992</v>
      </c>
      <c r="I950" s="249"/>
      <c r="J950" s="249"/>
      <c r="K950" s="38">
        <v>3135000</v>
      </c>
      <c r="L950" s="191" t="s">
        <v>47</v>
      </c>
      <c r="M950" s="191" t="s">
        <v>262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IF(OR(TH!L950=TH!$U$7,M950=TH!$U$7),"x","")</f>
        <v/>
      </c>
      <c r="V950" s="52" t="str">
        <f>IF(AND(B950&gt;='IN-NX'!$P$3,B950&lt;='IN-NX'!$Q$3,'IN-NX'!$D$7=D950,OR(LEFT(L950,2)="15",AND(LEFT(M950,2)&lt;&gt;"15",LEFT(M950,2)&lt;&gt;"33"))),"x","")</f>
        <v/>
      </c>
      <c r="W950" s="52" t="str">
        <f>IF(AND(OR(LEFT(TH!L950,2)="15",LEFT(TH!M950,2)="15"),'152-CT'!$J$8=TH!F950),"x","")</f>
        <v/>
      </c>
      <c r="X950" s="52" t="str">
        <f>IF(AND(OR(LEFT(TH!L950,2)="15",LEFT(TH!M950,2)="15"),TK!$E$7=TH!F950),"x","")</f>
        <v/>
      </c>
      <c r="Y950" s="52" t="str">
        <f>IF(AND(B950&lt;=NKC!$N$8,B950&gt;=NKC!$M$8),"x","")</f>
        <v/>
      </c>
      <c r="Z950" s="769"/>
      <c r="AA950" s="587" t="str">
        <f>IF(VLOOKUP(H950,DS_131,1,0)&lt;&gt;"","","x")</f>
        <v/>
      </c>
    </row>
    <row r="951" spans="1:28" ht="15.75" customHeight="1">
      <c r="A951" s="201" t="str">
        <f>IF(B951&lt;&gt;"",IF(AND(B951&gt;=_TM1,B951&lt;=_TM2,OR(TH!L951="1111",TH!M951="1111")),TH!D951,""),"")</f>
        <v/>
      </c>
      <c r="B951" s="36">
        <f t="shared" si="42"/>
        <v>11</v>
      </c>
      <c r="C951" s="181">
        <f t="shared" si="43"/>
        <v>41604</v>
      </c>
      <c r="D951" s="181" t="s">
        <v>335</v>
      </c>
      <c r="E951" s="181">
        <v>41604</v>
      </c>
      <c r="F951" s="186" t="s">
        <v>337</v>
      </c>
      <c r="G951" s="597" t="s">
        <v>332</v>
      </c>
      <c r="H951" s="7" t="s">
        <v>510</v>
      </c>
      <c r="I951" s="249"/>
      <c r="J951" s="249"/>
      <c r="K951" s="595">
        <v>11109780</v>
      </c>
      <c r="L951" s="596" t="s">
        <v>24</v>
      </c>
      <c r="M951" s="596" t="s">
        <v>262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IF(OR(TH!L951=TH!$U$7,M951=TH!$U$7),"x","")</f>
        <v/>
      </c>
      <c r="V951" s="52" t="str">
        <f>IF(AND(B951&gt;='IN-NX'!$P$3,B951&lt;='IN-NX'!$Q$3,'IN-NX'!$D$7=D951,OR(LEFT(L951,2)="15",AND(LEFT(M951,2)&lt;&gt;"15",LEFT(M951,2)&lt;&gt;"33"))),"x","")</f>
        <v/>
      </c>
      <c r="W951" s="52" t="str">
        <f>IF(AND(OR(LEFT(TH!L951,2)="15",LEFT(TH!M951,2)="15"),'152-CT'!$J$8=TH!F951),"x","")</f>
        <v/>
      </c>
      <c r="X951" s="52" t="str">
        <f>IF(AND(OR(LEFT(TH!L951,2)="15",LEFT(TH!M951,2)="15"),TK!$E$7=TH!F951),"x","")</f>
        <v/>
      </c>
      <c r="Y951" s="52" t="str">
        <f>IF(AND(B951&lt;=NKC!$N$8,B951&gt;=NKC!$M$8),"x","")</f>
        <v/>
      </c>
      <c r="Z951" s="208"/>
    </row>
    <row r="952" spans="1:28" ht="15.75" customHeight="1">
      <c r="A952" s="201" t="str">
        <f>IF(B952&lt;&gt;"",IF(AND(B952&gt;=_TM1,B952&lt;=_TM2,OR(TH!L952="1111",TH!M952="1111")),TH!D952,""),"")</f>
        <v>C21</v>
      </c>
      <c r="B952" s="36">
        <f t="shared" si="42"/>
        <v>11</v>
      </c>
      <c r="C952" s="181">
        <f t="shared" si="43"/>
        <v>41604</v>
      </c>
      <c r="D952" s="181" t="s">
        <v>399</v>
      </c>
      <c r="E952" s="181">
        <v>41604</v>
      </c>
      <c r="F952" s="186" t="s">
        <v>431</v>
      </c>
      <c r="G952" s="657" t="s">
        <v>533</v>
      </c>
      <c r="H952" s="7" t="s">
        <v>534</v>
      </c>
      <c r="I952" s="249"/>
      <c r="J952" s="249"/>
      <c r="K952" s="595">
        <v>4025000</v>
      </c>
      <c r="L952" s="596" t="s">
        <v>162</v>
      </c>
      <c r="M952" s="596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IF(OR(TH!L952=TH!$U$7,M952=TH!$U$7),"x","")</f>
        <v/>
      </c>
      <c r="V952" s="52" t="str">
        <f>IF(AND(B952&gt;='IN-NX'!$P$3,B952&lt;='IN-NX'!$Q$3,'IN-NX'!$D$7=D952,OR(LEFT(L952,2)="15",AND(LEFT(M952,2)&lt;&gt;"15",LEFT(M952,2)&lt;&gt;"33"))),"x","")</f>
        <v/>
      </c>
      <c r="W952" s="52" t="str">
        <f>IF(AND(OR(LEFT(TH!L952,2)="15",LEFT(TH!M952,2)="15"),'152-CT'!$J$8=TH!F952),"x","")</f>
        <v/>
      </c>
      <c r="X952" s="52" t="str">
        <f>IF(AND(OR(LEFT(TH!L952,2)="15",LEFT(TH!M952,2)="15"),TK!$E$7=TH!F952),"x","")</f>
        <v/>
      </c>
      <c r="Y952" s="52" t="str">
        <f>IF(AND(B952&lt;=NKC!$N$8,B952&gt;=NKC!$M$8),"x","")</f>
        <v/>
      </c>
      <c r="Z952" s="587" t="s">
        <v>1336</v>
      </c>
    </row>
    <row r="953" spans="1:28" ht="15.75" customHeight="1">
      <c r="A953" s="201" t="str">
        <f>IF(B953&lt;&gt;"",IF(AND(B953&gt;=_TM1,B953&lt;=_TM2,OR(TH!L953="1111",TH!M953="1111")),TH!D953,""),"")</f>
        <v>C21</v>
      </c>
      <c r="B953" s="36">
        <f t="shared" si="42"/>
        <v>11</v>
      </c>
      <c r="C953" s="181">
        <f t="shared" si="43"/>
        <v>41604</v>
      </c>
      <c r="D953" s="181" t="s">
        <v>399</v>
      </c>
      <c r="E953" s="181">
        <v>41604</v>
      </c>
      <c r="F953" s="186" t="s">
        <v>344</v>
      </c>
      <c r="G953" s="657" t="s">
        <v>533</v>
      </c>
      <c r="H953" s="7" t="s">
        <v>534</v>
      </c>
      <c r="I953" s="249"/>
      <c r="J953" s="249"/>
      <c r="K953" s="595">
        <v>402500</v>
      </c>
      <c r="L953" s="596" t="s">
        <v>9</v>
      </c>
      <c r="M953" s="596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IF(OR(TH!L953=TH!$U$7,M953=TH!$U$7),"x","")</f>
        <v/>
      </c>
      <c r="V953" s="52" t="str">
        <f>IF(AND(B953&gt;='IN-NX'!$P$3,B953&lt;='IN-NX'!$Q$3,'IN-NX'!$D$7=D953,OR(LEFT(L953,2)="15",AND(LEFT(M953,2)&lt;&gt;"15",LEFT(M953,2)&lt;&gt;"33"))),"x","")</f>
        <v/>
      </c>
      <c r="W953" s="52" t="str">
        <f>IF(AND(OR(LEFT(TH!L953,2)="15",LEFT(TH!M953,2)="15"),'152-CT'!$J$8=TH!F953),"x","")</f>
        <v/>
      </c>
      <c r="X953" s="52" t="str">
        <f>IF(AND(OR(LEFT(TH!L953,2)="15",LEFT(TH!M953,2)="15"),TK!$E$7=TH!F953),"x","")</f>
        <v/>
      </c>
      <c r="Y953" s="52" t="str">
        <f>IF(AND(B953&lt;=NKC!$N$8,B953&gt;=NKC!$M$8),"x","")</f>
        <v/>
      </c>
      <c r="Z953" s="587" t="s">
        <v>1336</v>
      </c>
    </row>
    <row r="954" spans="1:28" ht="15.75" customHeight="1">
      <c r="A954" s="201" t="str">
        <f>IF(B954&lt;&gt;"",IF(AND(B954&gt;=_TM1,B954&lt;=_TM2,OR(TH!L954="1111",TH!M954="1111")),TH!D954,""),"")</f>
        <v/>
      </c>
      <c r="B954" s="36">
        <f t="shared" si="42"/>
        <v>11</v>
      </c>
      <c r="C954" s="188">
        <f t="shared" si="43"/>
        <v>41604</v>
      </c>
      <c r="D954" s="181" t="s">
        <v>1058</v>
      </c>
      <c r="E954" s="188">
        <v>41604</v>
      </c>
      <c r="F954" s="189" t="s">
        <v>805</v>
      </c>
      <c r="G954" s="480" t="s">
        <v>621</v>
      </c>
      <c r="H954" s="7" t="s">
        <v>710</v>
      </c>
      <c r="I954" s="249">
        <v>500</v>
      </c>
      <c r="J954" s="249">
        <v>10500</v>
      </c>
      <c r="K954" s="38">
        <f>ROUND(I954*J954,0)</f>
        <v>5250000</v>
      </c>
      <c r="L954" s="191" t="s">
        <v>262</v>
      </c>
      <c r="M954" s="191" t="s">
        <v>172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IF(OR(TH!L954=TH!$U$7,M954=TH!$U$7),"x","")</f>
        <v/>
      </c>
      <c r="V954" s="52" t="str">
        <f>IF(AND(B954&gt;='IN-NX'!$P$3,B954&lt;='IN-NX'!$Q$3,'IN-NX'!$D$7=D954,OR(LEFT(L954,2)="15",AND(LEFT(M954,2)&lt;&gt;"15",LEFT(M954,2)&lt;&gt;"33"))),"x","")</f>
        <v/>
      </c>
      <c r="W954" s="52" t="str">
        <f>IF(AND(OR(LEFT(TH!L954,2)="15",LEFT(TH!M954,2)="15"),'152-CT'!$J$8=TH!F954),"x","")</f>
        <v/>
      </c>
      <c r="X954" s="52" t="str">
        <f>IF(AND(OR(LEFT(TH!L954,2)="15",LEFT(TH!M954,2)="15"),TK!$E$7=TH!F954),"x","")</f>
        <v/>
      </c>
      <c r="Y954" s="52" t="str">
        <f>IF(AND(B954&lt;=NKC!$N$8,B954&gt;=NKC!$M$8),"x","")</f>
        <v/>
      </c>
      <c r="Z954" s="769"/>
      <c r="AA954" s="587"/>
    </row>
    <row r="955" spans="1:28" ht="15.75" customHeight="1">
      <c r="A955" s="201" t="str">
        <f>IF(B955&lt;&gt;"",IF(AND(B955&gt;=_TM1,B955&lt;=_TM2,OR(TH!L955="1111",TH!M955="1111")),TH!D955,""),"")</f>
        <v/>
      </c>
      <c r="B955" s="36">
        <f t="shared" si="42"/>
        <v>11</v>
      </c>
      <c r="C955" s="188">
        <f t="shared" si="43"/>
        <v>41604</v>
      </c>
      <c r="D955" s="181" t="s">
        <v>1058</v>
      </c>
      <c r="E955" s="188">
        <v>41604</v>
      </c>
      <c r="F955" s="189" t="s">
        <v>805</v>
      </c>
      <c r="G955" s="480" t="s">
        <v>621</v>
      </c>
      <c r="H955" s="7" t="s">
        <v>710</v>
      </c>
      <c r="I955" s="249">
        <v>500</v>
      </c>
      <c r="J955" s="249">
        <v>10500</v>
      </c>
      <c r="K955" s="38">
        <f>ROUND(I955*J955,0)</f>
        <v>5250000</v>
      </c>
      <c r="L955" s="191" t="s">
        <v>262</v>
      </c>
      <c r="M955" s="191" t="s">
        <v>172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IF(OR(TH!L955=TH!$U$7,M955=TH!$U$7),"x","")</f>
        <v/>
      </c>
      <c r="V955" s="52" t="str">
        <f>IF(AND(B955&gt;='IN-NX'!$P$3,B955&lt;='IN-NX'!$Q$3,'IN-NX'!$D$7=D955,OR(LEFT(L955,2)="15",AND(LEFT(M955,2)&lt;&gt;"15",LEFT(M955,2)&lt;&gt;"33"))),"x","")</f>
        <v/>
      </c>
      <c r="W955" s="52" t="str">
        <f>IF(AND(OR(LEFT(TH!L955,2)="15",LEFT(TH!M955,2)="15"),'152-CT'!$J$8=TH!F955),"x","")</f>
        <v/>
      </c>
      <c r="X955" s="52" t="str">
        <f>IF(AND(OR(LEFT(TH!L955,2)="15",LEFT(TH!M955,2)="15"),TK!$E$7=TH!F955),"x","")</f>
        <v/>
      </c>
      <c r="Y955" s="52" t="str">
        <f>IF(AND(B955&lt;=NKC!$N$8,B955&gt;=NKC!$M$8),"x","")</f>
        <v/>
      </c>
      <c r="Z955" s="769"/>
      <c r="AA955" s="587"/>
    </row>
    <row r="956" spans="1:28" ht="15.75" customHeight="1">
      <c r="A956" s="201" t="str">
        <f>IF(B956&lt;&gt;"",IF(AND(B956&gt;=_TM1,B956&lt;=_TM2,OR(TH!L956="1111",TH!M956="1111")),TH!D956,""),"")</f>
        <v/>
      </c>
      <c r="B956" s="36">
        <f t="shared" si="42"/>
        <v>11</v>
      </c>
      <c r="C956" s="188">
        <f t="shared" si="43"/>
        <v>41604</v>
      </c>
      <c r="D956" s="181" t="s">
        <v>1058</v>
      </c>
      <c r="E956" s="188">
        <v>41604</v>
      </c>
      <c r="F956" s="189" t="s">
        <v>805</v>
      </c>
      <c r="G956" s="480" t="s">
        <v>621</v>
      </c>
      <c r="H956" s="190" t="s">
        <v>710</v>
      </c>
      <c r="I956" s="249">
        <v>500</v>
      </c>
      <c r="J956" s="249">
        <v>10500</v>
      </c>
      <c r="K956" s="38">
        <f>ROUND(I956*J956,0)</f>
        <v>5250000</v>
      </c>
      <c r="L956" s="191" t="s">
        <v>262</v>
      </c>
      <c r="M956" s="191" t="s">
        <v>172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IF(OR(TH!L956=TH!$U$7,M956=TH!$U$7),"x","")</f>
        <v/>
      </c>
      <c r="V956" s="52" t="str">
        <f>IF(AND(B956&gt;='IN-NX'!$P$3,B956&lt;='IN-NX'!$Q$3,'IN-NX'!$D$7=D956,OR(LEFT(L956,2)="15",AND(LEFT(M956,2)&lt;&gt;"15",LEFT(M956,2)&lt;&gt;"33"))),"x","")</f>
        <v/>
      </c>
      <c r="W956" s="52" t="str">
        <f>IF(AND(OR(LEFT(TH!L956,2)="15",LEFT(TH!M956,2)="15"),'152-CT'!$J$8=TH!F956),"x","")</f>
        <v/>
      </c>
      <c r="X956" s="52" t="str">
        <f>IF(AND(OR(LEFT(TH!L956,2)="15",LEFT(TH!M956,2)="15"),TK!$E$7=TH!F956),"x","")</f>
        <v/>
      </c>
      <c r="Y956" s="52" t="str">
        <f>IF(AND(B956&lt;=NKC!$N$8,B956&gt;=NKC!$M$8),"x","")</f>
        <v/>
      </c>
      <c r="Z956" s="769"/>
      <c r="AA956" s="587"/>
    </row>
    <row r="957" spans="1:28" ht="15.75" customHeight="1">
      <c r="A957" s="201" t="str">
        <f>IF(B957&lt;&gt;"",IF(AND(B957&gt;=_TM1,B957&lt;=_TM2,OR(TH!L957="1111",TH!M957="1111")),TH!D957,""),"")</f>
        <v/>
      </c>
      <c r="B957" s="36">
        <f t="shared" si="42"/>
        <v>11</v>
      </c>
      <c r="C957" s="188">
        <f t="shared" si="43"/>
        <v>41604</v>
      </c>
      <c r="D957" s="181" t="s">
        <v>1058</v>
      </c>
      <c r="E957" s="188">
        <v>41604</v>
      </c>
      <c r="F957" s="189" t="s">
        <v>693</v>
      </c>
      <c r="G957" s="480" t="s">
        <v>621</v>
      </c>
      <c r="H957" s="190" t="s">
        <v>710</v>
      </c>
      <c r="I957" s="249"/>
      <c r="J957" s="249"/>
      <c r="K957" s="38">
        <v>1575000</v>
      </c>
      <c r="L957" s="191" t="s">
        <v>262</v>
      </c>
      <c r="M957" s="191" t="s">
        <v>425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IF(OR(TH!L957=TH!$U$7,M957=TH!$U$7),"x","")</f>
        <v/>
      </c>
      <c r="V957" s="52" t="str">
        <f>IF(AND(B957&gt;='IN-NX'!$P$3,B957&lt;='IN-NX'!$Q$3,'IN-NX'!$D$7=D957,OR(LEFT(L957,2)="15",AND(LEFT(M957,2)&lt;&gt;"15",LEFT(M957,2)&lt;&gt;"33"))),"x","")</f>
        <v/>
      </c>
      <c r="W957" s="52" t="str">
        <f>IF(AND(OR(LEFT(TH!L957,2)="15",LEFT(TH!M957,2)="15"),'152-CT'!$J$8=TH!F957),"x","")</f>
        <v/>
      </c>
      <c r="X957" s="52" t="str">
        <f>IF(AND(OR(LEFT(TH!L957,2)="15",LEFT(TH!M957,2)="15"),TK!$E$7=TH!F957),"x","")</f>
        <v/>
      </c>
      <c r="Y957" s="52" t="str">
        <f>IF(AND(B957&lt;=NKC!$N$8,B957&gt;=NKC!$M$8),"x","")</f>
        <v/>
      </c>
      <c r="Z957" s="769"/>
      <c r="AA957" s="587" t="str">
        <f>IF(VLOOKUP(H957,DS_131,1,0)&lt;&gt;"","","x")</f>
        <v/>
      </c>
    </row>
    <row r="958" spans="1:28" ht="15.75" customHeight="1">
      <c r="A958" s="201" t="str">
        <f>IF(B958&lt;&gt;"",IF(AND(B958&gt;=_TM1,B958&lt;=_TM2,OR(TH!L958="1111",TH!M958="1111")),TH!D958,""),"")</f>
        <v>T22</v>
      </c>
      <c r="B958" s="36">
        <f t="shared" si="42"/>
        <v>11</v>
      </c>
      <c r="C958" s="188">
        <f t="shared" si="43"/>
        <v>41604</v>
      </c>
      <c r="D958" s="181" t="s">
        <v>1277</v>
      </c>
      <c r="E958" s="188">
        <v>41604</v>
      </c>
      <c r="F958" s="186" t="s">
        <v>337</v>
      </c>
      <c r="G958" s="480" t="s">
        <v>621</v>
      </c>
      <c r="H958" s="190" t="s">
        <v>710</v>
      </c>
      <c r="I958" s="249"/>
      <c r="J958" s="249"/>
      <c r="K958" s="38">
        <v>17325000</v>
      </c>
      <c r="L958" s="191" t="s">
        <v>47</v>
      </c>
      <c r="M958" s="191" t="s">
        <v>262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IF(OR(TH!L958=TH!$U$7,M958=TH!$U$7),"x","")</f>
        <v/>
      </c>
      <c r="V958" s="52" t="str">
        <f>IF(AND(B958&gt;='IN-NX'!$P$3,B958&lt;='IN-NX'!$Q$3,'IN-NX'!$D$7=D958,OR(LEFT(L958,2)="15",AND(LEFT(M958,2)&lt;&gt;"15",LEFT(M958,2)&lt;&gt;"33"))),"x","")</f>
        <v/>
      </c>
      <c r="W958" s="52" t="str">
        <f>IF(AND(OR(LEFT(TH!L958,2)="15",LEFT(TH!M958,2)="15"),'152-CT'!$J$8=TH!F958),"x","")</f>
        <v/>
      </c>
      <c r="X958" s="52" t="str">
        <f>IF(AND(OR(LEFT(TH!L958,2)="15",LEFT(TH!M958,2)="15"),TK!$E$7=TH!F958),"x","")</f>
        <v/>
      </c>
      <c r="Y958" s="52" t="str">
        <f>IF(AND(B958&lt;=NKC!$N$8,B958&gt;=NKC!$M$8),"x","")</f>
        <v/>
      </c>
      <c r="Z958" s="769"/>
      <c r="AA958" s="587" t="str">
        <f>IF(VLOOKUP(H958,DS_131,1,0)&lt;&gt;"","","x")</f>
        <v/>
      </c>
    </row>
    <row r="959" spans="1:28" ht="15.75" customHeight="1">
      <c r="A959" s="201" t="str">
        <f>IF(B959&lt;&gt;"",IF(AND(B959&gt;=_TM1,B959&lt;=_TM2,OR(TH!L959="1111",TH!M959="1111")),TH!D959,""),"")</f>
        <v/>
      </c>
      <c r="B959" s="36">
        <f t="shared" si="42"/>
        <v>11</v>
      </c>
      <c r="C959" s="181">
        <f t="shared" si="43"/>
        <v>41606</v>
      </c>
      <c r="D959" s="181" t="s">
        <v>335</v>
      </c>
      <c r="E959" s="181">
        <v>41606</v>
      </c>
      <c r="F959" s="186" t="s">
        <v>337</v>
      </c>
      <c r="G959" s="597" t="s">
        <v>332</v>
      </c>
      <c r="H959" s="7" t="s">
        <v>506</v>
      </c>
      <c r="I959" s="249"/>
      <c r="J959" s="249"/>
      <c r="K959" s="595">
        <v>27871470</v>
      </c>
      <c r="L959" s="596" t="s">
        <v>24</v>
      </c>
      <c r="M959" s="596" t="s">
        <v>262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IF(OR(TH!L959=TH!$U$7,M959=TH!$U$7),"x","")</f>
        <v/>
      </c>
      <c r="V959" s="52" t="str">
        <f>IF(AND(B959&gt;='IN-NX'!$P$3,B959&lt;='IN-NX'!$Q$3,'IN-NX'!$D$7=D959,OR(LEFT(L959,2)="15",AND(LEFT(M959,2)&lt;&gt;"15",LEFT(M959,2)&lt;&gt;"33"))),"x","")</f>
        <v/>
      </c>
      <c r="W959" s="52" t="str">
        <f>IF(AND(OR(LEFT(TH!L959,2)="15",LEFT(TH!M959,2)="15"),'152-CT'!$J$8=TH!F959),"x","")</f>
        <v/>
      </c>
      <c r="X959" s="52" t="str">
        <f>IF(AND(OR(LEFT(TH!L959,2)="15",LEFT(TH!M959,2)="15"),TK!$E$7=TH!F959),"x","")</f>
        <v/>
      </c>
      <c r="Y959" s="52" t="str">
        <f>IF(AND(B959&lt;=NKC!$N$8,B959&gt;=NKC!$M$8),"x","")</f>
        <v/>
      </c>
      <c r="Z959" s="208"/>
    </row>
    <row r="960" spans="1:28" ht="15.75" customHeight="1">
      <c r="A960" s="201" t="str">
        <f>IF(B960&lt;&gt;"",IF(AND(B960&gt;=_TM1,B960&lt;=_TM2,OR(TH!L960="1111",TH!M960="1111")),TH!D960,""),"")</f>
        <v/>
      </c>
      <c r="B960" s="36">
        <f t="shared" si="42"/>
        <v>11</v>
      </c>
      <c r="C960" s="188">
        <f t="shared" si="43"/>
        <v>41606</v>
      </c>
      <c r="D960" s="181" t="s">
        <v>1059</v>
      </c>
      <c r="E960" s="188">
        <v>41606</v>
      </c>
      <c r="F960" s="189" t="s">
        <v>805</v>
      </c>
      <c r="G960" s="480" t="s">
        <v>993</v>
      </c>
      <c r="H960" s="190" t="s">
        <v>710</v>
      </c>
      <c r="I960" s="249">
        <v>500</v>
      </c>
      <c r="J960" s="249">
        <v>10500</v>
      </c>
      <c r="K960" s="38">
        <f>ROUND(I960*J960,0)</f>
        <v>5250000</v>
      </c>
      <c r="L960" s="191" t="s">
        <v>262</v>
      </c>
      <c r="M960" s="191" t="s">
        <v>172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IF(OR(TH!L960=TH!$U$7,M960=TH!$U$7),"x","")</f>
        <v/>
      </c>
      <c r="V960" s="52" t="str">
        <f>IF(AND(B960&gt;='IN-NX'!$P$3,B960&lt;='IN-NX'!$Q$3,'IN-NX'!$D$7=D960,OR(LEFT(L960,2)="15",AND(LEFT(M960,2)&lt;&gt;"15",LEFT(M960,2)&lt;&gt;"33"))),"x","")</f>
        <v/>
      </c>
      <c r="W960" s="52" t="str">
        <f>IF(AND(OR(LEFT(TH!L960,2)="15",LEFT(TH!M960,2)="15"),'152-CT'!$J$8=TH!F960),"x","")</f>
        <v/>
      </c>
      <c r="X960" s="52" t="str">
        <f>IF(AND(OR(LEFT(TH!L960,2)="15",LEFT(TH!M960,2)="15"),TK!$E$7=TH!F960),"x","")</f>
        <v/>
      </c>
      <c r="Y960" s="52" t="str">
        <f>IF(AND(B960&lt;=NKC!$N$8,B960&gt;=NKC!$M$8),"x","")</f>
        <v/>
      </c>
      <c r="Z960" s="769"/>
      <c r="AA960" s="587"/>
    </row>
    <row r="961" spans="1:28" ht="15.75" customHeight="1">
      <c r="A961" s="201" t="str">
        <f>IF(B961&lt;&gt;"",IF(AND(B961&gt;=_TM1,B961&lt;=_TM2,OR(TH!L961="1111",TH!M961="1111")),TH!D961,""),"")</f>
        <v/>
      </c>
      <c r="B961" s="36">
        <f t="shared" si="42"/>
        <v>11</v>
      </c>
      <c r="C961" s="188">
        <f t="shared" si="43"/>
        <v>41606</v>
      </c>
      <c r="D961" s="181" t="s">
        <v>1059</v>
      </c>
      <c r="E961" s="188">
        <v>41606</v>
      </c>
      <c r="F961" s="189" t="s">
        <v>708</v>
      </c>
      <c r="G961" s="480" t="s">
        <v>993</v>
      </c>
      <c r="H961" s="190" t="s">
        <v>710</v>
      </c>
      <c r="I961" s="249">
        <v>500</v>
      </c>
      <c r="J961" s="249">
        <v>7500</v>
      </c>
      <c r="K961" s="38">
        <f>ROUND(I961*J961,0)</f>
        <v>3750000</v>
      </c>
      <c r="L961" s="191" t="s">
        <v>262</v>
      </c>
      <c r="M961" s="191" t="s">
        <v>172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IF(OR(TH!L961=TH!$U$7,M961=TH!$U$7),"x","")</f>
        <v/>
      </c>
      <c r="V961" s="52" t="str">
        <f>IF(AND(B961&gt;='IN-NX'!$P$3,B961&lt;='IN-NX'!$Q$3,'IN-NX'!$D$7=D961,OR(LEFT(L961,2)="15",AND(LEFT(M961,2)&lt;&gt;"15",LEFT(M961,2)&lt;&gt;"33"))),"x","")</f>
        <v/>
      </c>
      <c r="W961" s="52" t="str">
        <f>IF(AND(OR(LEFT(TH!L961,2)="15",LEFT(TH!M961,2)="15"),'152-CT'!$J$8=TH!F961),"x","")</f>
        <v/>
      </c>
      <c r="X961" s="52" t="str">
        <f>IF(AND(OR(LEFT(TH!L961,2)="15",LEFT(TH!M961,2)="15"),TK!$E$7=TH!F961),"x","")</f>
        <v/>
      </c>
      <c r="Y961" s="52" t="str">
        <f>IF(AND(B961&lt;=NKC!$N$8,B961&gt;=NKC!$M$8),"x","")</f>
        <v/>
      </c>
      <c r="Z961" s="769"/>
      <c r="AA961" s="587"/>
    </row>
    <row r="962" spans="1:28" ht="15.75" customHeight="1">
      <c r="A962" s="201" t="str">
        <f>IF(B962&lt;&gt;"",IF(AND(B962&gt;=_TM1,B962&lt;=_TM2,OR(TH!L962="1111",TH!M962="1111")),TH!D962,""),"")</f>
        <v/>
      </c>
      <c r="B962" s="36">
        <f t="shared" si="42"/>
        <v>11</v>
      </c>
      <c r="C962" s="188">
        <f t="shared" si="43"/>
        <v>41606</v>
      </c>
      <c r="D962" s="181" t="s">
        <v>1059</v>
      </c>
      <c r="E962" s="188">
        <v>41606</v>
      </c>
      <c r="F962" s="189" t="s">
        <v>693</v>
      </c>
      <c r="G962" s="480" t="s">
        <v>993</v>
      </c>
      <c r="H962" s="190" t="s">
        <v>710</v>
      </c>
      <c r="I962" s="249"/>
      <c r="J962" s="249"/>
      <c r="K962" s="38">
        <v>900000</v>
      </c>
      <c r="L962" s="191" t="s">
        <v>262</v>
      </c>
      <c r="M962" s="191" t="s">
        <v>425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IF(OR(TH!L962=TH!$U$7,M962=TH!$U$7),"x","")</f>
        <v/>
      </c>
      <c r="V962" s="52" t="str">
        <f>IF(AND(B962&gt;='IN-NX'!$P$3,B962&lt;='IN-NX'!$Q$3,'IN-NX'!$D$7=D962,OR(LEFT(L962,2)="15",AND(LEFT(M962,2)&lt;&gt;"15",LEFT(M962,2)&lt;&gt;"33"))),"x","")</f>
        <v/>
      </c>
      <c r="W962" s="52" t="str">
        <f>IF(AND(OR(LEFT(TH!L962,2)="15",LEFT(TH!M962,2)="15"),'152-CT'!$J$8=TH!F962),"x","")</f>
        <v/>
      </c>
      <c r="X962" s="52" t="str">
        <f>IF(AND(OR(LEFT(TH!L962,2)="15",LEFT(TH!M962,2)="15"),TK!$E$7=TH!F962),"x","")</f>
        <v/>
      </c>
      <c r="Y962" s="52" t="str">
        <f>IF(AND(B962&lt;=NKC!$N$8,B962&gt;=NKC!$M$8),"x","")</f>
        <v/>
      </c>
      <c r="Z962" s="769"/>
      <c r="AA962" s="587" t="str">
        <f>IF(VLOOKUP(H962,DS_131,1,0)&lt;&gt;"","","x")</f>
        <v/>
      </c>
    </row>
    <row r="963" spans="1:28" ht="15.75" customHeight="1">
      <c r="A963" s="201" t="str">
        <f>IF(B963&lt;&gt;"",IF(AND(B963&gt;=_TM1,B963&lt;=_TM2,OR(TH!L963="1111",TH!M963="1111")),TH!D963,""),"")</f>
        <v>T23</v>
      </c>
      <c r="B963" s="36">
        <f t="shared" si="42"/>
        <v>11</v>
      </c>
      <c r="C963" s="188">
        <f t="shared" si="43"/>
        <v>41606</v>
      </c>
      <c r="D963" s="181" t="s">
        <v>1278</v>
      </c>
      <c r="E963" s="188">
        <v>41606</v>
      </c>
      <c r="F963" s="186" t="s">
        <v>337</v>
      </c>
      <c r="G963" s="480" t="s">
        <v>993</v>
      </c>
      <c r="H963" s="190" t="s">
        <v>710</v>
      </c>
      <c r="I963" s="249"/>
      <c r="J963" s="249"/>
      <c r="K963" s="38">
        <v>9900000</v>
      </c>
      <c r="L963" s="191" t="s">
        <v>47</v>
      </c>
      <c r="M963" s="191" t="s">
        <v>262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IF(OR(TH!L963=TH!$U$7,M963=TH!$U$7),"x","")</f>
        <v/>
      </c>
      <c r="V963" s="52" t="str">
        <f>IF(AND(B963&gt;='IN-NX'!$P$3,B963&lt;='IN-NX'!$Q$3,'IN-NX'!$D$7=D963,OR(LEFT(L963,2)="15",AND(LEFT(M963,2)&lt;&gt;"15",LEFT(M963,2)&lt;&gt;"33"))),"x","")</f>
        <v/>
      </c>
      <c r="W963" s="52" t="str">
        <f>IF(AND(OR(LEFT(TH!L963,2)="15",LEFT(TH!M963,2)="15"),'152-CT'!$J$8=TH!F963),"x","")</f>
        <v/>
      </c>
      <c r="X963" s="52" t="str">
        <f>IF(AND(OR(LEFT(TH!L963,2)="15",LEFT(TH!M963,2)="15"),TK!$E$7=TH!F963),"x","")</f>
        <v/>
      </c>
      <c r="Y963" s="52" t="str">
        <f>IF(AND(B963&lt;=NKC!$N$8,B963&gt;=NKC!$M$8),"x","")</f>
        <v/>
      </c>
      <c r="Z963" s="769"/>
      <c r="AA963" s="587" t="str">
        <f>IF(VLOOKUP(H963,DS_131,1,0)&lt;&gt;"","","x")</f>
        <v/>
      </c>
    </row>
    <row r="964" spans="1:28" ht="15.75" customHeight="1">
      <c r="A964" s="201" t="str">
        <f>IF(B964&lt;&gt;"",IF(AND(B964&gt;=_TM1,B964&lt;=_TM2,OR(TH!L964="1111",TH!M964="1111")),TH!D964,""),"")</f>
        <v/>
      </c>
      <c r="B964" s="36">
        <f t="shared" si="42"/>
        <v>11</v>
      </c>
      <c r="C964" s="188">
        <f t="shared" si="43"/>
        <v>41606</v>
      </c>
      <c r="D964" s="181" t="s">
        <v>1060</v>
      </c>
      <c r="E964" s="188">
        <v>41606</v>
      </c>
      <c r="F964" s="189" t="s">
        <v>814</v>
      </c>
      <c r="G964" s="480" t="s">
        <v>627</v>
      </c>
      <c r="H964" s="190" t="s">
        <v>816</v>
      </c>
      <c r="I964" s="249">
        <v>220</v>
      </c>
      <c r="J964" s="249">
        <v>19000</v>
      </c>
      <c r="K964" s="38">
        <f>ROUND(I964*J964,0)</f>
        <v>4180000</v>
      </c>
      <c r="L964" s="191" t="s">
        <v>262</v>
      </c>
      <c r="M964" s="191" t="s">
        <v>172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IF(OR(TH!L964=TH!$U$7,M964=TH!$U$7),"x","")</f>
        <v/>
      </c>
      <c r="V964" s="52" t="str">
        <f>IF(AND(B964&gt;='IN-NX'!$P$3,B964&lt;='IN-NX'!$Q$3,'IN-NX'!$D$7=D964,OR(LEFT(L964,2)="15",AND(LEFT(M964,2)&lt;&gt;"15",LEFT(M964,2)&lt;&gt;"33"))),"x","")</f>
        <v/>
      </c>
      <c r="W964" s="52" t="str">
        <f>IF(AND(OR(LEFT(TH!L964,2)="15",LEFT(TH!M964,2)="15"),'152-CT'!$J$8=TH!F964),"x","")</f>
        <v/>
      </c>
      <c r="X964" s="52" t="str">
        <f>IF(AND(OR(LEFT(TH!L964,2)="15",LEFT(TH!M964,2)="15"),TK!$E$7=TH!F964),"x","")</f>
        <v/>
      </c>
      <c r="Y964" s="52" t="str">
        <f>IF(AND(B964&lt;=NKC!$N$8,B964&gt;=NKC!$M$8),"x","")</f>
        <v/>
      </c>
      <c r="Z964" s="769"/>
      <c r="AA964" s="587"/>
    </row>
    <row r="965" spans="1:28" ht="15.75" customHeight="1">
      <c r="A965" s="201" t="str">
        <f>IF(B965&lt;&gt;"",IF(AND(B965&gt;=_TM1,B965&lt;=_TM2,OR(TH!L965="1111",TH!M965="1111")),TH!D965,""),"")</f>
        <v/>
      </c>
      <c r="B965" s="36">
        <f t="shared" si="42"/>
        <v>11</v>
      </c>
      <c r="C965" s="188">
        <f t="shared" si="43"/>
        <v>41606</v>
      </c>
      <c r="D965" s="181" t="s">
        <v>1060</v>
      </c>
      <c r="E965" s="188">
        <v>41606</v>
      </c>
      <c r="F965" s="189" t="s">
        <v>693</v>
      </c>
      <c r="G965" s="189" t="s">
        <v>627</v>
      </c>
      <c r="H965" s="7" t="s">
        <v>816</v>
      </c>
      <c r="I965" s="249"/>
      <c r="J965" s="249"/>
      <c r="K965" s="38">
        <v>418000</v>
      </c>
      <c r="L965" s="191" t="s">
        <v>262</v>
      </c>
      <c r="M965" s="191" t="s">
        <v>425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IF(OR(TH!L965=TH!$U$7,M965=TH!$U$7),"x","")</f>
        <v/>
      </c>
      <c r="V965" s="52" t="str">
        <f>IF(AND(B965&gt;='IN-NX'!$P$3,B965&lt;='IN-NX'!$Q$3,'IN-NX'!$D$7=D965,OR(LEFT(L965,2)="15",AND(LEFT(M965,2)&lt;&gt;"15",LEFT(M965,2)&lt;&gt;"33"))),"x","")</f>
        <v/>
      </c>
      <c r="W965" s="52" t="str">
        <f>IF(AND(OR(LEFT(TH!L965,2)="15",LEFT(TH!M965,2)="15"),'152-CT'!$J$8=TH!F965),"x","")</f>
        <v/>
      </c>
      <c r="X965" s="52" t="str">
        <f>IF(AND(OR(LEFT(TH!L965,2)="15",LEFT(TH!M965,2)="15"),TK!$E$7=TH!F965),"x","")</f>
        <v/>
      </c>
      <c r="Y965" s="52" t="str">
        <f>IF(AND(B965&lt;=NKC!$N$8,B965&gt;=NKC!$M$8),"x","")</f>
        <v/>
      </c>
      <c r="Z965" s="769"/>
      <c r="AA965" s="587" t="str">
        <f>IF(VLOOKUP(H965,DS_131,1,0)&lt;&gt;"","","x")</f>
        <v/>
      </c>
    </row>
    <row r="966" spans="1:28" ht="15.75" customHeight="1">
      <c r="A966" s="201" t="str">
        <f>IF(B966&lt;&gt;"",IF(AND(B966&gt;=_TM1,B966&lt;=_TM2,OR(TH!L966="1111",TH!M966="1111")),TH!D966,""),"")</f>
        <v>T24</v>
      </c>
      <c r="B966" s="36">
        <f t="shared" si="42"/>
        <v>11</v>
      </c>
      <c r="C966" s="188">
        <f t="shared" si="43"/>
        <v>41606</v>
      </c>
      <c r="D966" s="181" t="s">
        <v>1282</v>
      </c>
      <c r="E966" s="188">
        <v>41606</v>
      </c>
      <c r="F966" s="186" t="s">
        <v>337</v>
      </c>
      <c r="G966" s="189" t="s">
        <v>1315</v>
      </c>
      <c r="H966" s="7" t="s">
        <v>816</v>
      </c>
      <c r="I966" s="249"/>
      <c r="J966" s="249"/>
      <c r="K966" s="38">
        <v>13459600</v>
      </c>
      <c r="L966" s="191" t="s">
        <v>47</v>
      </c>
      <c r="M966" s="191" t="s">
        <v>262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IF(OR(TH!L966=TH!$U$7,M966=TH!$U$7),"x","")</f>
        <v/>
      </c>
      <c r="V966" s="52" t="str">
        <f>IF(AND(B966&gt;='IN-NX'!$P$3,B966&lt;='IN-NX'!$Q$3,'IN-NX'!$D$7=D966,OR(LEFT(L966,2)="15",AND(LEFT(M966,2)&lt;&gt;"15",LEFT(M966,2)&lt;&gt;"33"))),"x","")</f>
        <v/>
      </c>
      <c r="W966" s="52" t="str">
        <f>IF(AND(OR(LEFT(TH!L966,2)="15",LEFT(TH!M966,2)="15"),'152-CT'!$J$8=TH!F966),"x","")</f>
        <v/>
      </c>
      <c r="X966" s="52" t="str">
        <f>IF(AND(OR(LEFT(TH!L966,2)="15",LEFT(TH!M966,2)="15"),TK!$E$7=TH!F966),"x","")</f>
        <v/>
      </c>
      <c r="Y966" s="52" t="str">
        <f>IF(AND(B966&lt;=NKC!$N$8,B966&gt;=NKC!$M$8),"x","")</f>
        <v/>
      </c>
      <c r="Z966" s="769"/>
      <c r="AA966" s="587" t="str">
        <f>IF(VLOOKUP(H966,DS_131,1,0)&lt;&gt;"","","x")</f>
        <v/>
      </c>
    </row>
    <row r="967" spans="1:28" ht="15.75" customHeight="1">
      <c r="A967" s="201" t="str">
        <f>IF(B967&lt;&gt;"",IF(AND(B967&gt;=_TM1,B967&lt;=_TM2,OR(TH!L967="1111",TH!M967="1111")),TH!D967,""),"")</f>
        <v>T25</v>
      </c>
      <c r="B967" s="36">
        <f t="shared" si="42"/>
        <v>11</v>
      </c>
      <c r="C967" s="181">
        <f t="shared" si="43"/>
        <v>41607</v>
      </c>
      <c r="D967" s="181" t="s">
        <v>1283</v>
      </c>
      <c r="E967" s="188">
        <v>41607</v>
      </c>
      <c r="F967" s="186" t="s">
        <v>469</v>
      </c>
      <c r="G967" s="597" t="s">
        <v>332</v>
      </c>
      <c r="H967" s="7" t="s">
        <v>364</v>
      </c>
      <c r="I967" s="250"/>
      <c r="J967" s="251"/>
      <c r="K967" s="38">
        <v>39000000</v>
      </c>
      <c r="L967" s="596" t="s">
        <v>47</v>
      </c>
      <c r="M967" s="596" t="s">
        <v>24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>x</v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IF(OR(TH!L967=TH!$U$7,M967=TH!$U$7),"x","")</f>
        <v/>
      </c>
      <c r="V967" s="52" t="str">
        <f>IF(AND(B967&gt;='IN-NX'!$P$3,B967&lt;='IN-NX'!$Q$3,'IN-NX'!$D$7=D967,OR(LEFT(L967,2)="15",AND(LEFT(M967,2)&lt;&gt;"15",LEFT(M967,2)&lt;&gt;"33"))),"x","")</f>
        <v/>
      </c>
      <c r="W967" s="52" t="str">
        <f>IF(AND(OR(LEFT(TH!L967,2)="15",LEFT(TH!M967,2)="15"),'152-CT'!$J$8=TH!F967),"x","")</f>
        <v/>
      </c>
      <c r="X967" s="52" t="str">
        <f>IF(AND(OR(LEFT(TH!L967,2)="15",LEFT(TH!M967,2)="15"),TK!$E$7=TH!F967),"x","")</f>
        <v/>
      </c>
      <c r="Y967" s="52" t="str">
        <f>IF(AND(B967&lt;=NKC!$N$8,B967&gt;=NKC!$M$8),"x","")</f>
        <v/>
      </c>
      <c r="Z967" s="587"/>
    </row>
    <row r="968" spans="1:28" ht="15.75" customHeight="1">
      <c r="A968" s="201" t="str">
        <f>IF(B968&lt;&gt;"",IF(AND(B968&gt;=_TM1,B968&lt;=_TM2,OR(TH!L968="1111",TH!M968="1111")),TH!D968,""),"")</f>
        <v>C22</v>
      </c>
      <c r="B968" s="36">
        <f t="shared" si="42"/>
        <v>11</v>
      </c>
      <c r="C968" s="181">
        <f t="shared" si="43"/>
        <v>41607</v>
      </c>
      <c r="D968" s="181" t="s">
        <v>1265</v>
      </c>
      <c r="E968" s="181">
        <v>41607</v>
      </c>
      <c r="F968" s="186" t="s">
        <v>383</v>
      </c>
      <c r="G968" s="657" t="s">
        <v>535</v>
      </c>
      <c r="H968" s="7" t="s">
        <v>487</v>
      </c>
      <c r="I968" s="249"/>
      <c r="J968" s="251"/>
      <c r="K968" s="595">
        <v>1131830</v>
      </c>
      <c r="L968" s="596" t="s">
        <v>83</v>
      </c>
      <c r="M968" s="596" t="s">
        <v>47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IF(OR(TH!L968=TH!$U$7,M968=TH!$U$7),"x","")</f>
        <v>x</v>
      </c>
      <c r="V968" s="52" t="str">
        <f>IF(AND(B968&gt;='IN-NX'!$P$3,B968&lt;='IN-NX'!$Q$3,'IN-NX'!$D$7=D968,OR(LEFT(L968,2)="15",AND(LEFT(M968,2)&lt;&gt;"15",LEFT(M968,2)&lt;&gt;"33"))),"x","")</f>
        <v/>
      </c>
      <c r="W968" s="52" t="str">
        <f>IF(AND(OR(LEFT(TH!L968,2)="15",LEFT(TH!M968,2)="15"),'152-CT'!$J$8=TH!F968),"x","")</f>
        <v/>
      </c>
      <c r="X968" s="52" t="str">
        <f>IF(AND(OR(LEFT(TH!L968,2)="15",LEFT(TH!M968,2)="15"),TK!$E$7=TH!F968),"x","")</f>
        <v/>
      </c>
      <c r="Y968" s="52" t="str">
        <f>IF(AND(B968&lt;=NKC!$N$8,B968&gt;=NKC!$M$8),"x","")</f>
        <v/>
      </c>
      <c r="Z968" s="587" t="s">
        <v>1336</v>
      </c>
    </row>
    <row r="969" spans="1:28" ht="15.75" customHeight="1">
      <c r="A969" s="201" t="str">
        <f>IF(B969&lt;&gt;"",IF(AND(B969&gt;=_TM1,B969&lt;=_TM2,OR(TH!L969="1111",TH!M969="1111")),TH!D969,""),"")</f>
        <v>C22</v>
      </c>
      <c r="B969" s="36">
        <f t="shared" si="42"/>
        <v>11</v>
      </c>
      <c r="C969" s="181">
        <f t="shared" si="43"/>
        <v>41607</v>
      </c>
      <c r="D969" s="181" t="s">
        <v>1265</v>
      </c>
      <c r="E969" s="181">
        <v>41607</v>
      </c>
      <c r="F969" s="186" t="s">
        <v>384</v>
      </c>
      <c r="G969" s="657" t="s">
        <v>535</v>
      </c>
      <c r="H969" s="7" t="s">
        <v>487</v>
      </c>
      <c r="I969" s="250"/>
      <c r="J969" s="251"/>
      <c r="K969" s="38">
        <v>113183</v>
      </c>
      <c r="L969" s="596" t="s">
        <v>9</v>
      </c>
      <c r="M969" s="596" t="s">
        <v>47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IF(OR(TH!L969=TH!$U$7,M969=TH!$U$7),"x","")</f>
        <v/>
      </c>
      <c r="V969" s="52" t="str">
        <f>IF(AND(B969&gt;='IN-NX'!$P$3,B969&lt;='IN-NX'!$Q$3,'IN-NX'!$D$7=D969,OR(LEFT(L969,2)="15",AND(LEFT(M969,2)&lt;&gt;"15",LEFT(M969,2)&lt;&gt;"33"))),"x","")</f>
        <v/>
      </c>
      <c r="W969" s="52" t="str">
        <f>IF(AND(OR(LEFT(TH!L969,2)="15",LEFT(TH!M969,2)="15"),'152-CT'!$J$8=TH!F969),"x","")</f>
        <v/>
      </c>
      <c r="X969" s="52" t="str">
        <f>IF(AND(OR(LEFT(TH!L969,2)="15",LEFT(TH!M969,2)="15"),TK!$E$7=TH!F969),"x","")</f>
        <v/>
      </c>
      <c r="Y969" s="52" t="str">
        <f>IF(AND(B969&lt;=NKC!$N$8,B969&gt;=NKC!$M$8),"x","")</f>
        <v/>
      </c>
      <c r="Z969" s="587" t="s">
        <v>1336</v>
      </c>
    </row>
    <row r="970" spans="1:28" ht="15.75" customHeight="1">
      <c r="A970" s="201" t="str">
        <f>IF(B970&lt;&gt;"",IF(AND(B970&gt;=_TM1,B970&lt;=_TM2,OR(TH!L970="1111",TH!M970="1111")),TH!D970,""),"")</f>
        <v>C23</v>
      </c>
      <c r="B970" s="36">
        <f t="shared" si="42"/>
        <v>11</v>
      </c>
      <c r="C970" s="181">
        <f t="shared" si="43"/>
        <v>41607</v>
      </c>
      <c r="D970" s="181" t="s">
        <v>1266</v>
      </c>
      <c r="E970" s="188">
        <v>41607</v>
      </c>
      <c r="F970" s="186" t="s">
        <v>536</v>
      </c>
      <c r="G970" s="657" t="s">
        <v>537</v>
      </c>
      <c r="H970" s="7" t="s">
        <v>538</v>
      </c>
      <c r="I970" s="250">
        <v>240</v>
      </c>
      <c r="J970" s="251">
        <v>6060</v>
      </c>
      <c r="K970" s="38">
        <f>ROUND(I970*J970,0)</f>
        <v>1454400</v>
      </c>
      <c r="L970" s="596" t="s">
        <v>83</v>
      </c>
      <c r="M970" s="596" t="s">
        <v>47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IF(OR(TH!L970=TH!$U$7,M970=TH!$U$7),"x","")</f>
        <v>x</v>
      </c>
      <c r="V970" s="52" t="str">
        <f>IF(AND(B970&gt;='IN-NX'!$P$3,B970&lt;='IN-NX'!$Q$3,'IN-NX'!$D$7=D970,OR(LEFT(L970,2)="15",AND(LEFT(M970,2)&lt;&gt;"15",LEFT(M970,2)&lt;&gt;"33"))),"x","")</f>
        <v/>
      </c>
      <c r="W970" s="52" t="str">
        <f>IF(AND(OR(LEFT(TH!L970,2)="15",LEFT(TH!M970,2)="15"),'152-CT'!$J$8=TH!F970),"x","")</f>
        <v/>
      </c>
      <c r="X970" s="52" t="str">
        <f>IF(AND(OR(LEFT(TH!L970,2)="15",LEFT(TH!M970,2)="15"),TK!$E$7=TH!F970),"x","")</f>
        <v/>
      </c>
      <c r="Y970" s="52" t="str">
        <f>IF(AND(B970&lt;=NKC!$N$8,B970&gt;=NKC!$M$8),"x","")</f>
        <v/>
      </c>
      <c r="Z970" s="587" t="s">
        <v>1336</v>
      </c>
      <c r="AA970" s="587"/>
      <c r="AB970" s="587"/>
    </row>
    <row r="971" spans="1:28" ht="15.75" customHeight="1">
      <c r="A971" s="201" t="str">
        <f>IF(B971&lt;&gt;"",IF(AND(B971&gt;=_TM1,B971&lt;=_TM2,OR(TH!L971="1111",TH!M971="1111")),TH!D971,""),"")</f>
        <v>C23</v>
      </c>
      <c r="B971" s="36">
        <f t="shared" si="42"/>
        <v>11</v>
      </c>
      <c r="C971" s="181">
        <f t="shared" si="43"/>
        <v>41607</v>
      </c>
      <c r="D971" s="181" t="s">
        <v>1266</v>
      </c>
      <c r="E971" s="188">
        <v>41607</v>
      </c>
      <c r="F971" s="186" t="s">
        <v>539</v>
      </c>
      <c r="G971" s="657" t="s">
        <v>537</v>
      </c>
      <c r="H971" s="7" t="s">
        <v>538</v>
      </c>
      <c r="I971" s="250"/>
      <c r="J971" s="251"/>
      <c r="K971" s="38">
        <v>145440</v>
      </c>
      <c r="L971" s="596" t="s">
        <v>9</v>
      </c>
      <c r="M971" s="596" t="s">
        <v>47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IF(OR(TH!L971=TH!$U$7,M971=TH!$U$7),"x","")</f>
        <v/>
      </c>
      <c r="V971" s="52" t="str">
        <f>IF(AND(B971&gt;='IN-NX'!$P$3,B971&lt;='IN-NX'!$Q$3,'IN-NX'!$D$7=D971,OR(LEFT(L971,2)="15",AND(LEFT(M971,2)&lt;&gt;"15",LEFT(M971,2)&lt;&gt;"33"))),"x","")</f>
        <v/>
      </c>
      <c r="W971" s="52" t="str">
        <f>IF(AND(OR(LEFT(TH!L971,2)="15",LEFT(TH!M971,2)="15"),'152-CT'!$J$8=TH!F971),"x","")</f>
        <v/>
      </c>
      <c r="X971" s="52" t="str">
        <f>IF(AND(OR(LEFT(TH!L971,2)="15",LEFT(TH!M971,2)="15"),TK!$E$7=TH!F971),"x","")</f>
        <v/>
      </c>
      <c r="Y971" s="52" t="str">
        <f>IF(AND(B971&lt;=NKC!$N$8,B971&gt;=NKC!$M$8),"x","")</f>
        <v/>
      </c>
      <c r="Z971" s="587" t="s">
        <v>1336</v>
      </c>
      <c r="AA971" s="208"/>
      <c r="AB971" s="208"/>
    </row>
    <row r="972" spans="1:28" ht="15.75" customHeight="1">
      <c r="A972" s="201" t="str">
        <f>IF(B972&lt;&gt;"",IF(AND(B972&gt;=_TM1,B972&lt;=_TM2,OR(TH!L972="1111",TH!M972="1111")),TH!D972,""),"")</f>
        <v/>
      </c>
      <c r="B972" s="36">
        <f t="shared" si="42"/>
        <v>11</v>
      </c>
      <c r="C972" s="771">
        <f t="shared" si="43"/>
        <v>41608</v>
      </c>
      <c r="D972" s="771" t="s">
        <v>339</v>
      </c>
      <c r="E972" s="771">
        <v>41608</v>
      </c>
      <c r="F972" s="696" t="s">
        <v>1255</v>
      </c>
      <c r="G972" s="697"/>
      <c r="H972" s="609"/>
      <c r="I972" s="477"/>
      <c r="J972" s="477"/>
      <c r="K972" s="698">
        <v>5880000</v>
      </c>
      <c r="L972" s="699" t="s">
        <v>83</v>
      </c>
      <c r="M972" s="699" t="s">
        <v>265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IF(OR(TH!L972=TH!$U$7,M972=TH!$U$7),"x","")</f>
        <v>x</v>
      </c>
      <c r="V972" s="52" t="str">
        <f>IF(AND(B972&gt;='IN-NX'!$P$3,B972&lt;='IN-NX'!$Q$3,'IN-NX'!$D$7=D972,OR(LEFT(L972,2)="15",AND(LEFT(M972,2)&lt;&gt;"15",LEFT(M972,2)&lt;&gt;"33"))),"x","")</f>
        <v/>
      </c>
      <c r="W972" s="52" t="str">
        <f>IF(AND(OR(LEFT(TH!L972,2)="15",LEFT(TH!M972,2)="15"),'152-CT'!$J$8=TH!F972),"x","")</f>
        <v/>
      </c>
      <c r="X972" s="52" t="str">
        <f>IF(AND(OR(LEFT(TH!L972,2)="15",LEFT(TH!M972,2)="15"),TK!$E$7=TH!F972),"x","")</f>
        <v/>
      </c>
      <c r="Y972" s="52" t="str">
        <f>IF(AND(B972&lt;=NKC!$N$8,B972&gt;=NKC!$M$8),"x","")</f>
        <v/>
      </c>
    </row>
    <row r="973" spans="1:28" ht="15.75" customHeight="1">
      <c r="A973" s="201" t="str">
        <f>IF(B973&lt;&gt;"",IF(AND(B973&gt;=_TM1,B973&lt;=_TM2,OR(TH!L973="1111",TH!M973="1111")),TH!D973,""),"")</f>
        <v/>
      </c>
      <c r="B973" s="36">
        <f t="shared" si="42"/>
        <v>11</v>
      </c>
      <c r="C973" s="771">
        <f t="shared" si="43"/>
        <v>41608</v>
      </c>
      <c r="D973" s="771" t="s">
        <v>339</v>
      </c>
      <c r="E973" s="771">
        <v>41608</v>
      </c>
      <c r="F973" s="696" t="s">
        <v>1256</v>
      </c>
      <c r="G973" s="697"/>
      <c r="H973" s="609"/>
      <c r="I973" s="477"/>
      <c r="J973" s="477"/>
      <c r="K973" s="698">
        <v>7570000</v>
      </c>
      <c r="L973" s="699" t="s">
        <v>162</v>
      </c>
      <c r="M973" s="699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IF(OR(TH!L973=TH!$U$7,M973=TH!$U$7),"x","")</f>
        <v/>
      </c>
      <c r="V973" s="52" t="str">
        <f>IF(AND(B973&gt;='IN-NX'!$P$3,B973&lt;='IN-NX'!$Q$3,'IN-NX'!$D$7=D973,OR(LEFT(L973,2)="15",AND(LEFT(M973,2)&lt;&gt;"15",LEFT(M973,2)&lt;&gt;"33"))),"x","")</f>
        <v/>
      </c>
      <c r="W973" s="52" t="str">
        <f>IF(AND(OR(LEFT(TH!L973,2)="15",LEFT(TH!M973,2)="15"),'152-CT'!$J$8=TH!F973),"x","")</f>
        <v/>
      </c>
      <c r="X973" s="52" t="str">
        <f>IF(AND(OR(LEFT(TH!L973,2)="15",LEFT(TH!M973,2)="15"),TK!$E$7=TH!F973),"x","")</f>
        <v/>
      </c>
      <c r="Y973" s="52" t="str">
        <f>IF(AND(B973&lt;=NKC!$N$8,B973&gt;=NKC!$M$8),"x","")</f>
        <v/>
      </c>
    </row>
    <row r="974" spans="1:28" ht="15.75" customHeight="1">
      <c r="A974" s="201" t="str">
        <f>IF(B974&lt;&gt;"",IF(AND(B974&gt;=_TM1,B974&lt;=_TM2,OR(TH!L974="1111",TH!M974="1111")),TH!D974,""),"")</f>
        <v>C24</v>
      </c>
      <c r="B974" s="36">
        <f t="shared" si="42"/>
        <v>11</v>
      </c>
      <c r="C974" s="771">
        <f t="shared" si="43"/>
        <v>41608</v>
      </c>
      <c r="D974" s="771" t="s">
        <v>400</v>
      </c>
      <c r="E974" s="771">
        <v>41608</v>
      </c>
      <c r="F974" s="696" t="str">
        <f>"Thanh toán tiền lương tháng "&amp;MONTH(E974)&amp;"/"&amp;YEAR(E974)</f>
        <v>Thanh toán tiền lương tháng 11/2013</v>
      </c>
      <c r="G974" s="697"/>
      <c r="H974" s="609" t="s">
        <v>364</v>
      </c>
      <c r="I974" s="477"/>
      <c r="J974" s="477"/>
      <c r="K974" s="698">
        <f>K972+K973</f>
        <v>13450000</v>
      </c>
      <c r="L974" s="699" t="s">
        <v>265</v>
      </c>
      <c r="M974" s="699" t="s">
        <v>47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IF(OR(TH!L974=TH!$U$7,M974=TH!$U$7),"x","")</f>
        <v/>
      </c>
      <c r="V974" s="52" t="str">
        <f>IF(AND(B974&gt;='IN-NX'!$P$3,B974&lt;='IN-NX'!$Q$3,'IN-NX'!$D$7=D974,OR(LEFT(L974,2)="15",AND(LEFT(M974,2)&lt;&gt;"15",LEFT(M974,2)&lt;&gt;"33"))),"x","")</f>
        <v/>
      </c>
      <c r="W974" s="52" t="str">
        <f>IF(AND(OR(LEFT(TH!L974,2)="15",LEFT(TH!M974,2)="15"),'152-CT'!$J$8=TH!F974),"x","")</f>
        <v/>
      </c>
      <c r="X974" s="52" t="str">
        <f>IF(AND(OR(LEFT(TH!L974,2)="15",LEFT(TH!M974,2)="15"),TK!$E$7=TH!F974),"x","")</f>
        <v/>
      </c>
      <c r="Y974" s="52" t="str">
        <f>IF(AND(B974&lt;=NKC!$N$8,B974&gt;=NKC!$M$8),"x","")</f>
        <v/>
      </c>
    </row>
    <row r="975" spans="1:28" ht="15.75" customHeight="1">
      <c r="A975" s="201" t="str">
        <f>IF(B975&lt;&gt;"",IF(AND(B975&gt;=_TM1,B975&lt;=_TM2,OR(TH!L975="1111",TH!M975="1111")),TH!D975,""),"")</f>
        <v/>
      </c>
      <c r="B975" s="36">
        <f t="shared" si="42"/>
        <v>11</v>
      </c>
      <c r="C975" s="188">
        <f t="shared" si="43"/>
        <v>41608</v>
      </c>
      <c r="D975" s="181" t="s">
        <v>1061</v>
      </c>
      <c r="E975" s="188">
        <v>41608</v>
      </c>
      <c r="F975" s="189" t="s">
        <v>977</v>
      </c>
      <c r="G975" s="189" t="s">
        <v>994</v>
      </c>
      <c r="H975" s="45" t="s">
        <v>975</v>
      </c>
      <c r="I975" s="249">
        <v>200</v>
      </c>
      <c r="J975" s="249">
        <v>13000</v>
      </c>
      <c r="K975" s="38">
        <f>ROUND(I975*J975,0)</f>
        <v>2600000</v>
      </c>
      <c r="L975" s="191" t="s">
        <v>262</v>
      </c>
      <c r="M975" s="191" t="s">
        <v>172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IF(OR(TH!L975=TH!$U$7,M975=TH!$U$7),"x","")</f>
        <v/>
      </c>
      <c r="V975" s="52" t="str">
        <f>IF(AND(B975&gt;='IN-NX'!$P$3,B975&lt;='IN-NX'!$Q$3,'IN-NX'!$D$7=D975,OR(LEFT(L975,2)="15",AND(LEFT(M975,2)&lt;&gt;"15",LEFT(M975,2)&lt;&gt;"33"))),"x","")</f>
        <v/>
      </c>
      <c r="W975" s="52" t="str">
        <f>IF(AND(OR(LEFT(TH!L975,2)="15",LEFT(TH!M975,2)="15"),'152-CT'!$J$8=TH!F975),"x","")</f>
        <v/>
      </c>
      <c r="X975" s="52" t="str">
        <f>IF(AND(OR(LEFT(TH!L975,2)="15",LEFT(TH!M975,2)="15"),TK!$E$7=TH!F975),"x","")</f>
        <v/>
      </c>
      <c r="Y975" s="52" t="str">
        <f>IF(AND(B975&lt;=NKC!$N$8,B975&gt;=NKC!$M$8),"x","")</f>
        <v/>
      </c>
      <c r="Z975" s="769"/>
      <c r="AA975" s="587"/>
    </row>
    <row r="976" spans="1:28" ht="15.75" customHeight="1">
      <c r="A976" s="201" t="str">
        <f>IF(B976&lt;&gt;"",IF(AND(B976&gt;=_TM1,B976&lt;=_TM2,OR(TH!L976="1111",TH!M976="1111")),TH!D976,""),"")</f>
        <v/>
      </c>
      <c r="B976" s="36">
        <f t="shared" si="42"/>
        <v>11</v>
      </c>
      <c r="C976" s="188">
        <f t="shared" si="43"/>
        <v>41608</v>
      </c>
      <c r="D976" s="181" t="s">
        <v>1061</v>
      </c>
      <c r="E976" s="188">
        <v>41608</v>
      </c>
      <c r="F976" s="189" t="s">
        <v>976</v>
      </c>
      <c r="G976" s="189" t="s">
        <v>994</v>
      </c>
      <c r="H976" s="190" t="s">
        <v>975</v>
      </c>
      <c r="I976" s="249">
        <v>150</v>
      </c>
      <c r="J976" s="249">
        <v>14200</v>
      </c>
      <c r="K976" s="38">
        <f>ROUND(I976*J976,0)</f>
        <v>2130000</v>
      </c>
      <c r="L976" s="191" t="s">
        <v>262</v>
      </c>
      <c r="M976" s="191" t="s">
        <v>172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IF(OR(TH!L976=TH!$U$7,M976=TH!$U$7),"x","")</f>
        <v/>
      </c>
      <c r="V976" s="52" t="str">
        <f>IF(AND(B976&gt;='IN-NX'!$P$3,B976&lt;='IN-NX'!$Q$3,'IN-NX'!$D$7=D976,OR(LEFT(L976,2)="15",AND(LEFT(M976,2)&lt;&gt;"15",LEFT(M976,2)&lt;&gt;"33"))),"x","")</f>
        <v/>
      </c>
      <c r="W976" s="52" t="str">
        <f>IF(AND(OR(LEFT(TH!L976,2)="15",LEFT(TH!M976,2)="15"),'152-CT'!$J$8=TH!F976),"x","")</f>
        <v/>
      </c>
      <c r="X976" s="52" t="str">
        <f>IF(AND(OR(LEFT(TH!L976,2)="15",LEFT(TH!M976,2)="15"),TK!$E$7=TH!F976),"x","")</f>
        <v/>
      </c>
      <c r="Y976" s="52" t="str">
        <f>IF(AND(B976&lt;=NKC!$N$8,B976&gt;=NKC!$M$8),"x","")</f>
        <v/>
      </c>
      <c r="Z976" s="769"/>
      <c r="AA976" s="587"/>
    </row>
    <row r="977" spans="1:28" ht="15.75" customHeight="1">
      <c r="A977" s="201" t="str">
        <f>IF(B977&lt;&gt;"",IF(AND(B977&gt;=_TM1,B977&lt;=_TM2,OR(TH!L977="1111",TH!M977="1111")),TH!D977,""),"")</f>
        <v/>
      </c>
      <c r="B977" s="36">
        <f t="shared" si="42"/>
        <v>11</v>
      </c>
      <c r="C977" s="188">
        <f t="shared" si="43"/>
        <v>41608</v>
      </c>
      <c r="D977" s="181" t="s">
        <v>1061</v>
      </c>
      <c r="E977" s="188">
        <v>41608</v>
      </c>
      <c r="F977" s="189" t="s">
        <v>973</v>
      </c>
      <c r="G977" s="189" t="s">
        <v>994</v>
      </c>
      <c r="H977" s="190" t="s">
        <v>975</v>
      </c>
      <c r="I977" s="249">
        <v>100</v>
      </c>
      <c r="J977" s="249">
        <v>8000</v>
      </c>
      <c r="K977" s="38">
        <f>ROUND(I977*J977,0)</f>
        <v>800000</v>
      </c>
      <c r="L977" s="191" t="s">
        <v>262</v>
      </c>
      <c r="M977" s="191" t="s">
        <v>172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IF(OR(TH!L977=TH!$U$7,M977=TH!$U$7),"x","")</f>
        <v/>
      </c>
      <c r="V977" s="52" t="str">
        <f>IF(AND(B977&gt;='IN-NX'!$P$3,B977&lt;='IN-NX'!$Q$3,'IN-NX'!$D$7=D977,OR(LEFT(L977,2)="15",AND(LEFT(M977,2)&lt;&gt;"15",LEFT(M977,2)&lt;&gt;"33"))),"x","")</f>
        <v/>
      </c>
      <c r="W977" s="52" t="str">
        <f>IF(AND(OR(LEFT(TH!L977,2)="15",LEFT(TH!M977,2)="15"),'152-CT'!$J$8=TH!F977),"x","")</f>
        <v/>
      </c>
      <c r="X977" s="52" t="str">
        <f>IF(AND(OR(LEFT(TH!L977,2)="15",LEFT(TH!M977,2)="15"),TK!$E$7=TH!F977),"x","")</f>
        <v/>
      </c>
      <c r="Y977" s="52" t="str">
        <f>IF(AND(B977&lt;=NKC!$N$8,B977&gt;=NKC!$M$8),"x","")</f>
        <v/>
      </c>
      <c r="Z977" s="769"/>
      <c r="AA977" s="587"/>
    </row>
    <row r="978" spans="1:28" ht="15.75" customHeight="1">
      <c r="A978" s="201" t="str">
        <f>IF(B978&lt;&gt;"",IF(AND(B978&gt;=_TM1,B978&lt;=_TM2,OR(TH!L978="1111",TH!M978="1111")),TH!D978,""),"")</f>
        <v/>
      </c>
      <c r="B978" s="36">
        <f t="shared" si="42"/>
        <v>11</v>
      </c>
      <c r="C978" s="188">
        <f t="shared" si="43"/>
        <v>41608</v>
      </c>
      <c r="D978" s="181" t="s">
        <v>1061</v>
      </c>
      <c r="E978" s="188">
        <v>41608</v>
      </c>
      <c r="F978" s="189" t="s">
        <v>693</v>
      </c>
      <c r="G978" s="189" t="s">
        <v>994</v>
      </c>
      <c r="H978" s="190" t="s">
        <v>975</v>
      </c>
      <c r="I978" s="249"/>
      <c r="J978" s="249"/>
      <c r="K978" s="38">
        <v>553000</v>
      </c>
      <c r="L978" s="191" t="s">
        <v>262</v>
      </c>
      <c r="M978" s="191" t="s">
        <v>425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IF(OR(TH!L978=TH!$U$7,M978=TH!$U$7),"x","")</f>
        <v/>
      </c>
      <c r="V978" s="52" t="str">
        <f>IF(AND(B978&gt;='IN-NX'!$P$3,B978&lt;='IN-NX'!$Q$3,'IN-NX'!$D$7=D978,OR(LEFT(L978,2)="15",AND(LEFT(M978,2)&lt;&gt;"15",LEFT(M978,2)&lt;&gt;"33"))),"x","")</f>
        <v/>
      </c>
      <c r="W978" s="52" t="str">
        <f>IF(AND(OR(LEFT(TH!L978,2)="15",LEFT(TH!M978,2)="15"),'152-CT'!$J$8=TH!F978),"x","")</f>
        <v/>
      </c>
      <c r="X978" s="52" t="str">
        <f>IF(AND(OR(LEFT(TH!L978,2)="15",LEFT(TH!M978,2)="15"),TK!$E$7=TH!F978),"x","")</f>
        <v/>
      </c>
      <c r="Y978" s="52" t="str">
        <f>IF(AND(B978&lt;=NKC!$N$8,B978&gt;=NKC!$M$8),"x","")</f>
        <v/>
      </c>
      <c r="Z978" s="769"/>
      <c r="AA978" s="587" t="str">
        <f>IF(VLOOKUP(H978,DS_131,1,0)&lt;&gt;"","","x")</f>
        <v/>
      </c>
    </row>
    <row r="979" spans="1:28" ht="15.75" customHeight="1">
      <c r="A979" s="201" t="str">
        <f>IF(B979&lt;&gt;"",IF(AND(B979&gt;=_TM1,B979&lt;=_TM2,OR(TH!L979="1111",TH!M979="1111")),TH!D979,""),"")</f>
        <v>T26</v>
      </c>
      <c r="B979" s="36">
        <f t="shared" si="42"/>
        <v>11</v>
      </c>
      <c r="C979" s="188">
        <f t="shared" si="43"/>
        <v>41608</v>
      </c>
      <c r="D979" s="181" t="s">
        <v>1284</v>
      </c>
      <c r="E979" s="188">
        <v>41608</v>
      </c>
      <c r="F979" s="186" t="s">
        <v>337</v>
      </c>
      <c r="G979" s="189" t="s">
        <v>1308</v>
      </c>
      <c r="H979" s="190" t="s">
        <v>975</v>
      </c>
      <c r="I979" s="249"/>
      <c r="J979" s="249"/>
      <c r="K979" s="38">
        <v>11550000</v>
      </c>
      <c r="L979" s="191" t="s">
        <v>47</v>
      </c>
      <c r="M979" s="191" t="s">
        <v>262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>x</v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IF(OR(TH!L979=TH!$U$7,M979=TH!$U$7),"x","")</f>
        <v/>
      </c>
      <c r="V979" s="52" t="str">
        <f>IF(AND(B979&gt;='IN-NX'!$P$3,B979&lt;='IN-NX'!$Q$3,'IN-NX'!$D$7=D979,OR(LEFT(L979,2)="15",AND(LEFT(M979,2)&lt;&gt;"15",LEFT(M979,2)&lt;&gt;"33"))),"x","")</f>
        <v/>
      </c>
      <c r="W979" s="52" t="str">
        <f>IF(AND(OR(LEFT(TH!L979,2)="15",LEFT(TH!M979,2)="15"),'152-CT'!$J$8=TH!F979),"x","")</f>
        <v/>
      </c>
      <c r="X979" s="52" t="str">
        <f>IF(AND(OR(LEFT(TH!L979,2)="15",LEFT(TH!M979,2)="15"),TK!$E$7=TH!F979),"x","")</f>
        <v/>
      </c>
      <c r="Y979" s="52" t="str">
        <f>IF(AND(B979&lt;=NKC!$N$8,B979&gt;=NKC!$M$8),"x","")</f>
        <v/>
      </c>
      <c r="Z979" s="769"/>
      <c r="AA979" s="587" t="str">
        <f>IF(VLOOKUP(H979,DS_131,1,0)&lt;&gt;"","","x")</f>
        <v/>
      </c>
    </row>
    <row r="980" spans="1:28" ht="15.75" customHeight="1">
      <c r="A980" s="201" t="str">
        <f>IF(B980&lt;&gt;"",IF(AND(B980&gt;=_TM1,B980&lt;=_TM2,OR(TH!L980="1111",TH!M980="1111")),TH!D980,""),"")</f>
        <v/>
      </c>
      <c r="B980" s="36">
        <f t="shared" si="42"/>
        <v>11</v>
      </c>
      <c r="C980" s="188">
        <f t="shared" si="43"/>
        <v>41608</v>
      </c>
      <c r="D980" s="181" t="s">
        <v>1062</v>
      </c>
      <c r="E980" s="188">
        <v>41608</v>
      </c>
      <c r="F980" s="189" t="s">
        <v>995</v>
      </c>
      <c r="G980" s="189" t="s">
        <v>996</v>
      </c>
      <c r="H980" s="7" t="s">
        <v>549</v>
      </c>
      <c r="I980" s="249">
        <v>1236</v>
      </c>
      <c r="J980" s="249">
        <v>17200</v>
      </c>
      <c r="K980" s="38">
        <f>ROUND(I980*J980,0)</f>
        <v>21259200</v>
      </c>
      <c r="L980" s="191" t="s">
        <v>262</v>
      </c>
      <c r="M980" s="191" t="s">
        <v>172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IF(OR(TH!L980=TH!$U$7,M980=TH!$U$7),"x","")</f>
        <v/>
      </c>
      <c r="V980" s="52" t="str">
        <f>IF(AND(B980&gt;='IN-NX'!$P$3,B980&lt;='IN-NX'!$Q$3,'IN-NX'!$D$7=D980,OR(LEFT(L980,2)="15",AND(LEFT(M980,2)&lt;&gt;"15",LEFT(M980,2)&lt;&gt;"33"))),"x","")</f>
        <v/>
      </c>
      <c r="W980" s="52" t="str">
        <f>IF(AND(OR(LEFT(TH!L980,2)="15",LEFT(TH!M980,2)="15"),'152-CT'!$J$8=TH!F980),"x","")</f>
        <v/>
      </c>
      <c r="X980" s="52" t="str">
        <f>IF(AND(OR(LEFT(TH!L980,2)="15",LEFT(TH!M980,2)="15"),TK!$E$7=TH!F980),"x","")</f>
        <v/>
      </c>
      <c r="Y980" s="52" t="str">
        <f>IF(AND(B980&lt;=NKC!$N$8,B980&gt;=NKC!$M$8),"x","")</f>
        <v/>
      </c>
      <c r="Z980" s="769"/>
      <c r="AA980" s="587"/>
    </row>
    <row r="981" spans="1:28" ht="15.75" customHeight="1">
      <c r="A981" s="201" t="str">
        <f>IF(B981&lt;&gt;"",IF(AND(B981&gt;=_TM1,B981&lt;=_TM2,OR(TH!L981="1111",TH!M981="1111")),TH!D981,""),"")</f>
        <v/>
      </c>
      <c r="B981" s="36">
        <f t="shared" si="42"/>
        <v>11</v>
      </c>
      <c r="C981" s="188">
        <f t="shared" si="43"/>
        <v>41608</v>
      </c>
      <c r="D981" s="181" t="s">
        <v>1062</v>
      </c>
      <c r="E981" s="188">
        <v>41608</v>
      </c>
      <c r="F981" s="189" t="s">
        <v>693</v>
      </c>
      <c r="G981" s="189" t="s">
        <v>996</v>
      </c>
      <c r="H981" s="7" t="s">
        <v>549</v>
      </c>
      <c r="I981" s="249"/>
      <c r="J981" s="249"/>
      <c r="K981" s="38">
        <v>2125920</v>
      </c>
      <c r="L981" s="191" t="s">
        <v>262</v>
      </c>
      <c r="M981" s="191" t="s">
        <v>425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IF(OR(TH!L981=TH!$U$7,M981=TH!$U$7),"x","")</f>
        <v/>
      </c>
      <c r="V981" s="52" t="str">
        <f>IF(AND(B981&gt;='IN-NX'!$P$3,B981&lt;='IN-NX'!$Q$3,'IN-NX'!$D$7=D981,OR(LEFT(L981,2)="15",AND(LEFT(M981,2)&lt;&gt;"15",LEFT(M981,2)&lt;&gt;"33"))),"x","")</f>
        <v/>
      </c>
      <c r="W981" s="52" t="str">
        <f>IF(AND(OR(LEFT(TH!L981,2)="15",LEFT(TH!M981,2)="15"),'152-CT'!$J$8=TH!F981),"x","")</f>
        <v/>
      </c>
      <c r="X981" s="52" t="str">
        <f>IF(AND(OR(LEFT(TH!L981,2)="15",LEFT(TH!M981,2)="15"),TK!$E$7=TH!F981),"x","")</f>
        <v/>
      </c>
      <c r="Y981" s="52" t="str">
        <f>IF(AND(B981&lt;=NKC!$N$8,B981&gt;=NKC!$M$8),"x","")</f>
        <v/>
      </c>
      <c r="Z981" s="769"/>
      <c r="AA981" s="587" t="str">
        <f>IF(VLOOKUP(H981,DS_131,1,0)&lt;&gt;"","","x")</f>
        <v/>
      </c>
    </row>
    <row r="982" spans="1:28" ht="15.75" customHeight="1">
      <c r="A982" s="201" t="str">
        <f>IF(B982&lt;&gt;"",IF(AND(B982&gt;=_TM1,B982&lt;=_TM2,OR(TH!L982="1111",TH!M982="1111")),TH!D982,""),"")</f>
        <v/>
      </c>
      <c r="B982" s="36">
        <f t="shared" si="42"/>
        <v>12</v>
      </c>
      <c r="C982" s="188">
        <f t="shared" si="43"/>
        <v>41612</v>
      </c>
      <c r="D982" s="181" t="s">
        <v>1063</v>
      </c>
      <c r="E982" s="188">
        <v>41612</v>
      </c>
      <c r="F982" s="189" t="s">
        <v>805</v>
      </c>
      <c r="G982" s="189" t="s">
        <v>997</v>
      </c>
      <c r="H982" s="190" t="s">
        <v>710</v>
      </c>
      <c r="I982" s="249">
        <v>500</v>
      </c>
      <c r="J982" s="249">
        <v>10500</v>
      </c>
      <c r="K982" s="38">
        <f>ROUND(I982*J982,0)</f>
        <v>5250000</v>
      </c>
      <c r="L982" s="191" t="s">
        <v>262</v>
      </c>
      <c r="M982" s="191" t="s">
        <v>172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IF(OR(TH!L982=TH!$U$7,M982=TH!$U$7),"x","")</f>
        <v/>
      </c>
      <c r="V982" s="52" t="str">
        <f>IF(AND(B982&gt;='IN-NX'!$P$3,B982&lt;='IN-NX'!$Q$3,'IN-NX'!$D$7=D982,OR(LEFT(L982,2)="15",AND(LEFT(M982,2)&lt;&gt;"15",LEFT(M982,2)&lt;&gt;"33"))),"x","")</f>
        <v/>
      </c>
      <c r="W982" s="52" t="str">
        <f>IF(AND(OR(LEFT(TH!L982,2)="15",LEFT(TH!M982,2)="15"),'152-CT'!$J$8=TH!F982),"x","")</f>
        <v/>
      </c>
      <c r="X982" s="52" t="str">
        <f>IF(AND(OR(LEFT(TH!L982,2)="15",LEFT(TH!M982,2)="15"),TK!$E$7=TH!F982),"x","")</f>
        <v/>
      </c>
      <c r="Y982" s="52" t="str">
        <f>IF(AND(B982&lt;=NKC!$N$8,B982&gt;=NKC!$M$8),"x","")</f>
        <v/>
      </c>
      <c r="Z982" s="769"/>
      <c r="AA982" s="587"/>
    </row>
    <row r="983" spans="1:28" ht="15.75" customHeight="1">
      <c r="A983" s="201" t="str">
        <f>IF(B983&lt;&gt;"",IF(AND(B983&gt;=_TM1,B983&lt;=_TM2,OR(TH!L983="1111",TH!M983="1111")),TH!D983,""),"")</f>
        <v/>
      </c>
      <c r="B983" s="36">
        <f t="shared" si="42"/>
        <v>12</v>
      </c>
      <c r="C983" s="188">
        <f t="shared" si="43"/>
        <v>41612</v>
      </c>
      <c r="D983" s="181" t="s">
        <v>1063</v>
      </c>
      <c r="E983" s="188">
        <v>41612</v>
      </c>
      <c r="F983" s="189" t="s">
        <v>805</v>
      </c>
      <c r="G983" s="189" t="s">
        <v>997</v>
      </c>
      <c r="H983" s="190" t="s">
        <v>710</v>
      </c>
      <c r="I983" s="249">
        <v>500</v>
      </c>
      <c r="J983" s="249">
        <v>10500</v>
      </c>
      <c r="K983" s="38">
        <f>ROUND(I983*J983,0)</f>
        <v>5250000</v>
      </c>
      <c r="L983" s="191" t="s">
        <v>262</v>
      </c>
      <c r="M983" s="191" t="s">
        <v>172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IF(OR(TH!L983=TH!$U$7,M983=TH!$U$7),"x","")</f>
        <v/>
      </c>
      <c r="V983" s="52" t="str">
        <f>IF(AND(B983&gt;='IN-NX'!$P$3,B983&lt;='IN-NX'!$Q$3,'IN-NX'!$D$7=D983,OR(LEFT(L983,2)="15",AND(LEFT(M983,2)&lt;&gt;"15",LEFT(M983,2)&lt;&gt;"33"))),"x","")</f>
        <v/>
      </c>
      <c r="W983" s="52" t="str">
        <f>IF(AND(OR(LEFT(TH!L983,2)="15",LEFT(TH!M983,2)="15"),'152-CT'!$J$8=TH!F983),"x","")</f>
        <v/>
      </c>
      <c r="X983" s="52" t="str">
        <f>IF(AND(OR(LEFT(TH!L983,2)="15",LEFT(TH!M983,2)="15"),TK!$E$7=TH!F983),"x","")</f>
        <v/>
      </c>
      <c r="Y983" s="52" t="str">
        <f>IF(AND(B983&lt;=NKC!$N$8,B983&gt;=NKC!$M$8),"x","")</f>
        <v/>
      </c>
      <c r="Z983" s="769"/>
      <c r="AA983" s="587"/>
    </row>
    <row r="984" spans="1:28" ht="15.75" customHeight="1">
      <c r="A984" s="201" t="str">
        <f>IF(B984&lt;&gt;"",IF(AND(B984&gt;=_TM1,B984&lt;=_TM2,OR(TH!L984="1111",TH!M984="1111")),TH!D984,""),"")</f>
        <v/>
      </c>
      <c r="B984" s="36">
        <f t="shared" si="42"/>
        <v>12</v>
      </c>
      <c r="C984" s="188">
        <f t="shared" si="43"/>
        <v>41612</v>
      </c>
      <c r="D984" s="181" t="s">
        <v>1063</v>
      </c>
      <c r="E984" s="188">
        <v>41612</v>
      </c>
      <c r="F984" s="189" t="s">
        <v>693</v>
      </c>
      <c r="G984" s="189" t="s">
        <v>997</v>
      </c>
      <c r="H984" s="7" t="s">
        <v>710</v>
      </c>
      <c r="I984" s="250"/>
      <c r="J984" s="250"/>
      <c r="K984" s="38">
        <v>1050000</v>
      </c>
      <c r="L984" s="191" t="s">
        <v>262</v>
      </c>
      <c r="M984" s="191" t="s">
        <v>425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IF(OR(TH!L984=TH!$U$7,M984=TH!$U$7),"x","")</f>
        <v/>
      </c>
      <c r="V984" s="52" t="str">
        <f>IF(AND(B984&gt;='IN-NX'!$P$3,B984&lt;='IN-NX'!$Q$3,'IN-NX'!$D$7=D984,OR(LEFT(L984,2)="15",AND(LEFT(M984,2)&lt;&gt;"15",LEFT(M984,2)&lt;&gt;"33"))),"x","")</f>
        <v/>
      </c>
      <c r="W984" s="52" t="str">
        <f>IF(AND(OR(LEFT(TH!L984,2)="15",LEFT(TH!M984,2)="15"),'152-CT'!$J$8=TH!F984),"x","")</f>
        <v/>
      </c>
      <c r="X984" s="52" t="str">
        <f>IF(AND(OR(LEFT(TH!L984,2)="15",LEFT(TH!M984,2)="15"),TK!$E$7=TH!F984),"x","")</f>
        <v/>
      </c>
      <c r="Y984" s="52" t="str">
        <f>IF(AND(B984&lt;=NKC!$N$8,B984&gt;=NKC!$M$8),"x","")</f>
        <v/>
      </c>
      <c r="Z984" s="769"/>
      <c r="AA984" s="587" t="str">
        <f>IF(VLOOKUP(H984,DS_131,1,0)&lt;&gt;"","","x")</f>
        <v/>
      </c>
    </row>
    <row r="985" spans="1:28" ht="15.75" customHeight="1">
      <c r="A985" s="201" t="str">
        <f>IF(B985&lt;&gt;"",IF(AND(B985&gt;=_TM1,B985&lt;=_TM2,OR(TH!L985="1111",TH!M985="1111")),TH!D985,""),"")</f>
        <v/>
      </c>
      <c r="B985" s="36">
        <f t="shared" si="42"/>
        <v>12</v>
      </c>
      <c r="C985" s="181">
        <f t="shared" si="43"/>
        <v>41613</v>
      </c>
      <c r="D985" s="181" t="s">
        <v>335</v>
      </c>
      <c r="E985" s="188">
        <v>41613</v>
      </c>
      <c r="F985" s="186" t="s">
        <v>337</v>
      </c>
      <c r="G985" s="597" t="s">
        <v>332</v>
      </c>
      <c r="H985" s="7" t="s">
        <v>511</v>
      </c>
      <c r="I985" s="250"/>
      <c r="J985" s="251"/>
      <c r="K985" s="38">
        <v>6157635</v>
      </c>
      <c r="L985" s="596" t="s">
        <v>24</v>
      </c>
      <c r="M985" s="596" t="s">
        <v>262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>x</v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IF(OR(TH!L985=TH!$U$7,M985=TH!$U$7),"x","")</f>
        <v/>
      </c>
      <c r="V985" s="52" t="str">
        <f>IF(AND(B985&gt;='IN-NX'!$P$3,B985&lt;='IN-NX'!$Q$3,'IN-NX'!$D$7=D985,OR(LEFT(L985,2)="15",AND(LEFT(M985,2)&lt;&gt;"15",LEFT(M985,2)&lt;&gt;"33"))),"x","")</f>
        <v/>
      </c>
      <c r="W985" s="52" t="str">
        <f>IF(AND(OR(LEFT(TH!L985,2)="15",LEFT(TH!M985,2)="15"),'152-CT'!$J$8=TH!F985),"x","")</f>
        <v/>
      </c>
      <c r="X985" s="52" t="str">
        <f>IF(AND(OR(LEFT(TH!L985,2)="15",LEFT(TH!M985,2)="15"),TK!$E$7=TH!F985),"x","")</f>
        <v/>
      </c>
      <c r="Y985" s="52" t="str">
        <f>IF(AND(B985&lt;=NKC!$N$8,B985&gt;=NKC!$M$8),"x","")</f>
        <v/>
      </c>
      <c r="Z985" s="208"/>
      <c r="AA985" s="587"/>
      <c r="AB985" s="587"/>
    </row>
    <row r="986" spans="1:28" ht="15.75" customHeight="1">
      <c r="A986" s="201" t="str">
        <f>IF(B986&lt;&gt;"",IF(AND(B986&gt;=_TM1,B986&lt;=_TM2,OR(TH!L986="1111",TH!M986="1111")),TH!D986,""),"")</f>
        <v/>
      </c>
      <c r="B986" s="36">
        <f t="shared" si="42"/>
        <v>12</v>
      </c>
      <c r="C986" s="181">
        <f t="shared" si="43"/>
        <v>41613</v>
      </c>
      <c r="D986" s="181" t="s">
        <v>335</v>
      </c>
      <c r="E986" s="188">
        <v>41613</v>
      </c>
      <c r="F986" s="186" t="s">
        <v>337</v>
      </c>
      <c r="G986" s="597" t="s">
        <v>332</v>
      </c>
      <c r="H986" s="7" t="s">
        <v>427</v>
      </c>
      <c r="I986" s="250"/>
      <c r="J986" s="251"/>
      <c r="K986" s="38">
        <v>21014400</v>
      </c>
      <c r="L986" s="596" t="s">
        <v>24</v>
      </c>
      <c r="M986" s="596" t="s">
        <v>262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IF(OR(TH!L986=TH!$U$7,M986=TH!$U$7),"x","")</f>
        <v/>
      </c>
      <c r="V986" s="52" t="str">
        <f>IF(AND(B986&gt;='IN-NX'!$P$3,B986&lt;='IN-NX'!$Q$3,'IN-NX'!$D$7=D986,OR(LEFT(L986,2)="15",AND(LEFT(M986,2)&lt;&gt;"15",LEFT(M986,2)&lt;&gt;"33"))),"x","")</f>
        <v/>
      </c>
      <c r="W986" s="52" t="str">
        <f>IF(AND(OR(LEFT(TH!L986,2)="15",LEFT(TH!M986,2)="15"),'152-CT'!$J$8=TH!F986),"x","")</f>
        <v/>
      </c>
      <c r="X986" s="52" t="str">
        <f>IF(AND(OR(LEFT(TH!L986,2)="15",LEFT(TH!M986,2)="15"),TK!$E$7=TH!F986),"x","")</f>
        <v/>
      </c>
      <c r="Y986" s="52" t="str">
        <f>IF(AND(B986&lt;=NKC!$N$8,B986&gt;=NKC!$M$8),"x","")</f>
        <v/>
      </c>
      <c r="Z986" s="587"/>
      <c r="AA986" s="587"/>
      <c r="AB986" s="587"/>
    </row>
    <row r="987" spans="1:28" ht="15.75" customHeight="1">
      <c r="A987" s="201" t="str">
        <f>IF(B987&lt;&gt;"",IF(AND(B987&gt;=_TM1,B987&lt;=_TM2,OR(TH!L987="1111",TH!M987="1111")),TH!D987,""),"")</f>
        <v/>
      </c>
      <c r="B987" s="36">
        <f t="shared" si="42"/>
        <v>12</v>
      </c>
      <c r="C987" s="181">
        <f t="shared" si="43"/>
        <v>41613</v>
      </c>
      <c r="D987" s="181" t="s">
        <v>401</v>
      </c>
      <c r="E987" s="188">
        <v>41613</v>
      </c>
      <c r="F987" s="186" t="s">
        <v>342</v>
      </c>
      <c r="G987" s="657" t="s">
        <v>540</v>
      </c>
      <c r="H987" s="7" t="s">
        <v>371</v>
      </c>
      <c r="I987" s="249">
        <v>48</v>
      </c>
      <c r="J987" s="251">
        <v>44000</v>
      </c>
      <c r="K987" s="38">
        <f>ROUND(I987*J987,0)</f>
        <v>2112000</v>
      </c>
      <c r="L987" s="596" t="s">
        <v>158</v>
      </c>
      <c r="M987" s="596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IF(OR(TH!L987=TH!$U$7,M987=TH!$U$7),"x","")</f>
        <v/>
      </c>
      <c r="V987" s="52" t="str">
        <f>IF(AND(B987&gt;='IN-NX'!$P$3,B987&lt;='IN-NX'!$Q$3,'IN-NX'!$D$7=D987,OR(LEFT(L987,2)="15",AND(LEFT(M987,2)&lt;&gt;"15",LEFT(M987,2)&lt;&gt;"33"))),"x","")</f>
        <v/>
      </c>
      <c r="W987" s="52" t="str">
        <f>IF(AND(OR(LEFT(TH!L987,2)="15",LEFT(TH!M987,2)="15"),'152-CT'!$J$8=TH!F987),"x","")</f>
        <v/>
      </c>
      <c r="X987" s="52" t="str">
        <f>IF(AND(OR(LEFT(TH!L987,2)="15",LEFT(TH!M987,2)="15"),TK!$E$7=TH!F987),"x","")</f>
        <v/>
      </c>
      <c r="Y987" s="52" t="str">
        <f>IF(AND(B987&lt;=NKC!$N$8,B987&gt;=NKC!$M$8),"x","")</f>
        <v/>
      </c>
      <c r="Z987" s="587" t="s">
        <v>1336</v>
      </c>
      <c r="AA987" s="587"/>
      <c r="AB987" s="587"/>
    </row>
    <row r="988" spans="1:28" ht="15.75" customHeight="1">
      <c r="A988" s="201" t="str">
        <f>IF(B988&lt;&gt;"",IF(AND(B988&gt;=_TM1,B988&lt;=_TM2,OR(TH!L988="1111",TH!M988="1111")),TH!D988,""),"")</f>
        <v/>
      </c>
      <c r="B988" s="36">
        <f t="shared" si="42"/>
        <v>12</v>
      </c>
      <c r="C988" s="181">
        <f t="shared" si="43"/>
        <v>41613</v>
      </c>
      <c r="D988" s="181" t="s">
        <v>401</v>
      </c>
      <c r="E988" s="188">
        <v>41613</v>
      </c>
      <c r="F988" s="186" t="s">
        <v>343</v>
      </c>
      <c r="G988" s="657" t="s">
        <v>540</v>
      </c>
      <c r="H988" s="7" t="s">
        <v>371</v>
      </c>
      <c r="I988" s="250"/>
      <c r="J988" s="251"/>
      <c r="K988" s="595">
        <v>211200</v>
      </c>
      <c r="L988" s="596" t="s">
        <v>9</v>
      </c>
      <c r="M988" s="596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IF(OR(TH!L988=TH!$U$7,M988=TH!$U$7),"x","")</f>
        <v/>
      </c>
      <c r="V988" s="52" t="str">
        <f>IF(AND(B988&gt;='IN-NX'!$P$3,B988&lt;='IN-NX'!$Q$3,'IN-NX'!$D$7=D988,OR(LEFT(L988,2)="15",AND(LEFT(M988,2)&lt;&gt;"15",LEFT(M988,2)&lt;&gt;"33"))),"x","")</f>
        <v/>
      </c>
      <c r="W988" s="52" t="str">
        <f>IF(AND(OR(LEFT(TH!L988,2)="15",LEFT(TH!M988,2)="15"),'152-CT'!$J$8=TH!F988),"x","")</f>
        <v/>
      </c>
      <c r="X988" s="52" t="str">
        <f>IF(AND(OR(LEFT(TH!L988,2)="15",LEFT(TH!M988,2)="15"),TK!$E$7=TH!F988),"x","")</f>
        <v/>
      </c>
      <c r="Y988" s="52" t="str">
        <f>IF(AND(B988&lt;=NKC!$N$8,B988&gt;=NKC!$M$8),"x","")</f>
        <v/>
      </c>
      <c r="Z988" s="587" t="s">
        <v>1336</v>
      </c>
      <c r="AA988" s="587"/>
      <c r="AB988" s="587"/>
    </row>
    <row r="989" spans="1:28" ht="15.75" customHeight="1">
      <c r="A989" s="201" t="str">
        <f>IF(B989&lt;&gt;"",IF(AND(B989&gt;=_TM1,B989&lt;=_TM2,OR(TH!L989="1111",TH!M989="1111")),TH!D989,""),"")</f>
        <v>C25</v>
      </c>
      <c r="B989" s="36">
        <f t="shared" si="42"/>
        <v>12</v>
      </c>
      <c r="C989" s="181">
        <f t="shared" si="43"/>
        <v>41613</v>
      </c>
      <c r="D989" s="181" t="s">
        <v>1268</v>
      </c>
      <c r="E989" s="188">
        <v>41613</v>
      </c>
      <c r="F989" s="186" t="s">
        <v>367</v>
      </c>
      <c r="G989" s="657" t="s">
        <v>540</v>
      </c>
      <c r="H989" s="7" t="s">
        <v>371</v>
      </c>
      <c r="I989" s="250"/>
      <c r="J989" s="251"/>
      <c r="K989" s="595">
        <v>2323200</v>
      </c>
      <c r="L989" s="596" t="s">
        <v>8</v>
      </c>
      <c r="M989" s="596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IF(OR(TH!L989=TH!$U$7,M989=TH!$U$7),"x","")</f>
        <v/>
      </c>
      <c r="V989" s="52" t="str">
        <f>IF(AND(B989&gt;='IN-NX'!$P$3,B989&lt;='IN-NX'!$Q$3,'IN-NX'!$D$7=D989,OR(LEFT(L989,2)="15",AND(LEFT(M989,2)&lt;&gt;"15",LEFT(M989,2)&lt;&gt;"33"))),"x","")</f>
        <v/>
      </c>
      <c r="W989" s="52" t="str">
        <f>IF(AND(OR(LEFT(TH!L989,2)="15",LEFT(TH!M989,2)="15"),'152-CT'!$J$8=TH!F989),"x","")</f>
        <v/>
      </c>
      <c r="X989" s="52" t="str">
        <f>IF(AND(OR(LEFT(TH!L989,2)="15",LEFT(TH!M989,2)="15"),TK!$E$7=TH!F989),"x","")</f>
        <v/>
      </c>
      <c r="Y989" s="52" t="str">
        <f>IF(AND(B989&lt;=NKC!$N$8,B989&gt;=NKC!$M$8),"x","")</f>
        <v/>
      </c>
      <c r="Z989" s="587"/>
      <c r="AA989" s="208"/>
      <c r="AB989" s="587"/>
    </row>
    <row r="990" spans="1:28" ht="15.75" customHeight="1">
      <c r="A990" s="201" t="str">
        <f>IF(B990&lt;&gt;"",IF(AND(B990&gt;=_TM1,B990&lt;=_TM2,OR(TH!L990="1111",TH!M990="1111")),TH!D990,""),"")</f>
        <v/>
      </c>
      <c r="B990" s="36">
        <f t="shared" si="42"/>
        <v>12</v>
      </c>
      <c r="C990" s="188">
        <f t="shared" si="43"/>
        <v>41613</v>
      </c>
      <c r="D990" s="181" t="s">
        <v>1064</v>
      </c>
      <c r="E990" s="188">
        <v>41613</v>
      </c>
      <c r="F990" s="189" t="s">
        <v>852</v>
      </c>
      <c r="G990" s="189" t="s">
        <v>998</v>
      </c>
      <c r="H990" s="7" t="s">
        <v>510</v>
      </c>
      <c r="I990" s="249">
        <v>202</v>
      </c>
      <c r="J990" s="249">
        <v>8600</v>
      </c>
      <c r="K990" s="38">
        <f>ROUND(I990*J990,0)</f>
        <v>1737200</v>
      </c>
      <c r="L990" s="191" t="s">
        <v>262</v>
      </c>
      <c r="M990" s="191" t="s">
        <v>172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IF(OR(TH!L990=TH!$U$7,M990=TH!$U$7),"x","")</f>
        <v/>
      </c>
      <c r="V990" s="52" t="str">
        <f>IF(AND(B990&gt;='IN-NX'!$P$3,B990&lt;='IN-NX'!$Q$3,'IN-NX'!$D$7=D990,OR(LEFT(L990,2)="15",AND(LEFT(M990,2)&lt;&gt;"15",LEFT(M990,2)&lt;&gt;"33"))),"x","")</f>
        <v/>
      </c>
      <c r="W990" s="52" t="str">
        <f>IF(AND(OR(LEFT(TH!L990,2)="15",LEFT(TH!M990,2)="15"),'152-CT'!$J$8=TH!F990),"x","")</f>
        <v/>
      </c>
      <c r="X990" s="52" t="str">
        <f>IF(AND(OR(LEFT(TH!L990,2)="15",LEFT(TH!M990,2)="15"),TK!$E$7=TH!F990),"x","")</f>
        <v/>
      </c>
      <c r="Y990" s="52" t="str">
        <f>IF(AND(B990&lt;=NKC!$N$8,B990&gt;=NKC!$M$8),"x","")</f>
        <v/>
      </c>
      <c r="Z990" s="769"/>
      <c r="AA990" s="587"/>
    </row>
    <row r="991" spans="1:28" ht="15.75" customHeight="1">
      <c r="A991" s="201" t="str">
        <f>IF(B991&lt;&gt;"",IF(AND(B991&gt;=_TM1,B991&lt;=_TM2,OR(TH!L991="1111",TH!M991="1111")),TH!D991,""),"")</f>
        <v/>
      </c>
      <c r="B991" s="36">
        <f t="shared" si="42"/>
        <v>12</v>
      </c>
      <c r="C991" s="188">
        <f t="shared" si="43"/>
        <v>41613</v>
      </c>
      <c r="D991" s="181" t="s">
        <v>1064</v>
      </c>
      <c r="E991" s="188">
        <v>41613</v>
      </c>
      <c r="F991" s="189" t="s">
        <v>810</v>
      </c>
      <c r="G991" s="189" t="s">
        <v>998</v>
      </c>
      <c r="H991" s="7" t="s">
        <v>510</v>
      </c>
      <c r="I991" s="249">
        <v>85</v>
      </c>
      <c r="J991" s="249">
        <v>11000</v>
      </c>
      <c r="K991" s="38">
        <f>ROUND(I991*J991,0)</f>
        <v>935000</v>
      </c>
      <c r="L991" s="191" t="s">
        <v>262</v>
      </c>
      <c r="M991" s="191" t="s">
        <v>172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IF(OR(TH!L991=TH!$U$7,M991=TH!$U$7),"x","")</f>
        <v/>
      </c>
      <c r="V991" s="52" t="str">
        <f>IF(AND(B991&gt;='IN-NX'!$P$3,B991&lt;='IN-NX'!$Q$3,'IN-NX'!$D$7=D991,OR(LEFT(L991,2)="15",AND(LEFT(M991,2)&lt;&gt;"15",LEFT(M991,2)&lt;&gt;"33"))),"x","")</f>
        <v/>
      </c>
      <c r="W991" s="52" t="str">
        <f>IF(AND(OR(LEFT(TH!L991,2)="15",LEFT(TH!M991,2)="15"),'152-CT'!$J$8=TH!F991),"x","")</f>
        <v/>
      </c>
      <c r="X991" s="52" t="str">
        <f>IF(AND(OR(LEFT(TH!L991,2)="15",LEFT(TH!M991,2)="15"),TK!$E$7=TH!F991),"x","")</f>
        <v/>
      </c>
      <c r="Y991" s="52" t="str">
        <f>IF(AND(B991&lt;=NKC!$N$8,B991&gt;=NKC!$M$8),"x","")</f>
        <v/>
      </c>
      <c r="Z991" s="769"/>
      <c r="AA991" s="587"/>
    </row>
    <row r="992" spans="1:28" ht="15.75" customHeight="1">
      <c r="A992" s="201" t="str">
        <f>IF(B992&lt;&gt;"",IF(AND(B992&gt;=_TM1,B992&lt;=_TM2,OR(TH!L992="1111",TH!M992="1111")),TH!D992,""),"")</f>
        <v/>
      </c>
      <c r="B992" s="36">
        <f t="shared" si="42"/>
        <v>12</v>
      </c>
      <c r="C992" s="188">
        <f t="shared" si="43"/>
        <v>41613</v>
      </c>
      <c r="D992" s="181" t="s">
        <v>1064</v>
      </c>
      <c r="E992" s="188">
        <v>41613</v>
      </c>
      <c r="F992" s="189" t="s">
        <v>693</v>
      </c>
      <c r="G992" s="189" t="s">
        <v>998</v>
      </c>
      <c r="H992" s="7" t="s">
        <v>510</v>
      </c>
      <c r="I992" s="250"/>
      <c r="J992" s="250"/>
      <c r="K992" s="38">
        <v>267220</v>
      </c>
      <c r="L992" s="191" t="s">
        <v>262</v>
      </c>
      <c r="M992" s="191" t="s">
        <v>425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IF(OR(TH!L992=TH!$U$7,M992=TH!$U$7),"x","")</f>
        <v/>
      </c>
      <c r="V992" s="52" t="str">
        <f>IF(AND(B992&gt;='IN-NX'!$P$3,B992&lt;='IN-NX'!$Q$3,'IN-NX'!$D$7=D992,OR(LEFT(L992,2)="15",AND(LEFT(M992,2)&lt;&gt;"15",LEFT(M992,2)&lt;&gt;"33"))),"x","")</f>
        <v/>
      </c>
      <c r="W992" s="52" t="str">
        <f>IF(AND(OR(LEFT(TH!L992,2)="15",LEFT(TH!M992,2)="15"),'152-CT'!$J$8=TH!F992),"x","")</f>
        <v/>
      </c>
      <c r="X992" s="52" t="str">
        <f>IF(AND(OR(LEFT(TH!L992,2)="15",LEFT(TH!M992,2)="15"),TK!$E$7=TH!F992),"x","")</f>
        <v/>
      </c>
      <c r="Y992" s="52" t="str">
        <f>IF(AND(B992&lt;=NKC!$N$8,B992&gt;=NKC!$M$8),"x","")</f>
        <v/>
      </c>
      <c r="Z992" s="769"/>
      <c r="AA992" s="587" t="str">
        <f>IF(VLOOKUP(H992,DS_131,1,0)&lt;&gt;"","","x")</f>
        <v/>
      </c>
    </row>
    <row r="993" spans="1:28" ht="15.75" customHeight="1">
      <c r="A993" s="201" t="str">
        <f>IF(B993&lt;&gt;"",IF(AND(B993&gt;=_TM1,B993&lt;=_TM2,OR(TH!L993="1111",TH!M993="1111")),TH!D993,""),"")</f>
        <v/>
      </c>
      <c r="B993" s="36">
        <f t="shared" si="42"/>
        <v>12</v>
      </c>
      <c r="C993" s="181">
        <f t="shared" si="43"/>
        <v>41614</v>
      </c>
      <c r="D993" s="181" t="s">
        <v>335</v>
      </c>
      <c r="E993" s="188">
        <v>41614</v>
      </c>
      <c r="F993" s="186" t="s">
        <v>337</v>
      </c>
      <c r="G993" s="597" t="s">
        <v>332</v>
      </c>
      <c r="H993" s="7" t="s">
        <v>517</v>
      </c>
      <c r="I993" s="250"/>
      <c r="J993" s="251"/>
      <c r="K993" s="38">
        <v>23651870</v>
      </c>
      <c r="L993" s="596" t="s">
        <v>24</v>
      </c>
      <c r="M993" s="596" t="s">
        <v>262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>x</v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IF(OR(TH!L993=TH!$U$7,M993=TH!$U$7),"x","")</f>
        <v/>
      </c>
      <c r="V993" s="52" t="str">
        <f>IF(AND(B993&gt;='IN-NX'!$P$3,B993&lt;='IN-NX'!$Q$3,'IN-NX'!$D$7=D993,OR(LEFT(L993,2)="15",AND(LEFT(M993,2)&lt;&gt;"15",LEFT(M993,2)&lt;&gt;"33"))),"x","")</f>
        <v/>
      </c>
      <c r="W993" s="52" t="str">
        <f>IF(AND(OR(LEFT(TH!L993,2)="15",LEFT(TH!M993,2)="15"),'152-CT'!$J$8=TH!F993),"x","")</f>
        <v/>
      </c>
      <c r="X993" s="52" t="str">
        <f>IF(AND(OR(LEFT(TH!L993,2)="15",LEFT(TH!M993,2)="15"),TK!$E$7=TH!F993),"x","")</f>
        <v/>
      </c>
      <c r="Y993" s="52" t="str">
        <f>IF(AND(B993&lt;=NKC!$N$8,B993&gt;=NKC!$M$8),"x","")</f>
        <v/>
      </c>
      <c r="Z993" s="587"/>
      <c r="AA993" s="587"/>
      <c r="AB993" s="587"/>
    </row>
    <row r="994" spans="1:28" ht="15.75" customHeight="1">
      <c r="A994" s="201" t="str">
        <f>IF(B994&lt;&gt;"",IF(AND(B994&gt;=_TM1,B994&lt;=_TM2,OR(TH!L994="1111",TH!M994="1111")),TH!D994,""),"")</f>
        <v>C26</v>
      </c>
      <c r="B994" s="36">
        <f t="shared" si="42"/>
        <v>12</v>
      </c>
      <c r="C994" s="181">
        <f t="shared" si="43"/>
        <v>41615</v>
      </c>
      <c r="D994" s="181" t="s">
        <v>1276</v>
      </c>
      <c r="E994" s="188">
        <v>41615</v>
      </c>
      <c r="F994" s="186" t="s">
        <v>431</v>
      </c>
      <c r="G994" s="480" t="s">
        <v>443</v>
      </c>
      <c r="H994" s="7" t="s">
        <v>534</v>
      </c>
      <c r="I994" s="249"/>
      <c r="J994" s="249"/>
      <c r="K994" s="595">
        <v>2120000</v>
      </c>
      <c r="L994" s="596" t="s">
        <v>162</v>
      </c>
      <c r="M994" s="596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IF(OR(TH!L994=TH!$U$7,M994=TH!$U$7),"x","")</f>
        <v/>
      </c>
      <c r="V994" s="52" t="str">
        <f>IF(AND(B994&gt;='IN-NX'!$P$3,B994&lt;='IN-NX'!$Q$3,'IN-NX'!$D$7=D994,OR(LEFT(L994,2)="15",AND(LEFT(M994,2)&lt;&gt;"15",LEFT(M994,2)&lt;&gt;"33"))),"x","")</f>
        <v/>
      </c>
      <c r="W994" s="52" t="str">
        <f>IF(AND(OR(LEFT(TH!L994,2)="15",LEFT(TH!M994,2)="15"),'152-CT'!$J$8=TH!F994),"x","")</f>
        <v/>
      </c>
      <c r="X994" s="52" t="str">
        <f>IF(AND(OR(LEFT(TH!L994,2)="15",LEFT(TH!M994,2)="15"),TK!$E$7=TH!F994),"x","")</f>
        <v/>
      </c>
      <c r="Y994" s="52" t="str">
        <f>IF(AND(B994&lt;=NKC!$N$8,B994&gt;=NKC!$M$8),"x","")</f>
        <v/>
      </c>
      <c r="Z994" s="587" t="s">
        <v>1336</v>
      </c>
      <c r="AA994" s="587"/>
      <c r="AB994" s="587"/>
    </row>
    <row r="995" spans="1:28" ht="15.75" customHeight="1">
      <c r="A995" s="201" t="str">
        <f>IF(B995&lt;&gt;"",IF(AND(B995&gt;=_TM1,B995&lt;=_TM2,OR(TH!L995="1111",TH!M995="1111")),TH!D995,""),"")</f>
        <v>C26</v>
      </c>
      <c r="B995" s="36">
        <f t="shared" si="42"/>
        <v>12</v>
      </c>
      <c r="C995" s="181">
        <f t="shared" si="43"/>
        <v>41615</v>
      </c>
      <c r="D995" s="181" t="s">
        <v>1276</v>
      </c>
      <c r="E995" s="188">
        <v>41615</v>
      </c>
      <c r="F995" s="186" t="s">
        <v>344</v>
      </c>
      <c r="G995" s="480" t="s">
        <v>443</v>
      </c>
      <c r="H995" s="7" t="s">
        <v>534</v>
      </c>
      <c r="I995" s="249"/>
      <c r="J995" s="249"/>
      <c r="K995" s="595">
        <v>212000</v>
      </c>
      <c r="L995" s="596" t="s">
        <v>9</v>
      </c>
      <c r="M995" s="596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IF(OR(TH!L995=TH!$U$7,M995=TH!$U$7),"x","")</f>
        <v/>
      </c>
      <c r="V995" s="52" t="str">
        <f>IF(AND(B995&gt;='IN-NX'!$P$3,B995&lt;='IN-NX'!$Q$3,'IN-NX'!$D$7=D995,OR(LEFT(L995,2)="15",AND(LEFT(M995,2)&lt;&gt;"15",LEFT(M995,2)&lt;&gt;"33"))),"x","")</f>
        <v/>
      </c>
      <c r="W995" s="52" t="str">
        <f>IF(AND(OR(LEFT(TH!L995,2)="15",LEFT(TH!M995,2)="15"),'152-CT'!$J$8=TH!F995),"x","")</f>
        <v/>
      </c>
      <c r="X995" s="52" t="str">
        <f>IF(AND(OR(LEFT(TH!L995,2)="15",LEFT(TH!M995,2)="15"),TK!$E$7=TH!F995),"x","")</f>
        <v/>
      </c>
      <c r="Y995" s="52" t="str">
        <f>IF(AND(B995&lt;=NKC!$N$8,B995&gt;=NKC!$M$8),"x","")</f>
        <v/>
      </c>
      <c r="Z995" s="587" t="s">
        <v>1336</v>
      </c>
      <c r="AA995" s="587"/>
      <c r="AB995" s="587"/>
    </row>
    <row r="996" spans="1:28" ht="15.75" customHeight="1">
      <c r="A996" s="201" t="str">
        <f>IF(B996&lt;&gt;"",IF(AND(B996&gt;=_TM1,B996&lt;=_TM2,OR(TH!L996="1111",TH!M996="1111")),TH!D996,""),"")</f>
        <v/>
      </c>
      <c r="B996" s="36">
        <f t="shared" si="42"/>
        <v>12</v>
      </c>
      <c r="C996" s="188">
        <f t="shared" si="43"/>
        <v>41615</v>
      </c>
      <c r="D996" s="181" t="s">
        <v>1065</v>
      </c>
      <c r="E996" s="188">
        <v>41615</v>
      </c>
      <c r="F996" s="189" t="s">
        <v>1116</v>
      </c>
      <c r="G996" s="189" t="s">
        <v>629</v>
      </c>
      <c r="H996" s="190" t="s">
        <v>863</v>
      </c>
      <c r="I996" s="249">
        <v>2700</v>
      </c>
      <c r="J996" s="249">
        <v>4700</v>
      </c>
      <c r="K996" s="38">
        <f>ROUND(I996*J996,0)</f>
        <v>12690000</v>
      </c>
      <c r="L996" s="191" t="s">
        <v>262</v>
      </c>
      <c r="M996" s="191" t="s">
        <v>172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IF(OR(TH!L996=TH!$U$7,M996=TH!$U$7),"x","")</f>
        <v/>
      </c>
      <c r="V996" s="52" t="str">
        <f>IF(AND(B996&gt;='IN-NX'!$P$3,B996&lt;='IN-NX'!$Q$3,'IN-NX'!$D$7=D996,OR(LEFT(L996,2)="15",AND(LEFT(M996,2)&lt;&gt;"15",LEFT(M996,2)&lt;&gt;"33"))),"x","")</f>
        <v/>
      </c>
      <c r="W996" s="52" t="str">
        <f>IF(AND(OR(LEFT(TH!L996,2)="15",LEFT(TH!M996,2)="15"),'152-CT'!$J$8=TH!F996),"x","")</f>
        <v/>
      </c>
      <c r="X996" s="52" t="str">
        <f>IF(AND(OR(LEFT(TH!L996,2)="15",LEFT(TH!M996,2)="15"),TK!$E$7=TH!F996),"x","")</f>
        <v/>
      </c>
      <c r="Y996" s="52" t="str">
        <f>IF(AND(B996&lt;=NKC!$N$8,B996&gt;=NKC!$M$8),"x","")</f>
        <v/>
      </c>
      <c r="Z996" s="769"/>
      <c r="AA996" s="587"/>
    </row>
    <row r="997" spans="1:28" ht="15.75" customHeight="1">
      <c r="A997" s="201" t="str">
        <f>IF(B997&lt;&gt;"",IF(AND(B997&gt;=_TM1,B997&lt;=_TM2,OR(TH!L997="1111",TH!M997="1111")),TH!D997,""),"")</f>
        <v/>
      </c>
      <c r="B997" s="36">
        <f t="shared" si="42"/>
        <v>12</v>
      </c>
      <c r="C997" s="188">
        <f t="shared" si="43"/>
        <v>41615</v>
      </c>
      <c r="D997" s="181" t="s">
        <v>1065</v>
      </c>
      <c r="E997" s="188">
        <v>41615</v>
      </c>
      <c r="F997" s="189" t="s">
        <v>693</v>
      </c>
      <c r="G997" s="189" t="s">
        <v>629</v>
      </c>
      <c r="H997" s="7" t="s">
        <v>863</v>
      </c>
      <c r="I997" s="249"/>
      <c r="J997" s="249"/>
      <c r="K997" s="38">
        <v>1269000</v>
      </c>
      <c r="L997" s="191" t="s">
        <v>262</v>
      </c>
      <c r="M997" s="191" t="s">
        <v>425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IF(OR(TH!L997=TH!$U$7,M997=TH!$U$7),"x","")</f>
        <v/>
      </c>
      <c r="V997" s="52" t="str">
        <f>IF(AND(B997&gt;='IN-NX'!$P$3,B997&lt;='IN-NX'!$Q$3,'IN-NX'!$D$7=D997,OR(LEFT(L997,2)="15",AND(LEFT(M997,2)&lt;&gt;"15",LEFT(M997,2)&lt;&gt;"33"))),"x","")</f>
        <v/>
      </c>
      <c r="W997" s="52" t="str">
        <f>IF(AND(OR(LEFT(TH!L997,2)="15",LEFT(TH!M997,2)="15"),'152-CT'!$J$8=TH!F997),"x","")</f>
        <v/>
      </c>
      <c r="X997" s="52" t="str">
        <f>IF(AND(OR(LEFT(TH!L997,2)="15",LEFT(TH!M997,2)="15"),TK!$E$7=TH!F997),"x","")</f>
        <v/>
      </c>
      <c r="Y997" s="52" t="str">
        <f>IF(AND(B997&lt;=NKC!$N$8,B997&gt;=NKC!$M$8),"x","")</f>
        <v/>
      </c>
      <c r="Z997" s="769"/>
      <c r="AA997" s="587" t="str">
        <f>IF(VLOOKUP(H997,DS_131,1,0)&lt;&gt;"","","x")</f>
        <v/>
      </c>
    </row>
    <row r="998" spans="1:28" ht="15.75" customHeight="1">
      <c r="A998" s="201" t="str">
        <f>IF(B998&lt;&gt;"",IF(AND(B998&gt;=_TM1,B998&lt;=_TM2,OR(TH!L998="1111",TH!M998="1111")),TH!D998,""),"")</f>
        <v>C27</v>
      </c>
      <c r="B998" s="36">
        <f t="shared" si="42"/>
        <v>12</v>
      </c>
      <c r="C998" s="181">
        <f t="shared" si="43"/>
        <v>41616</v>
      </c>
      <c r="D998" s="181" t="s">
        <v>1279</v>
      </c>
      <c r="E998" s="833">
        <v>41616</v>
      </c>
      <c r="F998" s="186" t="s">
        <v>529</v>
      </c>
      <c r="G998" s="657" t="s">
        <v>541</v>
      </c>
      <c r="H998" s="7" t="s">
        <v>542</v>
      </c>
      <c r="I998" s="249"/>
      <c r="J998" s="251"/>
      <c r="K998" s="38">
        <v>1413637</v>
      </c>
      <c r="L998" s="596" t="s">
        <v>83</v>
      </c>
      <c r="M998" s="596" t="s">
        <v>47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>x</v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IF(OR(TH!L998=TH!$U$7,M998=TH!$U$7),"x","")</f>
        <v>x</v>
      </c>
      <c r="V998" s="52" t="str">
        <f>IF(AND(B998&gt;='IN-NX'!$P$3,B998&lt;='IN-NX'!$Q$3,'IN-NX'!$D$7=D998,OR(LEFT(L998,2)="15",AND(LEFT(M998,2)&lt;&gt;"15",LEFT(M998,2)&lt;&gt;"33"))),"x","")</f>
        <v/>
      </c>
      <c r="W998" s="52" t="str">
        <f>IF(AND(OR(LEFT(TH!L998,2)="15",LEFT(TH!M998,2)="15"),'152-CT'!$J$8=TH!F998),"x","")</f>
        <v/>
      </c>
      <c r="X998" s="52" t="str">
        <f>IF(AND(OR(LEFT(TH!L998,2)="15",LEFT(TH!M998,2)="15"),TK!$E$7=TH!F998),"x","")</f>
        <v/>
      </c>
      <c r="Y998" s="52" t="str">
        <f>IF(AND(B998&lt;=NKC!$N$8,B998&gt;=NKC!$M$8),"x","")</f>
        <v/>
      </c>
      <c r="Z998" s="587" t="s">
        <v>1336</v>
      </c>
      <c r="AA998" s="587"/>
      <c r="AB998" s="587"/>
    </row>
    <row r="999" spans="1:28" ht="15.75" customHeight="1">
      <c r="A999" s="201" t="str">
        <f>IF(B999&lt;&gt;"",IF(AND(B999&gt;=_TM1,B999&lt;=_TM2,OR(TH!L999="1111",TH!M999="1111")),TH!D999,""),"")</f>
        <v>C27</v>
      </c>
      <c r="B999" s="36">
        <f t="shared" si="42"/>
        <v>12</v>
      </c>
      <c r="C999" s="181">
        <f t="shared" si="43"/>
        <v>41616</v>
      </c>
      <c r="D999" s="181" t="s">
        <v>1279</v>
      </c>
      <c r="E999" s="833">
        <v>41616</v>
      </c>
      <c r="F999" s="186" t="s">
        <v>532</v>
      </c>
      <c r="G999" s="657" t="s">
        <v>541</v>
      </c>
      <c r="H999" s="7" t="s">
        <v>542</v>
      </c>
      <c r="I999" s="250"/>
      <c r="J999" s="251"/>
      <c r="K999" s="38">
        <v>141363</v>
      </c>
      <c r="L999" s="596" t="s">
        <v>9</v>
      </c>
      <c r="M999" s="596" t="s">
        <v>47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>x</v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IF(OR(TH!L999=TH!$U$7,M999=TH!$U$7),"x","")</f>
        <v/>
      </c>
      <c r="V999" s="52" t="str">
        <f>IF(AND(B999&gt;='IN-NX'!$P$3,B999&lt;='IN-NX'!$Q$3,'IN-NX'!$D$7=D999,OR(LEFT(L999,2)="15",AND(LEFT(M999,2)&lt;&gt;"15",LEFT(M999,2)&lt;&gt;"33"))),"x","")</f>
        <v/>
      </c>
      <c r="W999" s="52" t="str">
        <f>IF(AND(OR(LEFT(TH!L999,2)="15",LEFT(TH!M999,2)="15"),'152-CT'!$J$8=TH!F999),"x","")</f>
        <v/>
      </c>
      <c r="X999" s="52" t="str">
        <f>IF(AND(OR(LEFT(TH!L999,2)="15",LEFT(TH!M999,2)="15"),TK!$E$7=TH!F999),"x","")</f>
        <v/>
      </c>
      <c r="Y999" s="52" t="str">
        <f>IF(AND(B999&lt;=NKC!$N$8,B999&gt;=NKC!$M$8),"x","")</f>
        <v/>
      </c>
      <c r="Z999" s="587" t="s">
        <v>1336</v>
      </c>
    </row>
    <row r="1000" spans="1:28" ht="15.75" customHeight="1">
      <c r="A1000" s="201" t="str">
        <f>IF(B1000&lt;&gt;"",IF(AND(B1000&gt;=_TM1,B1000&lt;=_TM2,OR(TH!L1000="1111",TH!M1000="1111")),TH!D1000,""),"")</f>
        <v/>
      </c>
      <c r="B1000" s="36">
        <f t="shared" si="42"/>
        <v>12</v>
      </c>
      <c r="C1000" s="181">
        <f t="shared" si="43"/>
        <v>41617</v>
      </c>
      <c r="D1000" s="181" t="s">
        <v>335</v>
      </c>
      <c r="E1000" s="181">
        <v>41617</v>
      </c>
      <c r="F1000" s="186" t="s">
        <v>337</v>
      </c>
      <c r="G1000" s="597" t="s">
        <v>332</v>
      </c>
      <c r="H1000" s="7" t="s">
        <v>506</v>
      </c>
      <c r="I1000" s="249"/>
      <c r="J1000" s="249"/>
      <c r="K1000" s="595">
        <v>15030851</v>
      </c>
      <c r="L1000" s="596" t="s">
        <v>24</v>
      </c>
      <c r="M1000" s="596" t="s">
        <v>262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>x</v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IF(OR(TH!L1000=TH!$U$7,M1000=TH!$U$7),"x","")</f>
        <v/>
      </c>
      <c r="V1000" s="52" t="str">
        <f>IF(AND(B1000&gt;='IN-NX'!$P$3,B1000&lt;='IN-NX'!$Q$3,'IN-NX'!$D$7=D1000,OR(LEFT(L1000,2)="15",AND(LEFT(M1000,2)&lt;&gt;"15",LEFT(M1000,2)&lt;&gt;"33"))),"x","")</f>
        <v/>
      </c>
      <c r="W1000" s="52" t="str">
        <f>IF(AND(OR(LEFT(TH!L1000,2)="15",LEFT(TH!M1000,2)="15"),'152-CT'!$J$8=TH!F1000),"x","")</f>
        <v/>
      </c>
      <c r="X1000" s="52" t="str">
        <f>IF(AND(OR(LEFT(TH!L1000,2)="15",LEFT(TH!M1000,2)="15"),TK!$E$7=TH!F1000),"x","")</f>
        <v/>
      </c>
      <c r="Y1000" s="52" t="str">
        <f>IF(AND(B1000&lt;=NKC!$N$8,B1000&gt;=NKC!$M$8),"x","")</f>
        <v/>
      </c>
      <c r="Z1000" s="587"/>
    </row>
    <row r="1001" spans="1:28" ht="15.75" customHeight="1">
      <c r="A1001" s="201" t="str">
        <f>IF(B1001&lt;&gt;"",IF(AND(B1001&gt;=_TM1,B1001&lt;=_TM2,OR(TH!L1001="1111",TH!M1001="1111")),TH!D1001,""),"")</f>
        <v/>
      </c>
      <c r="B1001" s="36">
        <f t="shared" si="42"/>
        <v>12</v>
      </c>
      <c r="C1001" s="188">
        <f t="shared" si="43"/>
        <v>41617</v>
      </c>
      <c r="D1001" s="181" t="s">
        <v>414</v>
      </c>
      <c r="E1001" s="188">
        <v>41617</v>
      </c>
      <c r="F1001" s="189" t="s">
        <v>680</v>
      </c>
      <c r="G1001" s="480" t="s">
        <v>681</v>
      </c>
      <c r="H1001" s="190" t="s">
        <v>665</v>
      </c>
      <c r="I1001" s="249">
        <v>2650</v>
      </c>
      <c r="J1001" s="249">
        <v>6760</v>
      </c>
      <c r="K1001" s="38">
        <f>ROUND(I1001*J1001,0)</f>
        <v>17914000</v>
      </c>
      <c r="L1001" s="191" t="s">
        <v>156</v>
      </c>
      <c r="M1001" s="191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IF(OR(TH!L1001=TH!$U$7,M1001=TH!$U$7),"x","")</f>
        <v/>
      </c>
      <c r="V1001" s="52" t="str">
        <f>IF(AND(B1001&gt;='IN-NX'!$P$3,B1001&lt;='IN-NX'!$Q$3,'IN-NX'!$D$7=D1001,OR(LEFT(L1001,2)="15",AND(LEFT(M1001,2)&lt;&gt;"15",LEFT(M1001,2)&lt;&gt;"33"))),"x","")</f>
        <v/>
      </c>
      <c r="W1001" s="52" t="str">
        <f>IF(AND(OR(LEFT(TH!L1001,2)="15",LEFT(TH!M1001,2)="15"),'152-CT'!$J$8=TH!F1001),"x","")</f>
        <v/>
      </c>
      <c r="X1001" s="52" t="str">
        <f>IF(AND(OR(LEFT(TH!L1001,2)="15",LEFT(TH!M1001,2)="15"),TK!$E$7=TH!F1001),"x","")</f>
        <v/>
      </c>
      <c r="Y1001" s="52" t="str">
        <f>IF(AND(B1001&lt;=NKC!$N$8,B1001&gt;=NKC!$M$8),"x","")</f>
        <v/>
      </c>
      <c r="Z1001" s="587" t="s">
        <v>1336</v>
      </c>
    </row>
    <row r="1002" spans="1:28" ht="15.75" customHeight="1">
      <c r="A1002" s="201" t="str">
        <f>IF(B1002&lt;&gt;"",IF(AND(B1002&gt;=_TM1,B1002&lt;=_TM2,OR(TH!L1002="1111",TH!M1002="1111")),TH!D1002,""),"")</f>
        <v/>
      </c>
      <c r="B1002" s="36">
        <f t="shared" si="42"/>
        <v>12</v>
      </c>
      <c r="C1002" s="188">
        <f t="shared" si="43"/>
        <v>41617</v>
      </c>
      <c r="D1002" s="181" t="s">
        <v>414</v>
      </c>
      <c r="E1002" s="188">
        <v>41617</v>
      </c>
      <c r="F1002" s="189" t="s">
        <v>668</v>
      </c>
      <c r="G1002" s="480" t="s">
        <v>681</v>
      </c>
      <c r="H1002" s="190" t="s">
        <v>665</v>
      </c>
      <c r="I1002" s="249"/>
      <c r="J1002" s="249"/>
      <c r="K1002" s="38">
        <v>1791400</v>
      </c>
      <c r="L1002" s="191" t="s">
        <v>9</v>
      </c>
      <c r="M1002" s="191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IF(OR(TH!L1002=TH!$U$7,M1002=TH!$U$7),"x","")</f>
        <v/>
      </c>
      <c r="V1002" s="52" t="str">
        <f>IF(AND(B1002&gt;='IN-NX'!$P$3,B1002&lt;='IN-NX'!$Q$3,'IN-NX'!$D$7=D1002,OR(LEFT(L1002,2)="15",AND(LEFT(M1002,2)&lt;&gt;"15",LEFT(M1002,2)&lt;&gt;"33"))),"x","")</f>
        <v/>
      </c>
      <c r="W1002" s="52" t="str">
        <f>IF(AND(OR(LEFT(TH!L1002,2)="15",LEFT(TH!M1002,2)="15"),'152-CT'!$J$8=TH!F1002),"x","")</f>
        <v/>
      </c>
      <c r="X1002" s="52" t="str">
        <f>IF(AND(OR(LEFT(TH!L1002,2)="15",LEFT(TH!M1002,2)="15"),TK!$E$7=TH!F1002),"x","")</f>
        <v/>
      </c>
      <c r="Y1002" s="52" t="str">
        <f>IF(AND(B1002&lt;=NKC!$N$8,B1002&gt;=NKC!$M$8),"x","")</f>
        <v/>
      </c>
      <c r="Z1002" s="587" t="s">
        <v>1336</v>
      </c>
    </row>
    <row r="1003" spans="1:28" ht="15.75" customHeight="1">
      <c r="A1003" s="201" t="str">
        <f>IF(B1003&lt;&gt;"",IF(AND(B1003&gt;=_TM1,B1003&lt;=_TM2,OR(TH!L1003="1111",TH!M1003="1111")),TH!D1003,""),"")</f>
        <v>C28</v>
      </c>
      <c r="B1003" s="36">
        <f t="shared" si="42"/>
        <v>12</v>
      </c>
      <c r="C1003" s="188">
        <f t="shared" si="43"/>
        <v>41617</v>
      </c>
      <c r="D1003" s="181" t="s">
        <v>1280</v>
      </c>
      <c r="E1003" s="188">
        <v>41617</v>
      </c>
      <c r="F1003" s="189" t="s">
        <v>367</v>
      </c>
      <c r="G1003" s="480" t="s">
        <v>681</v>
      </c>
      <c r="H1003" s="190" t="s">
        <v>665</v>
      </c>
      <c r="I1003" s="249"/>
      <c r="J1003" s="249"/>
      <c r="K1003" s="38">
        <v>19705400</v>
      </c>
      <c r="L1003" s="191" t="s">
        <v>8</v>
      </c>
      <c r="M1003" s="191" t="s">
        <v>47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IF(OR(TH!L1003=TH!$U$7,M1003=TH!$U$7),"x","")</f>
        <v/>
      </c>
      <c r="V1003" s="52" t="str">
        <f>IF(AND(B1003&gt;='IN-NX'!$P$3,B1003&lt;='IN-NX'!$Q$3,'IN-NX'!$D$7=D1003,OR(LEFT(L1003,2)="15",AND(LEFT(M1003,2)&lt;&gt;"15",LEFT(M1003,2)&lt;&gt;"33"))),"x","")</f>
        <v/>
      </c>
      <c r="W1003" s="52" t="str">
        <f>IF(AND(OR(LEFT(TH!L1003,2)="15",LEFT(TH!M1003,2)="15"),'152-CT'!$J$8=TH!F1003),"x","")</f>
        <v/>
      </c>
      <c r="X1003" s="52" t="str">
        <f>IF(AND(OR(LEFT(TH!L1003,2)="15",LEFT(TH!M1003,2)="15"),TK!$E$7=TH!F1003),"x","")</f>
        <v/>
      </c>
      <c r="Y1003" s="52" t="str">
        <f>IF(AND(B1003&lt;=NKC!$N$8,B1003&gt;=NKC!$M$8),"x","")</f>
        <v/>
      </c>
      <c r="Z1003" s="208"/>
    </row>
    <row r="1004" spans="1:28" ht="15.75" customHeight="1">
      <c r="A1004" s="201" t="str">
        <f>IF(B1004&lt;&gt;"",IF(AND(B1004&gt;=_TM1,B1004&lt;=_TM2,OR(TH!L1004="1111",TH!M1004="1111")),TH!D1004,""),"")</f>
        <v/>
      </c>
      <c r="B1004" s="36">
        <f t="shared" si="42"/>
        <v>12</v>
      </c>
      <c r="C1004" s="181">
        <f t="shared" si="43"/>
        <v>41618</v>
      </c>
      <c r="D1004" s="181" t="s">
        <v>336</v>
      </c>
      <c r="E1004" s="188">
        <v>41618</v>
      </c>
      <c r="F1004" s="186" t="s">
        <v>482</v>
      </c>
      <c r="G1004" s="597" t="s">
        <v>332</v>
      </c>
      <c r="H1004" s="7" t="s">
        <v>364</v>
      </c>
      <c r="I1004" s="250"/>
      <c r="J1004" s="251"/>
      <c r="K1004" s="38">
        <v>45000</v>
      </c>
      <c r="L1004" s="596" t="s">
        <v>83</v>
      </c>
      <c r="M1004" s="596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>x</v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IF(OR(TH!L1004=TH!$U$7,M1004=TH!$U$7),"x","")</f>
        <v>x</v>
      </c>
      <c r="V1004" s="52" t="str">
        <f>IF(AND(B1004&gt;='IN-NX'!$P$3,B1004&lt;='IN-NX'!$Q$3,'IN-NX'!$D$7=D1004,OR(LEFT(L1004,2)="15",AND(LEFT(M1004,2)&lt;&gt;"15",LEFT(M1004,2)&lt;&gt;"33"))),"x","")</f>
        <v/>
      </c>
      <c r="W1004" s="52" t="str">
        <f>IF(AND(OR(LEFT(TH!L1004,2)="15",LEFT(TH!M1004,2)="15"),'152-CT'!$J$8=TH!F1004),"x","")</f>
        <v/>
      </c>
      <c r="X1004" s="52" t="str">
        <f>IF(AND(OR(LEFT(TH!L1004,2)="15",LEFT(TH!M1004,2)="15"),TK!$E$7=TH!F1004),"x","")</f>
        <v/>
      </c>
      <c r="Y1004" s="52" t="str">
        <f>IF(AND(B1004&lt;=NKC!$N$8,B1004&gt;=NKC!$M$8),"x","")</f>
        <v/>
      </c>
      <c r="Z1004" s="208"/>
    </row>
    <row r="1005" spans="1:28" ht="15.75" customHeight="1">
      <c r="A1005" s="201" t="str">
        <f>IF(B1005&lt;&gt;"",IF(AND(B1005&gt;=_TM1,B1005&lt;=_TM2,OR(TH!L1005="1111",TH!M1005="1111")),TH!D1005,""),"")</f>
        <v>T27</v>
      </c>
      <c r="B1005" s="36">
        <f t="shared" si="42"/>
        <v>12</v>
      </c>
      <c r="C1005" s="181">
        <f t="shared" si="43"/>
        <v>41618</v>
      </c>
      <c r="D1005" s="181" t="s">
        <v>1285</v>
      </c>
      <c r="E1005" s="188">
        <v>41618</v>
      </c>
      <c r="F1005" s="186" t="s">
        <v>469</v>
      </c>
      <c r="G1005" s="597" t="s">
        <v>332</v>
      </c>
      <c r="H1005" s="7" t="s">
        <v>364</v>
      </c>
      <c r="I1005" s="249"/>
      <c r="J1005" s="249"/>
      <c r="K1005" s="595">
        <v>65800000</v>
      </c>
      <c r="L1005" s="596" t="s">
        <v>47</v>
      </c>
      <c r="M1005" s="596" t="s">
        <v>24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>x</v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>x</v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IF(OR(TH!L1005=TH!$U$7,M1005=TH!$U$7),"x","")</f>
        <v/>
      </c>
      <c r="V1005" s="52" t="str">
        <f>IF(AND(B1005&gt;='IN-NX'!$P$3,B1005&lt;='IN-NX'!$Q$3,'IN-NX'!$D$7=D1005,OR(LEFT(L1005,2)="15",AND(LEFT(M1005,2)&lt;&gt;"15",LEFT(M1005,2)&lt;&gt;"33"))),"x","")</f>
        <v/>
      </c>
      <c r="W1005" s="52" t="str">
        <f>IF(AND(OR(LEFT(TH!L1005,2)="15",LEFT(TH!M1005,2)="15"),'152-CT'!$J$8=TH!F1005),"x","")</f>
        <v/>
      </c>
      <c r="X1005" s="52" t="str">
        <f>IF(AND(OR(LEFT(TH!L1005,2)="15",LEFT(TH!M1005,2)="15"),TK!$E$7=TH!F1005),"x","")</f>
        <v/>
      </c>
      <c r="Y1005" s="52" t="str">
        <f>IF(AND(B1005&lt;=NKC!$N$8,B1005&gt;=NKC!$M$8),"x","")</f>
        <v/>
      </c>
      <c r="Z1005" s="587"/>
    </row>
    <row r="1006" spans="1:28" ht="15.75" customHeight="1">
      <c r="A1006" s="201" t="str">
        <f>IF(B1006&lt;&gt;"",IF(AND(B1006&gt;=_TM1,B1006&lt;=_TM2,OR(TH!L1006="1111",TH!M1006="1111")),TH!D1006,""),"")</f>
        <v/>
      </c>
      <c r="B1006" s="36">
        <f t="shared" ref="B1006:B1067" si="44">IF(C1006&lt;&gt;"",MONTH(C1006),"")</f>
        <v>12</v>
      </c>
      <c r="C1006" s="181">
        <f t="shared" si="43"/>
        <v>41620</v>
      </c>
      <c r="D1006" s="181" t="s">
        <v>335</v>
      </c>
      <c r="E1006" s="181">
        <v>41620</v>
      </c>
      <c r="F1006" s="186" t="s">
        <v>337</v>
      </c>
      <c r="G1006" s="597" t="s">
        <v>332</v>
      </c>
      <c r="H1006" s="7" t="s">
        <v>506</v>
      </c>
      <c r="I1006" s="249"/>
      <c r="J1006" s="249"/>
      <c r="K1006" s="595">
        <v>13659140</v>
      </c>
      <c r="L1006" s="596" t="s">
        <v>24</v>
      </c>
      <c r="M1006" s="596" t="s">
        <v>262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>x</v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IF(OR(TH!L1006=TH!$U$7,M1006=TH!$U$7),"x","")</f>
        <v/>
      </c>
      <c r="V1006" s="52" t="str">
        <f>IF(AND(B1006&gt;='IN-NX'!$P$3,B1006&lt;='IN-NX'!$Q$3,'IN-NX'!$D$7=D1006,OR(LEFT(L1006,2)="15",AND(LEFT(M1006,2)&lt;&gt;"15",LEFT(M1006,2)&lt;&gt;"33"))),"x","")</f>
        <v/>
      </c>
      <c r="W1006" s="52" t="str">
        <f>IF(AND(OR(LEFT(TH!L1006,2)="15",LEFT(TH!M1006,2)="15"),'152-CT'!$J$8=TH!F1006),"x","")</f>
        <v/>
      </c>
      <c r="X1006" s="52" t="str">
        <f>IF(AND(OR(LEFT(TH!L1006,2)="15",LEFT(TH!M1006,2)="15"),TK!$E$7=TH!F1006),"x","")</f>
        <v/>
      </c>
      <c r="Y1006" s="52" t="str">
        <f>IF(AND(B1006&lt;=NKC!$N$8,B1006&gt;=NKC!$M$8),"x","")</f>
        <v/>
      </c>
      <c r="Z1006" s="208"/>
    </row>
    <row r="1007" spans="1:28" ht="15.75" customHeight="1">
      <c r="A1007" s="201" t="str">
        <f>IF(B1007&lt;&gt;"",IF(AND(B1007&gt;=_TM1,B1007&lt;=_TM2,OR(TH!L1007="1111",TH!M1007="1111")),TH!D1007,""),"")</f>
        <v/>
      </c>
      <c r="B1007" s="36">
        <f t="shared" si="44"/>
        <v>12</v>
      </c>
      <c r="C1007" s="188">
        <f t="shared" si="43"/>
        <v>41620</v>
      </c>
      <c r="D1007" s="181" t="s">
        <v>1066</v>
      </c>
      <c r="E1007" s="188">
        <v>41620</v>
      </c>
      <c r="F1007" s="186" t="s">
        <v>1108</v>
      </c>
      <c r="G1007" s="480" t="s">
        <v>999</v>
      </c>
      <c r="H1007" s="190" t="s">
        <v>757</v>
      </c>
      <c r="I1007" s="249">
        <v>1055</v>
      </c>
      <c r="J1007" s="249">
        <v>4700</v>
      </c>
      <c r="K1007" s="38">
        <f>ROUND(I1007*J1007,0)</f>
        <v>4958500</v>
      </c>
      <c r="L1007" s="191" t="s">
        <v>262</v>
      </c>
      <c r="M1007" s="191" t="s">
        <v>172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IF(OR(TH!L1007=TH!$U$7,M1007=TH!$U$7),"x","")</f>
        <v/>
      </c>
      <c r="V1007" s="52" t="str">
        <f>IF(AND(B1007&gt;='IN-NX'!$P$3,B1007&lt;='IN-NX'!$Q$3,'IN-NX'!$D$7=D1007,OR(LEFT(L1007,2)="15",AND(LEFT(M1007,2)&lt;&gt;"15",LEFT(M1007,2)&lt;&gt;"33"))),"x","")</f>
        <v/>
      </c>
      <c r="W1007" s="52" t="str">
        <f>IF(AND(OR(LEFT(TH!L1007,2)="15",LEFT(TH!M1007,2)="15"),'152-CT'!$J$8=TH!F1007),"x","")</f>
        <v/>
      </c>
      <c r="X1007" s="52" t="str">
        <f>IF(AND(OR(LEFT(TH!L1007,2)="15",LEFT(TH!M1007,2)="15"),TK!$E$7=TH!F1007),"x","")</f>
        <v/>
      </c>
      <c r="Y1007" s="52" t="str">
        <f>IF(AND(B1007&lt;=NKC!$N$8,B1007&gt;=NKC!$M$8),"x","")</f>
        <v/>
      </c>
      <c r="Z1007" s="769"/>
      <c r="AA1007" s="587"/>
    </row>
    <row r="1008" spans="1:28" ht="15.75" customHeight="1">
      <c r="A1008" s="201" t="str">
        <f>IF(B1008&lt;&gt;"",IF(AND(B1008&gt;=_TM1,B1008&lt;=_TM2,OR(TH!L1008="1111",TH!M1008="1111")),TH!D1008,""),"")</f>
        <v/>
      </c>
      <c r="B1008" s="36">
        <f t="shared" si="44"/>
        <v>12</v>
      </c>
      <c r="C1008" s="188">
        <f t="shared" si="43"/>
        <v>41620</v>
      </c>
      <c r="D1008" s="181" t="s">
        <v>1066</v>
      </c>
      <c r="E1008" s="188">
        <v>41620</v>
      </c>
      <c r="F1008" s="189" t="s">
        <v>693</v>
      </c>
      <c r="G1008" s="480" t="s">
        <v>999</v>
      </c>
      <c r="H1008" s="190" t="s">
        <v>757</v>
      </c>
      <c r="I1008" s="249"/>
      <c r="J1008" s="249"/>
      <c r="K1008" s="38">
        <v>495850</v>
      </c>
      <c r="L1008" s="191" t="s">
        <v>262</v>
      </c>
      <c r="M1008" s="191" t="s">
        <v>425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IF(OR(TH!L1008=TH!$U$7,M1008=TH!$U$7),"x","")</f>
        <v/>
      </c>
      <c r="V1008" s="52" t="str">
        <f>IF(AND(B1008&gt;='IN-NX'!$P$3,B1008&lt;='IN-NX'!$Q$3,'IN-NX'!$D$7=D1008,OR(LEFT(L1008,2)="15",AND(LEFT(M1008,2)&lt;&gt;"15",LEFT(M1008,2)&lt;&gt;"33"))),"x","")</f>
        <v/>
      </c>
      <c r="W1008" s="52" t="str">
        <f>IF(AND(OR(LEFT(TH!L1008,2)="15",LEFT(TH!M1008,2)="15"),'152-CT'!$J$8=TH!F1008),"x","")</f>
        <v/>
      </c>
      <c r="X1008" s="52" t="str">
        <f>IF(AND(OR(LEFT(TH!L1008,2)="15",LEFT(TH!M1008,2)="15"),TK!$E$7=TH!F1008),"x","")</f>
        <v/>
      </c>
      <c r="Y1008" s="52" t="str">
        <f>IF(AND(B1008&lt;=NKC!$N$8,B1008&gt;=NKC!$M$8),"x","")</f>
        <v/>
      </c>
      <c r="Z1008" s="769"/>
      <c r="AA1008" s="587" t="str">
        <f>IF(VLOOKUP(H1008,DS_131,1,0)&lt;&gt;"","","x")</f>
        <v/>
      </c>
    </row>
    <row r="1009" spans="1:27" ht="15.75" customHeight="1">
      <c r="A1009" s="201" t="str">
        <f>IF(B1009&lt;&gt;"",IF(AND(B1009&gt;=_TM1,B1009&lt;=_TM2,OR(TH!L1009="1111",TH!M1009="1111")),TH!D1009,""),"")</f>
        <v/>
      </c>
      <c r="B1009" s="36">
        <f t="shared" si="44"/>
        <v>12</v>
      </c>
      <c r="C1009" s="188">
        <f t="shared" ref="C1009:C1074" si="45">E1009</f>
        <v>41621</v>
      </c>
      <c r="D1009" s="181" t="s">
        <v>415</v>
      </c>
      <c r="E1009" s="188">
        <v>41621</v>
      </c>
      <c r="F1009" s="189" t="s">
        <v>682</v>
      </c>
      <c r="G1009" s="480" t="s">
        <v>683</v>
      </c>
      <c r="H1009" s="190" t="s">
        <v>665</v>
      </c>
      <c r="I1009" s="249">
        <v>930</v>
      </c>
      <c r="J1009" s="249">
        <v>19492</v>
      </c>
      <c r="K1009" s="38">
        <f>ROUND(I1009*J1009,0)</f>
        <v>18127560</v>
      </c>
      <c r="L1009" s="191" t="s">
        <v>156</v>
      </c>
      <c r="M1009" s="191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IF(OR(TH!L1009=TH!$U$7,M1009=TH!$U$7),"x","")</f>
        <v/>
      </c>
      <c r="V1009" s="52" t="str">
        <f>IF(AND(B1009&gt;='IN-NX'!$P$3,B1009&lt;='IN-NX'!$Q$3,'IN-NX'!$D$7=D1009,OR(LEFT(L1009,2)="15",AND(LEFT(M1009,2)&lt;&gt;"15",LEFT(M1009,2)&lt;&gt;"33"))),"x","")</f>
        <v/>
      </c>
      <c r="W1009" s="52" t="str">
        <f>IF(AND(OR(LEFT(TH!L1009,2)="15",LEFT(TH!M1009,2)="15"),'152-CT'!$J$8=TH!F1009),"x","")</f>
        <v/>
      </c>
      <c r="X1009" s="52" t="str">
        <f>IF(AND(OR(LEFT(TH!L1009,2)="15",LEFT(TH!M1009,2)="15"),TK!$E$7=TH!F1009),"x","")</f>
        <v/>
      </c>
      <c r="Y1009" s="52" t="str">
        <f>IF(AND(B1009&lt;=NKC!$N$8,B1009&gt;=NKC!$M$8),"x","")</f>
        <v/>
      </c>
      <c r="Z1009" s="587" t="s">
        <v>1336</v>
      </c>
    </row>
    <row r="1010" spans="1:27" ht="15.75" customHeight="1">
      <c r="A1010" s="201" t="str">
        <f>IF(B1010&lt;&gt;"",IF(AND(B1010&gt;=_TM1,B1010&lt;=_TM2,OR(TH!L1010="1111",TH!M1010="1111")),TH!D1010,""),"")</f>
        <v/>
      </c>
      <c r="B1010" s="36">
        <f t="shared" si="44"/>
        <v>12</v>
      </c>
      <c r="C1010" s="188">
        <f t="shared" si="45"/>
        <v>41621</v>
      </c>
      <c r="D1010" s="181" t="s">
        <v>415</v>
      </c>
      <c r="E1010" s="188">
        <v>41621</v>
      </c>
      <c r="F1010" s="189" t="s">
        <v>453</v>
      </c>
      <c r="G1010" s="480" t="s">
        <v>683</v>
      </c>
      <c r="H1010" s="190" t="s">
        <v>665</v>
      </c>
      <c r="I1010" s="249"/>
      <c r="J1010" s="249"/>
      <c r="K1010" s="38">
        <v>1812756</v>
      </c>
      <c r="L1010" s="191" t="s">
        <v>9</v>
      </c>
      <c r="M1010" s="191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IF(OR(TH!L1010=TH!$U$7,M1010=TH!$U$7),"x","")</f>
        <v/>
      </c>
      <c r="V1010" s="52" t="str">
        <f>IF(AND(B1010&gt;='IN-NX'!$P$3,B1010&lt;='IN-NX'!$Q$3,'IN-NX'!$D$7=D1010,OR(LEFT(L1010,2)="15",AND(LEFT(M1010,2)&lt;&gt;"15",LEFT(M1010,2)&lt;&gt;"33"))),"x","")</f>
        <v/>
      </c>
      <c r="W1010" s="52" t="str">
        <f>IF(AND(OR(LEFT(TH!L1010,2)="15",LEFT(TH!M1010,2)="15"),'152-CT'!$J$8=TH!F1010),"x","")</f>
        <v/>
      </c>
      <c r="X1010" s="52" t="str">
        <f>IF(AND(OR(LEFT(TH!L1010,2)="15",LEFT(TH!M1010,2)="15"),TK!$E$7=TH!F1010),"x","")</f>
        <v/>
      </c>
      <c r="Y1010" s="52" t="str">
        <f>IF(AND(B1010&lt;=NKC!$N$8,B1010&gt;=NKC!$M$8),"x","")</f>
        <v/>
      </c>
      <c r="Z1010" s="587" t="s">
        <v>1336</v>
      </c>
    </row>
    <row r="1011" spans="1:27" ht="15.75" customHeight="1">
      <c r="A1011" s="201" t="str">
        <f>IF(B1011&lt;&gt;"",IF(AND(B1011&gt;=_TM1,B1011&lt;=_TM2,OR(TH!L1011="1111",TH!M1011="1111")),TH!D1011,""),"")</f>
        <v>C29</v>
      </c>
      <c r="B1011" s="36">
        <f t="shared" si="44"/>
        <v>12</v>
      </c>
      <c r="C1011" s="188">
        <f t="shared" si="45"/>
        <v>41621</v>
      </c>
      <c r="D1011" s="181" t="s">
        <v>1281</v>
      </c>
      <c r="E1011" s="188">
        <v>41621</v>
      </c>
      <c r="F1011" s="189" t="s">
        <v>367</v>
      </c>
      <c r="G1011" s="480" t="s">
        <v>683</v>
      </c>
      <c r="H1011" s="190" t="s">
        <v>665</v>
      </c>
      <c r="I1011" s="249"/>
      <c r="J1011" s="249"/>
      <c r="K1011" s="38">
        <v>19940316</v>
      </c>
      <c r="L1011" s="191" t="s">
        <v>8</v>
      </c>
      <c r="M1011" s="191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IF(OR(TH!L1011=TH!$U$7,M1011=TH!$U$7),"x","")</f>
        <v/>
      </c>
      <c r="V1011" s="52" t="str">
        <f>IF(AND(B1011&gt;='IN-NX'!$P$3,B1011&lt;='IN-NX'!$Q$3,'IN-NX'!$D$7=D1011,OR(LEFT(L1011,2)="15",AND(LEFT(M1011,2)&lt;&gt;"15",LEFT(M1011,2)&lt;&gt;"33"))),"x","")</f>
        <v/>
      </c>
      <c r="W1011" s="52" t="str">
        <f>IF(AND(OR(LEFT(TH!L1011,2)="15",LEFT(TH!M1011,2)="15"),'152-CT'!$J$8=TH!F1011),"x","")</f>
        <v/>
      </c>
      <c r="X1011" s="52" t="str">
        <f>IF(AND(OR(LEFT(TH!L1011,2)="15",LEFT(TH!M1011,2)="15"),TK!$E$7=TH!F1011),"x","")</f>
        <v/>
      </c>
      <c r="Y1011" s="52" t="str">
        <f>IF(AND(B1011&lt;=NKC!$N$8,B1011&gt;=NKC!$M$8),"x","")</f>
        <v/>
      </c>
      <c r="Z1011" s="208"/>
    </row>
    <row r="1012" spans="1:27" ht="15.75" customHeight="1">
      <c r="A1012" s="201" t="str">
        <f>IF(B1012&lt;&gt;"",IF(AND(B1012&gt;=_TM1,B1012&lt;=_TM2,OR(TH!L1012="1111",TH!M1012="1111")),TH!D1012,""),"")</f>
        <v/>
      </c>
      <c r="B1012" s="36">
        <f t="shared" si="44"/>
        <v>12</v>
      </c>
      <c r="C1012" s="188">
        <f t="shared" si="45"/>
        <v>41622</v>
      </c>
      <c r="D1012" s="181" t="s">
        <v>1067</v>
      </c>
      <c r="E1012" s="188">
        <v>41622</v>
      </c>
      <c r="F1012" s="189" t="s">
        <v>1118</v>
      </c>
      <c r="G1012" s="189" t="s">
        <v>1000</v>
      </c>
      <c r="H1012" s="190" t="s">
        <v>863</v>
      </c>
      <c r="I1012" s="249">
        <v>2700</v>
      </c>
      <c r="J1012" s="249">
        <v>4550</v>
      </c>
      <c r="K1012" s="38">
        <f>ROUND(I1012*J1012,0)</f>
        <v>12285000</v>
      </c>
      <c r="L1012" s="191" t="s">
        <v>262</v>
      </c>
      <c r="M1012" s="191" t="s">
        <v>172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IF(OR(TH!L1012=TH!$U$7,M1012=TH!$U$7),"x","")</f>
        <v/>
      </c>
      <c r="V1012" s="52" t="str">
        <f>IF(AND(B1012&gt;='IN-NX'!$P$3,B1012&lt;='IN-NX'!$Q$3,'IN-NX'!$D$7=D1012,OR(LEFT(L1012,2)="15",AND(LEFT(M1012,2)&lt;&gt;"15",LEFT(M1012,2)&lt;&gt;"33"))),"x","")</f>
        <v/>
      </c>
      <c r="W1012" s="52" t="str">
        <f>IF(AND(OR(LEFT(TH!L1012,2)="15",LEFT(TH!M1012,2)="15"),'152-CT'!$J$8=TH!F1012),"x","")</f>
        <v/>
      </c>
      <c r="X1012" s="52" t="str">
        <f>IF(AND(OR(LEFT(TH!L1012,2)="15",LEFT(TH!M1012,2)="15"),TK!$E$7=TH!F1012),"x","")</f>
        <v/>
      </c>
      <c r="Y1012" s="52" t="str">
        <f>IF(AND(B1012&lt;=NKC!$N$8,B1012&gt;=NKC!$M$8),"x","")</f>
        <v/>
      </c>
      <c r="Z1012" s="769"/>
      <c r="AA1012" s="587"/>
    </row>
    <row r="1013" spans="1:27" ht="15.75" customHeight="1">
      <c r="A1013" s="201" t="str">
        <f>IF(B1013&lt;&gt;"",IF(AND(B1013&gt;=_TM1,B1013&lt;=_TM2,OR(TH!L1013="1111",TH!M1013="1111")),TH!D1013,""),"")</f>
        <v/>
      </c>
      <c r="B1013" s="36">
        <f t="shared" si="44"/>
        <v>12</v>
      </c>
      <c r="C1013" s="188">
        <f t="shared" si="45"/>
        <v>41622</v>
      </c>
      <c r="D1013" s="181" t="s">
        <v>1067</v>
      </c>
      <c r="E1013" s="188">
        <v>41622</v>
      </c>
      <c r="F1013" s="189" t="s">
        <v>693</v>
      </c>
      <c r="G1013" s="189" t="s">
        <v>1000</v>
      </c>
      <c r="H1013" s="190" t="s">
        <v>863</v>
      </c>
      <c r="I1013" s="249"/>
      <c r="J1013" s="249"/>
      <c r="K1013" s="38">
        <v>1228500</v>
      </c>
      <c r="L1013" s="191" t="s">
        <v>262</v>
      </c>
      <c r="M1013" s="191" t="s">
        <v>425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IF(OR(TH!L1013=TH!$U$7,M1013=TH!$U$7),"x","")</f>
        <v/>
      </c>
      <c r="V1013" s="52" t="str">
        <f>IF(AND(B1013&gt;='IN-NX'!$P$3,B1013&lt;='IN-NX'!$Q$3,'IN-NX'!$D$7=D1013,OR(LEFT(L1013,2)="15",AND(LEFT(M1013,2)&lt;&gt;"15",LEFT(M1013,2)&lt;&gt;"33"))),"x","")</f>
        <v/>
      </c>
      <c r="W1013" s="52" t="str">
        <f>IF(AND(OR(LEFT(TH!L1013,2)="15",LEFT(TH!M1013,2)="15"),'152-CT'!$J$8=TH!F1013),"x","")</f>
        <v/>
      </c>
      <c r="X1013" s="52" t="str">
        <f>IF(AND(OR(LEFT(TH!L1013,2)="15",LEFT(TH!M1013,2)="15"),TK!$E$7=TH!F1013),"x","")</f>
        <v/>
      </c>
      <c r="Y1013" s="52" t="str">
        <f>IF(AND(B1013&lt;=NKC!$N$8,B1013&gt;=NKC!$M$8),"x","")</f>
        <v/>
      </c>
      <c r="Z1013" s="769"/>
      <c r="AA1013" s="587" t="str">
        <f>IF(VLOOKUP(H1013,DS_131,1,0)&lt;&gt;"","","x")</f>
        <v/>
      </c>
    </row>
    <row r="1014" spans="1:27" ht="15.75" customHeight="1">
      <c r="A1014" s="201" t="str">
        <f>IF(B1014&lt;&gt;"",IF(AND(B1014&gt;=_TM1,B1014&lt;=_TM2,OR(TH!L1014="1111",TH!M1014="1111")),TH!D1014,""),"")</f>
        <v/>
      </c>
      <c r="B1014" s="36">
        <f t="shared" si="44"/>
        <v>12</v>
      </c>
      <c r="C1014" s="181">
        <f t="shared" si="45"/>
        <v>41624</v>
      </c>
      <c r="D1014" s="181" t="s">
        <v>335</v>
      </c>
      <c r="E1014" s="181">
        <v>41624</v>
      </c>
      <c r="F1014" s="186" t="s">
        <v>337</v>
      </c>
      <c r="G1014" s="597" t="s">
        <v>332</v>
      </c>
      <c r="H1014" s="7" t="s">
        <v>507</v>
      </c>
      <c r="I1014" s="249"/>
      <c r="J1014" s="249"/>
      <c r="K1014" s="595">
        <v>13413400</v>
      </c>
      <c r="L1014" s="596" t="s">
        <v>24</v>
      </c>
      <c r="M1014" s="596" t="s">
        <v>262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>x</v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IF(OR(TH!L1014=TH!$U$7,M1014=TH!$U$7),"x","")</f>
        <v/>
      </c>
      <c r="V1014" s="52" t="str">
        <f>IF(AND(B1014&gt;='IN-NX'!$P$3,B1014&lt;='IN-NX'!$Q$3,'IN-NX'!$D$7=D1014,OR(LEFT(L1014,2)="15",AND(LEFT(M1014,2)&lt;&gt;"15",LEFT(M1014,2)&lt;&gt;"33"))),"x","")</f>
        <v/>
      </c>
      <c r="W1014" s="52" t="str">
        <f>IF(AND(OR(LEFT(TH!L1014,2)="15",LEFT(TH!M1014,2)="15"),'152-CT'!$J$8=TH!F1014),"x","")</f>
        <v/>
      </c>
      <c r="X1014" s="52" t="str">
        <f>IF(AND(OR(LEFT(TH!L1014,2)="15",LEFT(TH!M1014,2)="15"),TK!$E$7=TH!F1014),"x","")</f>
        <v/>
      </c>
      <c r="Y1014" s="52" t="str">
        <f>IF(AND(B1014&lt;=NKC!$N$8,B1014&gt;=NKC!$M$8),"x","")</f>
        <v/>
      </c>
      <c r="Z1014" s="208"/>
    </row>
    <row r="1015" spans="1:27" ht="15.75" customHeight="1">
      <c r="A1015" s="201" t="str">
        <f>IF(B1015&lt;&gt;"",IF(AND(B1015&gt;=_TM1,B1015&lt;=_TM2,OR(TH!L1015="1111",TH!M1015="1111")),TH!D1015,""),"")</f>
        <v/>
      </c>
      <c r="B1015" s="36">
        <f t="shared" si="44"/>
        <v>12</v>
      </c>
      <c r="C1015" s="188">
        <f t="shared" si="45"/>
        <v>41624</v>
      </c>
      <c r="D1015" s="181" t="s">
        <v>416</v>
      </c>
      <c r="E1015" s="188">
        <v>41624</v>
      </c>
      <c r="F1015" s="189" t="s">
        <v>682</v>
      </c>
      <c r="G1015" s="480" t="s">
        <v>684</v>
      </c>
      <c r="H1015" s="190" t="s">
        <v>665</v>
      </c>
      <c r="I1015" s="249">
        <v>825</v>
      </c>
      <c r="J1015" s="249">
        <v>21924</v>
      </c>
      <c r="K1015" s="38">
        <f>ROUND(I1015*J1015,0)</f>
        <v>18087300</v>
      </c>
      <c r="L1015" s="191" t="s">
        <v>156</v>
      </c>
      <c r="M1015" s="191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IF(OR(TH!L1015=TH!$U$7,M1015=TH!$U$7),"x","")</f>
        <v/>
      </c>
      <c r="V1015" s="52" t="str">
        <f>IF(AND(B1015&gt;='IN-NX'!$P$3,B1015&lt;='IN-NX'!$Q$3,'IN-NX'!$D$7=D1015,OR(LEFT(L1015,2)="15",AND(LEFT(M1015,2)&lt;&gt;"15",LEFT(M1015,2)&lt;&gt;"33"))),"x","")</f>
        <v/>
      </c>
      <c r="W1015" s="52" t="str">
        <f>IF(AND(OR(LEFT(TH!L1015,2)="15",LEFT(TH!M1015,2)="15"),'152-CT'!$J$8=TH!F1015),"x","")</f>
        <v/>
      </c>
      <c r="X1015" s="52" t="str">
        <f>IF(AND(OR(LEFT(TH!L1015,2)="15",LEFT(TH!M1015,2)="15"),TK!$E$7=TH!F1015),"x","")</f>
        <v/>
      </c>
      <c r="Y1015" s="52" t="str">
        <f>IF(AND(B1015&lt;=NKC!$N$8,B1015&gt;=NKC!$M$8),"x","")</f>
        <v/>
      </c>
      <c r="Z1015" s="587" t="s">
        <v>1336</v>
      </c>
    </row>
    <row r="1016" spans="1:27" ht="15.75" customHeight="1">
      <c r="A1016" s="201" t="str">
        <f>IF(B1016&lt;&gt;"",IF(AND(B1016&gt;=_TM1,B1016&lt;=_TM2,OR(TH!L1016="1111",TH!M1016="1111")),TH!D1016,""),"")</f>
        <v/>
      </c>
      <c r="B1016" s="36">
        <f t="shared" si="44"/>
        <v>12</v>
      </c>
      <c r="C1016" s="188">
        <f t="shared" si="45"/>
        <v>41624</v>
      </c>
      <c r="D1016" s="181" t="s">
        <v>416</v>
      </c>
      <c r="E1016" s="188">
        <v>41624</v>
      </c>
      <c r="F1016" s="189" t="s">
        <v>453</v>
      </c>
      <c r="G1016" s="480" t="s">
        <v>684</v>
      </c>
      <c r="H1016" s="190" t="s">
        <v>665</v>
      </c>
      <c r="I1016" s="249"/>
      <c r="J1016" s="249"/>
      <c r="K1016" s="38">
        <v>1808730</v>
      </c>
      <c r="L1016" s="191" t="s">
        <v>9</v>
      </c>
      <c r="M1016" s="191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IF(OR(TH!L1016=TH!$U$7,M1016=TH!$U$7),"x","")</f>
        <v/>
      </c>
      <c r="V1016" s="52" t="str">
        <f>IF(AND(B1016&gt;='IN-NX'!$P$3,B1016&lt;='IN-NX'!$Q$3,'IN-NX'!$D$7=D1016,OR(LEFT(L1016,2)="15",AND(LEFT(M1016,2)&lt;&gt;"15",LEFT(M1016,2)&lt;&gt;"33"))),"x","")</f>
        <v/>
      </c>
      <c r="W1016" s="52" t="str">
        <f>IF(AND(OR(LEFT(TH!L1016,2)="15",LEFT(TH!M1016,2)="15"),'152-CT'!$J$8=TH!F1016),"x","")</f>
        <v/>
      </c>
      <c r="X1016" s="52" t="str">
        <f>IF(AND(OR(LEFT(TH!L1016,2)="15",LEFT(TH!M1016,2)="15"),TK!$E$7=TH!F1016),"x","")</f>
        <v/>
      </c>
      <c r="Y1016" s="52" t="str">
        <f>IF(AND(B1016&lt;=NKC!$N$8,B1016&gt;=NKC!$M$8),"x","")</f>
        <v/>
      </c>
      <c r="Z1016" s="587" t="s">
        <v>1336</v>
      </c>
    </row>
    <row r="1017" spans="1:27" ht="15.75" customHeight="1">
      <c r="A1017" s="201" t="str">
        <f>IF(B1017&lt;&gt;"",IF(AND(B1017&gt;=_TM1,B1017&lt;=_TM2,OR(TH!L1017="1111",TH!M1017="1111")),TH!D1017,""),"")</f>
        <v>C30</v>
      </c>
      <c r="B1017" s="36">
        <f t="shared" si="44"/>
        <v>12</v>
      </c>
      <c r="C1017" s="188">
        <f t="shared" si="45"/>
        <v>41624</v>
      </c>
      <c r="D1017" s="181" t="s">
        <v>1292</v>
      </c>
      <c r="E1017" s="188">
        <v>41624</v>
      </c>
      <c r="F1017" s="189" t="s">
        <v>367</v>
      </c>
      <c r="G1017" s="480" t="s">
        <v>684</v>
      </c>
      <c r="H1017" s="190" t="s">
        <v>665</v>
      </c>
      <c r="I1017" s="249"/>
      <c r="J1017" s="249"/>
      <c r="K1017" s="38">
        <v>19896030</v>
      </c>
      <c r="L1017" s="191" t="s">
        <v>8</v>
      </c>
      <c r="M1017" s="191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IF(OR(TH!L1017=TH!$U$7,M1017=TH!$U$7),"x","")</f>
        <v/>
      </c>
      <c r="V1017" s="52" t="str">
        <f>IF(AND(B1017&gt;='IN-NX'!$P$3,B1017&lt;='IN-NX'!$Q$3,'IN-NX'!$D$7=D1017,OR(LEFT(L1017,2)="15",AND(LEFT(M1017,2)&lt;&gt;"15",LEFT(M1017,2)&lt;&gt;"33"))),"x","")</f>
        <v/>
      </c>
      <c r="W1017" s="52" t="str">
        <f>IF(AND(OR(LEFT(TH!L1017,2)="15",LEFT(TH!M1017,2)="15"),'152-CT'!$J$8=TH!F1017),"x","")</f>
        <v/>
      </c>
      <c r="X1017" s="52" t="str">
        <f>IF(AND(OR(LEFT(TH!L1017,2)="15",LEFT(TH!M1017,2)="15"),TK!$E$7=TH!F1017),"x","")</f>
        <v/>
      </c>
      <c r="Y1017" s="52" t="str">
        <f>IF(AND(B1017&lt;=NKC!$N$8,B1017&gt;=NKC!$M$8),"x","")</f>
        <v/>
      </c>
      <c r="Z1017" s="208"/>
    </row>
    <row r="1018" spans="1:27" ht="15.75" customHeight="1">
      <c r="A1018" s="201" t="str">
        <f>IF(B1018&lt;&gt;"",IF(AND(B1018&gt;=_TM1,B1018&lt;=_TM2,OR(TH!L1018="1111",TH!M1018="1111")),TH!D1018,""),"")</f>
        <v/>
      </c>
      <c r="B1018" s="36">
        <f t="shared" si="44"/>
        <v>12</v>
      </c>
      <c r="C1018" s="188">
        <f t="shared" si="45"/>
        <v>41624</v>
      </c>
      <c r="D1018" s="181" t="s">
        <v>1068</v>
      </c>
      <c r="E1018" s="188">
        <v>41624</v>
      </c>
      <c r="F1018" s="189" t="s">
        <v>805</v>
      </c>
      <c r="G1018" s="189" t="s">
        <v>1001</v>
      </c>
      <c r="H1018" s="190" t="s">
        <v>710</v>
      </c>
      <c r="I1018" s="249">
        <v>1030</v>
      </c>
      <c r="J1018" s="249">
        <v>10500</v>
      </c>
      <c r="K1018" s="38">
        <f>ROUND(I1018*J1018,0)</f>
        <v>10815000</v>
      </c>
      <c r="L1018" s="191" t="s">
        <v>262</v>
      </c>
      <c r="M1018" s="191" t="s">
        <v>172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IF(OR(TH!L1018=TH!$U$7,M1018=TH!$U$7),"x","")</f>
        <v/>
      </c>
      <c r="V1018" s="52" t="str">
        <f>IF(AND(B1018&gt;='IN-NX'!$P$3,B1018&lt;='IN-NX'!$Q$3,'IN-NX'!$D$7=D1018,OR(LEFT(L1018,2)="15",AND(LEFT(M1018,2)&lt;&gt;"15",LEFT(M1018,2)&lt;&gt;"33"))),"x","")</f>
        <v/>
      </c>
      <c r="W1018" s="52" t="str">
        <f>IF(AND(OR(LEFT(TH!L1018,2)="15",LEFT(TH!M1018,2)="15"),'152-CT'!$J$8=TH!F1018),"x","")</f>
        <v/>
      </c>
      <c r="X1018" s="52" t="str">
        <f>IF(AND(OR(LEFT(TH!L1018,2)="15",LEFT(TH!M1018,2)="15"),TK!$E$7=TH!F1018),"x","")</f>
        <v/>
      </c>
      <c r="Y1018" s="52" t="str">
        <f>IF(AND(B1018&lt;=NKC!$N$8,B1018&gt;=NKC!$M$8),"x","")</f>
        <v/>
      </c>
      <c r="Z1018" s="769"/>
      <c r="AA1018" s="587"/>
    </row>
    <row r="1019" spans="1:27" ht="15.75" customHeight="1">
      <c r="A1019" s="201" t="str">
        <f>IF(B1019&lt;&gt;"",IF(AND(B1019&gt;=_TM1,B1019&lt;=_TM2,OR(TH!L1019="1111",TH!M1019="1111")),TH!D1019,""),"")</f>
        <v/>
      </c>
      <c r="B1019" s="36">
        <f t="shared" si="44"/>
        <v>12</v>
      </c>
      <c r="C1019" s="188">
        <f t="shared" si="45"/>
        <v>41624</v>
      </c>
      <c r="D1019" s="181" t="s">
        <v>1068</v>
      </c>
      <c r="E1019" s="188">
        <v>41624</v>
      </c>
      <c r="F1019" s="189" t="s">
        <v>693</v>
      </c>
      <c r="G1019" s="480" t="s">
        <v>1001</v>
      </c>
      <c r="H1019" s="207" t="s">
        <v>710</v>
      </c>
      <c r="I1019" s="250"/>
      <c r="J1019" s="250"/>
      <c r="K1019" s="38">
        <v>1081500</v>
      </c>
      <c r="L1019" s="191" t="s">
        <v>262</v>
      </c>
      <c r="M1019" s="191" t="s">
        <v>425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IF(OR(TH!L1019=TH!$U$7,M1019=TH!$U$7),"x","")</f>
        <v/>
      </c>
      <c r="V1019" s="52" t="str">
        <f>IF(AND(B1019&gt;='IN-NX'!$P$3,B1019&lt;='IN-NX'!$Q$3,'IN-NX'!$D$7=D1019,OR(LEFT(L1019,2)="15",AND(LEFT(M1019,2)&lt;&gt;"15",LEFT(M1019,2)&lt;&gt;"33"))),"x","")</f>
        <v/>
      </c>
      <c r="W1019" s="52" t="str">
        <f>IF(AND(OR(LEFT(TH!L1019,2)="15",LEFT(TH!M1019,2)="15"),'152-CT'!$J$8=TH!F1019),"x","")</f>
        <v/>
      </c>
      <c r="X1019" s="52" t="str">
        <f>IF(AND(OR(LEFT(TH!L1019,2)="15",LEFT(TH!M1019,2)="15"),TK!$E$7=TH!F1019),"x","")</f>
        <v/>
      </c>
      <c r="Y1019" s="52" t="str">
        <f>IF(AND(B1019&lt;=NKC!$N$8,B1019&gt;=NKC!$M$8),"x","")</f>
        <v/>
      </c>
      <c r="Z1019" s="769"/>
      <c r="AA1019" s="587" t="str">
        <f>IF(VLOOKUP(H1019,DS_131,1,0)&lt;&gt;"","","x")</f>
        <v/>
      </c>
    </row>
    <row r="1020" spans="1:27" ht="15.75" customHeight="1">
      <c r="A1020" s="201" t="str">
        <f>IF(B1020&lt;&gt;"",IF(AND(B1020&gt;=_TM1,B1020&lt;=_TM2,OR(TH!L1020="1111",TH!M1020="1111")),TH!D1020,""),"")</f>
        <v/>
      </c>
      <c r="B1020" s="36">
        <f t="shared" si="44"/>
        <v>12</v>
      </c>
      <c r="C1020" s="181">
        <f t="shared" si="45"/>
        <v>41625</v>
      </c>
      <c r="D1020" s="181" t="s">
        <v>335</v>
      </c>
      <c r="E1020" s="181">
        <v>41625</v>
      </c>
      <c r="F1020" s="186" t="s">
        <v>337</v>
      </c>
      <c r="G1020" s="597" t="s">
        <v>332</v>
      </c>
      <c r="H1020" s="7" t="s">
        <v>511</v>
      </c>
      <c r="I1020" s="249"/>
      <c r="J1020" s="249"/>
      <c r="K1020" s="595">
        <v>15019180</v>
      </c>
      <c r="L1020" s="596" t="s">
        <v>24</v>
      </c>
      <c r="M1020" s="596" t="s">
        <v>262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>x</v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IF(OR(TH!L1020=TH!$U$7,M1020=TH!$U$7),"x","")</f>
        <v/>
      </c>
      <c r="V1020" s="52" t="str">
        <f>IF(AND(B1020&gt;='IN-NX'!$P$3,B1020&lt;='IN-NX'!$Q$3,'IN-NX'!$D$7=D1020,OR(LEFT(L1020,2)="15",AND(LEFT(M1020,2)&lt;&gt;"15",LEFT(M1020,2)&lt;&gt;"33"))),"x","")</f>
        <v/>
      </c>
      <c r="W1020" s="52" t="str">
        <f>IF(AND(OR(LEFT(TH!L1020,2)="15",LEFT(TH!M1020,2)="15"),'152-CT'!$J$8=TH!F1020),"x","")</f>
        <v/>
      </c>
      <c r="X1020" s="52" t="str">
        <f>IF(AND(OR(LEFT(TH!L1020,2)="15",LEFT(TH!M1020,2)="15"),TK!$E$7=TH!F1020),"x","")</f>
        <v/>
      </c>
      <c r="Y1020" s="52" t="str">
        <f>IF(AND(B1020&lt;=NKC!$N$8,B1020&gt;=NKC!$M$8),"x","")</f>
        <v/>
      </c>
      <c r="Z1020" s="208"/>
    </row>
    <row r="1021" spans="1:27" ht="15.75" customHeight="1">
      <c r="A1021" s="201" t="str">
        <f>IF(B1021&lt;&gt;"",IF(AND(B1021&gt;=_TM1,B1021&lt;=_TM2,OR(TH!L1021="1111",TH!M1021="1111")),TH!D1021,""),"")</f>
        <v>T28</v>
      </c>
      <c r="B1021" s="36">
        <f t="shared" si="44"/>
        <v>12</v>
      </c>
      <c r="C1021" s="181">
        <f t="shared" si="45"/>
        <v>41625</v>
      </c>
      <c r="D1021" s="181" t="s">
        <v>1286</v>
      </c>
      <c r="E1021" s="181">
        <v>41625</v>
      </c>
      <c r="F1021" s="186" t="s">
        <v>469</v>
      </c>
      <c r="G1021" s="597" t="s">
        <v>332</v>
      </c>
      <c r="H1021" s="7" t="s">
        <v>364</v>
      </c>
      <c r="I1021" s="248"/>
      <c r="J1021" s="248"/>
      <c r="K1021" s="693">
        <v>42000000</v>
      </c>
      <c r="L1021" s="596" t="s">
        <v>47</v>
      </c>
      <c r="M1021" s="596" t="s">
        <v>24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>x</v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IF(OR(TH!L1021=TH!$U$7,M1021=TH!$U$7),"x","")</f>
        <v/>
      </c>
      <c r="V1021" s="52" t="str">
        <f>IF(AND(B1021&gt;='IN-NX'!$P$3,B1021&lt;='IN-NX'!$Q$3,'IN-NX'!$D$7=D1021,OR(LEFT(L1021,2)="15",AND(LEFT(M1021,2)&lt;&gt;"15",LEFT(M1021,2)&lt;&gt;"33"))),"x","")</f>
        <v/>
      </c>
      <c r="W1021" s="52" t="str">
        <f>IF(AND(OR(LEFT(TH!L1021,2)="15",LEFT(TH!M1021,2)="15"),'152-CT'!$J$8=TH!F1021),"x","")</f>
        <v/>
      </c>
      <c r="X1021" s="52" t="str">
        <f>IF(AND(OR(LEFT(TH!L1021,2)="15",LEFT(TH!M1021,2)="15"),TK!$E$7=TH!F1021),"x","")</f>
        <v/>
      </c>
      <c r="Y1021" s="52" t="str">
        <f>IF(AND(B1021&lt;=NKC!$N$8,B1021&gt;=NKC!$M$8),"x","")</f>
        <v/>
      </c>
      <c r="Z1021" s="587"/>
    </row>
    <row r="1022" spans="1:27" ht="15.75" customHeight="1">
      <c r="A1022" s="201" t="str">
        <f>IF(B1022&lt;&gt;"",IF(AND(B1022&gt;=_TM1,B1022&lt;=_TM2,OR(TH!L1022="1111",TH!M1022="1111")),TH!D1022,""),"")</f>
        <v/>
      </c>
      <c r="B1022" s="36">
        <f t="shared" si="44"/>
        <v>12</v>
      </c>
      <c r="C1022" s="181">
        <f t="shared" si="45"/>
        <v>41625</v>
      </c>
      <c r="D1022" s="181" t="s">
        <v>402</v>
      </c>
      <c r="E1022" s="188">
        <v>41625</v>
      </c>
      <c r="F1022" s="186" t="s">
        <v>545</v>
      </c>
      <c r="G1022" s="657" t="s">
        <v>546</v>
      </c>
      <c r="H1022" s="7" t="s">
        <v>547</v>
      </c>
      <c r="I1022" s="250">
        <v>100</v>
      </c>
      <c r="J1022" s="251">
        <v>17500</v>
      </c>
      <c r="K1022" s="38">
        <f>ROUND(I1022*J1022,0)</f>
        <v>1750000</v>
      </c>
      <c r="L1022" s="596" t="s">
        <v>158</v>
      </c>
      <c r="M1022" s="596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IF(OR(TH!L1022=TH!$U$7,M1022=TH!$U$7),"x","")</f>
        <v/>
      </c>
      <c r="V1022" s="52" t="str">
        <f>IF(AND(B1022&gt;='IN-NX'!$P$3,B1022&lt;='IN-NX'!$Q$3,'IN-NX'!$D$7=D1022,OR(LEFT(L1022,2)="15",AND(LEFT(M1022,2)&lt;&gt;"15",LEFT(M1022,2)&lt;&gt;"33"))),"x","")</f>
        <v/>
      </c>
      <c r="W1022" s="52" t="str">
        <f>IF(AND(OR(LEFT(TH!L1022,2)="15",LEFT(TH!M1022,2)="15"),'152-CT'!$J$8=TH!F1022),"x","")</f>
        <v/>
      </c>
      <c r="X1022" s="52" t="str">
        <f>IF(AND(OR(LEFT(TH!L1022,2)="15",LEFT(TH!M1022,2)="15"),TK!$E$7=TH!F1022),"x","")</f>
        <v/>
      </c>
      <c r="Y1022" s="52" t="str">
        <f>IF(AND(B1022&lt;=NKC!$N$8,B1022&gt;=NKC!$M$8),"x","")</f>
        <v/>
      </c>
      <c r="Z1022" s="587" t="s">
        <v>1336</v>
      </c>
    </row>
    <row r="1023" spans="1:27" ht="15.75" customHeight="1">
      <c r="A1023" s="201" t="str">
        <f>IF(B1023&lt;&gt;"",IF(AND(B1023&gt;=_TM1,B1023&lt;=_TM2,OR(TH!L1023="1111",TH!M1023="1111")),TH!D1023,""),"")</f>
        <v/>
      </c>
      <c r="B1023" s="36">
        <f t="shared" si="44"/>
        <v>12</v>
      </c>
      <c r="C1023" s="181">
        <f t="shared" si="45"/>
        <v>41625</v>
      </c>
      <c r="D1023" s="181" t="s">
        <v>402</v>
      </c>
      <c r="E1023" s="188">
        <v>41625</v>
      </c>
      <c r="F1023" s="186" t="s">
        <v>548</v>
      </c>
      <c r="G1023" s="657" t="s">
        <v>546</v>
      </c>
      <c r="H1023" s="7" t="s">
        <v>547</v>
      </c>
      <c r="I1023" s="250"/>
      <c r="J1023" s="251"/>
      <c r="K1023" s="38">
        <v>175000</v>
      </c>
      <c r="L1023" s="596" t="s">
        <v>9</v>
      </c>
      <c r="M1023" s="596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IF(OR(TH!L1023=TH!$U$7,M1023=TH!$U$7),"x","")</f>
        <v/>
      </c>
      <c r="V1023" s="52" t="str">
        <f>IF(AND(B1023&gt;='IN-NX'!$P$3,B1023&lt;='IN-NX'!$Q$3,'IN-NX'!$D$7=D1023,OR(LEFT(L1023,2)="15",AND(LEFT(M1023,2)&lt;&gt;"15",LEFT(M1023,2)&lt;&gt;"33"))),"x","")</f>
        <v/>
      </c>
      <c r="W1023" s="52" t="str">
        <f>IF(AND(OR(LEFT(TH!L1023,2)="15",LEFT(TH!M1023,2)="15"),'152-CT'!$J$8=TH!F1023),"x","")</f>
        <v/>
      </c>
      <c r="X1023" s="52" t="str">
        <f>IF(AND(OR(LEFT(TH!L1023,2)="15",LEFT(TH!M1023,2)="15"),TK!$E$7=TH!F1023),"x","")</f>
        <v/>
      </c>
      <c r="Y1023" s="52" t="str">
        <f>IF(AND(B1023&lt;=NKC!$N$8,B1023&gt;=NKC!$M$8),"x","")</f>
        <v/>
      </c>
      <c r="Z1023" s="587" t="s">
        <v>1336</v>
      </c>
    </row>
    <row r="1024" spans="1:27" ht="15.75" customHeight="1">
      <c r="A1024" s="201" t="str">
        <f>IF(B1024&lt;&gt;"",IF(AND(B1024&gt;=_TM1,B1024&lt;=_TM2,OR(TH!L1024="1111",TH!M1024="1111")),TH!D1024,""),"")</f>
        <v>C31</v>
      </c>
      <c r="B1024" s="36">
        <f t="shared" si="44"/>
        <v>12</v>
      </c>
      <c r="C1024" s="181">
        <f t="shared" si="45"/>
        <v>41625</v>
      </c>
      <c r="D1024" s="181" t="s">
        <v>1293</v>
      </c>
      <c r="E1024" s="188">
        <v>41625</v>
      </c>
      <c r="F1024" s="186" t="s">
        <v>367</v>
      </c>
      <c r="G1024" s="657" t="s">
        <v>546</v>
      </c>
      <c r="H1024" s="7" t="s">
        <v>547</v>
      </c>
      <c r="I1024" s="250"/>
      <c r="J1024" s="251"/>
      <c r="K1024" s="38">
        <v>1925000</v>
      </c>
      <c r="L1024" s="596" t="s">
        <v>8</v>
      </c>
      <c r="M1024" s="596" t="s">
        <v>47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>x</v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IF(OR(TH!L1024=TH!$U$7,M1024=TH!$U$7),"x","")</f>
        <v/>
      </c>
      <c r="V1024" s="52" t="str">
        <f>IF(AND(B1024&gt;='IN-NX'!$P$3,B1024&lt;='IN-NX'!$Q$3,'IN-NX'!$D$7=D1024,OR(LEFT(L1024,2)="15",AND(LEFT(M1024,2)&lt;&gt;"15",LEFT(M1024,2)&lt;&gt;"33"))),"x","")</f>
        <v/>
      </c>
      <c r="W1024" s="52" t="str">
        <f>IF(AND(OR(LEFT(TH!L1024,2)="15",LEFT(TH!M1024,2)="15"),'152-CT'!$J$8=TH!F1024),"x","")</f>
        <v/>
      </c>
      <c r="X1024" s="52" t="str">
        <f>IF(AND(OR(LEFT(TH!L1024,2)="15",LEFT(TH!M1024,2)="15"),TK!$E$7=TH!F1024),"x","")</f>
        <v/>
      </c>
      <c r="Y1024" s="52" t="str">
        <f>IF(AND(B1024&lt;=NKC!$N$8,B1024&gt;=NKC!$M$8),"x","")</f>
        <v/>
      </c>
      <c r="Z1024" s="208"/>
    </row>
    <row r="1025" spans="1:27" ht="15.75" customHeight="1">
      <c r="A1025" s="201" t="str">
        <f>IF(B1025&lt;&gt;"",IF(AND(B1025&gt;=_TM1,B1025&lt;=_TM2,OR(TH!L1025="1111",TH!M1025="1111")),TH!D1025,""),"")</f>
        <v>C32</v>
      </c>
      <c r="B1025" s="36">
        <f t="shared" si="44"/>
        <v>12</v>
      </c>
      <c r="C1025" s="181">
        <f t="shared" si="45"/>
        <v>41625</v>
      </c>
      <c r="D1025" s="181" t="s">
        <v>1294</v>
      </c>
      <c r="E1025" s="188">
        <v>41625</v>
      </c>
      <c r="F1025" s="186" t="s">
        <v>431</v>
      </c>
      <c r="G1025" s="480" t="s">
        <v>444</v>
      </c>
      <c r="H1025" s="7" t="s">
        <v>534</v>
      </c>
      <c r="I1025" s="249"/>
      <c r="J1025" s="249"/>
      <c r="K1025" s="595">
        <v>2850000</v>
      </c>
      <c r="L1025" s="596" t="s">
        <v>162</v>
      </c>
      <c r="M1025" s="596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IF(OR(TH!L1025=TH!$U$7,M1025=TH!$U$7),"x","")</f>
        <v/>
      </c>
      <c r="V1025" s="52" t="str">
        <f>IF(AND(B1025&gt;='IN-NX'!$P$3,B1025&lt;='IN-NX'!$Q$3,'IN-NX'!$D$7=D1025,OR(LEFT(L1025,2)="15",AND(LEFT(M1025,2)&lt;&gt;"15",LEFT(M1025,2)&lt;&gt;"33"))),"x","")</f>
        <v/>
      </c>
      <c r="W1025" s="52" t="str">
        <f>IF(AND(OR(LEFT(TH!L1025,2)="15",LEFT(TH!M1025,2)="15"),'152-CT'!$J$8=TH!F1025),"x","")</f>
        <v/>
      </c>
      <c r="X1025" s="52" t="str">
        <f>IF(AND(OR(LEFT(TH!L1025,2)="15",LEFT(TH!M1025,2)="15"),TK!$E$7=TH!F1025),"x","")</f>
        <v/>
      </c>
      <c r="Y1025" s="52" t="str">
        <f>IF(AND(B1025&lt;=NKC!$N$8,B1025&gt;=NKC!$M$8),"x","")</f>
        <v/>
      </c>
      <c r="Z1025" s="587" t="s">
        <v>1336</v>
      </c>
    </row>
    <row r="1026" spans="1:27" ht="15.75" customHeight="1">
      <c r="A1026" s="201" t="str">
        <f>IF(B1026&lt;&gt;"",IF(AND(B1026&gt;=_TM1,B1026&lt;=_TM2,OR(TH!L1026="1111",TH!M1026="1111")),TH!D1026,""),"")</f>
        <v>C32</v>
      </c>
      <c r="B1026" s="36">
        <f t="shared" si="44"/>
        <v>12</v>
      </c>
      <c r="C1026" s="181">
        <f t="shared" si="45"/>
        <v>41625</v>
      </c>
      <c r="D1026" s="181" t="s">
        <v>1294</v>
      </c>
      <c r="E1026" s="188">
        <v>41625</v>
      </c>
      <c r="F1026" s="186" t="s">
        <v>344</v>
      </c>
      <c r="G1026" s="480" t="s">
        <v>444</v>
      </c>
      <c r="H1026" s="7" t="s">
        <v>534</v>
      </c>
      <c r="I1026" s="249"/>
      <c r="J1026" s="249"/>
      <c r="K1026" s="595">
        <v>285000</v>
      </c>
      <c r="L1026" s="596" t="s">
        <v>9</v>
      </c>
      <c r="M1026" s="596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IF(OR(TH!L1026=TH!$U$7,M1026=TH!$U$7),"x","")</f>
        <v/>
      </c>
      <c r="V1026" s="52" t="str">
        <f>IF(AND(B1026&gt;='IN-NX'!$P$3,B1026&lt;='IN-NX'!$Q$3,'IN-NX'!$D$7=D1026,OR(LEFT(L1026,2)="15",AND(LEFT(M1026,2)&lt;&gt;"15",LEFT(M1026,2)&lt;&gt;"33"))),"x","")</f>
        <v/>
      </c>
      <c r="W1026" s="52" t="str">
        <f>IF(AND(OR(LEFT(TH!L1026,2)="15",LEFT(TH!M1026,2)="15"),'152-CT'!$J$8=TH!F1026),"x","")</f>
        <v/>
      </c>
      <c r="X1026" s="52" t="str">
        <f>IF(AND(OR(LEFT(TH!L1026,2)="15",LEFT(TH!M1026,2)="15"),TK!$E$7=TH!F1026),"x","")</f>
        <v/>
      </c>
      <c r="Y1026" s="52" t="str">
        <f>IF(AND(B1026&lt;=NKC!$N$8,B1026&gt;=NKC!$M$8),"x","")</f>
        <v/>
      </c>
      <c r="Z1026" s="587" t="s">
        <v>1336</v>
      </c>
    </row>
    <row r="1027" spans="1:27" ht="15.75" customHeight="1">
      <c r="A1027" s="201" t="str">
        <f>IF(B1027&lt;&gt;"",IF(AND(B1027&gt;=_TM1,B1027&lt;=_TM2,OR(TH!L1027="1111",TH!M1027="1111")),TH!D1027,""),"")</f>
        <v/>
      </c>
      <c r="B1027" s="36">
        <f t="shared" si="44"/>
        <v>12</v>
      </c>
      <c r="C1027" s="188">
        <f t="shared" si="45"/>
        <v>41625</v>
      </c>
      <c r="D1027" s="181" t="s">
        <v>1069</v>
      </c>
      <c r="E1027" s="188">
        <v>41625</v>
      </c>
      <c r="F1027" s="189" t="s">
        <v>1118</v>
      </c>
      <c r="G1027" s="480" t="s">
        <v>1002</v>
      </c>
      <c r="H1027" s="207" t="s">
        <v>863</v>
      </c>
      <c r="I1027" s="250">
        <v>2700</v>
      </c>
      <c r="J1027" s="250">
        <v>4550</v>
      </c>
      <c r="K1027" s="38">
        <f>ROUND(I1027*J1027,0)</f>
        <v>12285000</v>
      </c>
      <c r="L1027" s="191" t="s">
        <v>262</v>
      </c>
      <c r="M1027" s="191" t="s">
        <v>172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IF(OR(TH!L1027=TH!$U$7,M1027=TH!$U$7),"x","")</f>
        <v/>
      </c>
      <c r="V1027" s="52" t="str">
        <f>IF(AND(B1027&gt;='IN-NX'!$P$3,B1027&lt;='IN-NX'!$Q$3,'IN-NX'!$D$7=D1027,OR(LEFT(L1027,2)="15",AND(LEFT(M1027,2)&lt;&gt;"15",LEFT(M1027,2)&lt;&gt;"33"))),"x","")</f>
        <v/>
      </c>
      <c r="W1027" s="52" t="str">
        <f>IF(AND(OR(LEFT(TH!L1027,2)="15",LEFT(TH!M1027,2)="15"),'152-CT'!$J$8=TH!F1027),"x","")</f>
        <v/>
      </c>
      <c r="X1027" s="52" t="str">
        <f>IF(AND(OR(LEFT(TH!L1027,2)="15",LEFT(TH!M1027,2)="15"),TK!$E$7=TH!F1027),"x","")</f>
        <v/>
      </c>
      <c r="Y1027" s="52" t="str">
        <f>IF(AND(B1027&lt;=NKC!$N$8,B1027&gt;=NKC!$M$8),"x","")</f>
        <v/>
      </c>
      <c r="Z1027" s="769"/>
      <c r="AA1027" s="587"/>
    </row>
    <row r="1028" spans="1:27" ht="15.75" customHeight="1">
      <c r="A1028" s="201" t="str">
        <f>IF(B1028&lt;&gt;"",IF(AND(B1028&gt;=_TM1,B1028&lt;=_TM2,OR(TH!L1028="1111",TH!M1028="1111")),TH!D1028,""),"")</f>
        <v/>
      </c>
      <c r="B1028" s="36">
        <f t="shared" si="44"/>
        <v>12</v>
      </c>
      <c r="C1028" s="188">
        <f t="shared" si="45"/>
        <v>41625</v>
      </c>
      <c r="D1028" s="181" t="s">
        <v>1069</v>
      </c>
      <c r="E1028" s="188">
        <v>41625</v>
      </c>
      <c r="F1028" s="189" t="s">
        <v>693</v>
      </c>
      <c r="G1028" s="189" t="s">
        <v>1002</v>
      </c>
      <c r="H1028" s="190" t="s">
        <v>863</v>
      </c>
      <c r="I1028" s="249"/>
      <c r="J1028" s="249"/>
      <c r="K1028" s="38">
        <v>1228500</v>
      </c>
      <c r="L1028" s="191" t="s">
        <v>262</v>
      </c>
      <c r="M1028" s="191" t="s">
        <v>425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IF(OR(TH!L1028=TH!$U$7,M1028=TH!$U$7),"x","")</f>
        <v/>
      </c>
      <c r="V1028" s="52" t="str">
        <f>IF(AND(B1028&gt;='IN-NX'!$P$3,B1028&lt;='IN-NX'!$Q$3,'IN-NX'!$D$7=D1028,OR(LEFT(L1028,2)="15",AND(LEFT(M1028,2)&lt;&gt;"15",LEFT(M1028,2)&lt;&gt;"33"))),"x","")</f>
        <v/>
      </c>
      <c r="W1028" s="52" t="str">
        <f>IF(AND(OR(LEFT(TH!L1028,2)="15",LEFT(TH!M1028,2)="15"),'152-CT'!$J$8=TH!F1028),"x","")</f>
        <v/>
      </c>
      <c r="X1028" s="52" t="str">
        <f>IF(AND(OR(LEFT(TH!L1028,2)="15",LEFT(TH!M1028,2)="15"),TK!$E$7=TH!F1028),"x","")</f>
        <v/>
      </c>
      <c r="Y1028" s="52" t="str">
        <f>IF(AND(B1028&lt;=NKC!$N$8,B1028&gt;=NKC!$M$8),"x","")</f>
        <v/>
      </c>
      <c r="Z1028" s="769"/>
      <c r="AA1028" s="587" t="str">
        <f>IF(VLOOKUP(H1028,DS_131,1,0)&lt;&gt;"","","x")</f>
        <v/>
      </c>
    </row>
    <row r="1029" spans="1:27" ht="15.75" customHeight="1">
      <c r="A1029" s="201" t="str">
        <f>IF(B1029&lt;&gt;"",IF(AND(B1029&gt;=_TM1,B1029&lt;=_TM2,OR(TH!L1029="1111",TH!M1029="1111")),TH!D1029,""),"")</f>
        <v/>
      </c>
      <c r="B1029" s="36">
        <f t="shared" si="44"/>
        <v>12</v>
      </c>
      <c r="C1029" s="188">
        <f t="shared" si="45"/>
        <v>41626</v>
      </c>
      <c r="D1029" s="181" t="s">
        <v>1070</v>
      </c>
      <c r="E1029" s="188">
        <v>41626</v>
      </c>
      <c r="F1029" s="189" t="s">
        <v>805</v>
      </c>
      <c r="G1029" s="189" t="s">
        <v>1003</v>
      </c>
      <c r="H1029" s="190" t="s">
        <v>710</v>
      </c>
      <c r="I1029" s="249">
        <v>505</v>
      </c>
      <c r="J1029" s="249">
        <v>10500</v>
      </c>
      <c r="K1029" s="38">
        <f>ROUND(I1029*J1029,0)</f>
        <v>5302500</v>
      </c>
      <c r="L1029" s="191" t="s">
        <v>262</v>
      </c>
      <c r="M1029" s="191" t="s">
        <v>172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IF(OR(TH!L1029=TH!$U$7,M1029=TH!$U$7),"x","")</f>
        <v/>
      </c>
      <c r="V1029" s="52" t="str">
        <f>IF(AND(B1029&gt;='IN-NX'!$P$3,B1029&lt;='IN-NX'!$Q$3,'IN-NX'!$D$7=D1029,OR(LEFT(L1029,2)="15",AND(LEFT(M1029,2)&lt;&gt;"15",LEFT(M1029,2)&lt;&gt;"33"))),"x","")</f>
        <v/>
      </c>
      <c r="W1029" s="52" t="str">
        <f>IF(AND(OR(LEFT(TH!L1029,2)="15",LEFT(TH!M1029,2)="15"),'152-CT'!$J$8=TH!F1029),"x","")</f>
        <v/>
      </c>
      <c r="X1029" s="52" t="str">
        <f>IF(AND(OR(LEFT(TH!L1029,2)="15",LEFT(TH!M1029,2)="15"),TK!$E$7=TH!F1029),"x","")</f>
        <v/>
      </c>
      <c r="Y1029" s="52" t="str">
        <f>IF(AND(B1029&lt;=NKC!$N$8,B1029&gt;=NKC!$M$8),"x","")</f>
        <v/>
      </c>
      <c r="Z1029" s="769"/>
      <c r="AA1029" s="587"/>
    </row>
    <row r="1030" spans="1:27" ht="15.75" customHeight="1">
      <c r="A1030" s="201" t="str">
        <f>IF(B1030&lt;&gt;"",IF(AND(B1030&gt;=_TM1,B1030&lt;=_TM2,OR(TH!L1030="1111",TH!M1030="1111")),TH!D1030,""),"")</f>
        <v/>
      </c>
      <c r="B1030" s="36">
        <f t="shared" si="44"/>
        <v>12</v>
      </c>
      <c r="C1030" s="188">
        <f t="shared" si="45"/>
        <v>41626</v>
      </c>
      <c r="D1030" s="181" t="s">
        <v>1070</v>
      </c>
      <c r="E1030" s="188">
        <v>41626</v>
      </c>
      <c r="F1030" s="189" t="s">
        <v>693</v>
      </c>
      <c r="G1030" s="189" t="s">
        <v>1003</v>
      </c>
      <c r="H1030" s="190" t="s">
        <v>710</v>
      </c>
      <c r="I1030" s="249"/>
      <c r="J1030" s="249"/>
      <c r="K1030" s="38">
        <v>530250</v>
      </c>
      <c r="L1030" s="191" t="s">
        <v>262</v>
      </c>
      <c r="M1030" s="191" t="s">
        <v>425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IF(OR(TH!L1030=TH!$U$7,M1030=TH!$U$7),"x","")</f>
        <v/>
      </c>
      <c r="V1030" s="52" t="str">
        <f>IF(AND(B1030&gt;='IN-NX'!$P$3,B1030&lt;='IN-NX'!$Q$3,'IN-NX'!$D$7=D1030,OR(LEFT(L1030,2)="15",AND(LEFT(M1030,2)&lt;&gt;"15",LEFT(M1030,2)&lt;&gt;"33"))),"x","")</f>
        <v/>
      </c>
      <c r="W1030" s="52" t="str">
        <f>IF(AND(OR(LEFT(TH!L1030,2)="15",LEFT(TH!M1030,2)="15"),'152-CT'!$J$8=TH!F1030),"x","")</f>
        <v/>
      </c>
      <c r="X1030" s="52" t="str">
        <f>IF(AND(OR(LEFT(TH!L1030,2)="15",LEFT(TH!M1030,2)="15"),TK!$E$7=TH!F1030),"x","")</f>
        <v/>
      </c>
      <c r="Y1030" s="52" t="str">
        <f>IF(AND(B1030&lt;=NKC!$N$8,B1030&gt;=NKC!$M$8),"x","")</f>
        <v/>
      </c>
      <c r="Z1030" s="769"/>
      <c r="AA1030" s="587" t="str">
        <f>IF(VLOOKUP(H1030,DS_131,1,0)&lt;&gt;"","","x")</f>
        <v/>
      </c>
    </row>
    <row r="1031" spans="1:27" ht="15.75" customHeight="1">
      <c r="A1031" s="201" t="str">
        <f>IF(B1031&lt;&gt;"",IF(AND(B1031&gt;=_TM1,B1031&lt;=_TM2,OR(TH!L1031="1111",TH!M1031="1111")),TH!D1031,""),"")</f>
        <v>T29</v>
      </c>
      <c r="B1031" s="36">
        <f t="shared" si="44"/>
        <v>12</v>
      </c>
      <c r="C1031" s="188">
        <f t="shared" si="45"/>
        <v>41626</v>
      </c>
      <c r="D1031" s="181" t="s">
        <v>1287</v>
      </c>
      <c r="E1031" s="188">
        <v>41626</v>
      </c>
      <c r="F1031" s="186" t="s">
        <v>337</v>
      </c>
      <c r="G1031" s="189" t="s">
        <v>1327</v>
      </c>
      <c r="H1031" s="190" t="s">
        <v>710</v>
      </c>
      <c r="I1031" s="249"/>
      <c r="J1031" s="249"/>
      <c r="K1031" s="38">
        <v>17382750</v>
      </c>
      <c r="L1031" s="191" t="s">
        <v>47</v>
      </c>
      <c r="M1031" s="191" t="s">
        <v>262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IF(OR(TH!L1031=TH!$U$7,M1031=TH!$U$7),"x","")</f>
        <v/>
      </c>
      <c r="V1031" s="52" t="str">
        <f>IF(AND(B1031&gt;='IN-NX'!$P$3,B1031&lt;='IN-NX'!$Q$3,'IN-NX'!$D$7=D1031,OR(LEFT(L1031,2)="15",AND(LEFT(M1031,2)&lt;&gt;"15",LEFT(M1031,2)&lt;&gt;"33"))),"x","")</f>
        <v/>
      </c>
      <c r="W1031" s="52" t="str">
        <f>IF(AND(OR(LEFT(TH!L1031,2)="15",LEFT(TH!M1031,2)="15"),'152-CT'!$J$8=TH!F1031),"x","")</f>
        <v/>
      </c>
      <c r="X1031" s="52" t="str">
        <f>IF(AND(OR(LEFT(TH!L1031,2)="15",LEFT(TH!M1031,2)="15"),TK!$E$7=TH!F1031),"x","")</f>
        <v/>
      </c>
      <c r="Y1031" s="52" t="str">
        <f>IF(AND(B1031&lt;=NKC!$N$8,B1031&gt;=NKC!$M$8),"x","")</f>
        <v/>
      </c>
      <c r="Z1031" s="769"/>
      <c r="AA1031" s="587" t="str">
        <f>IF(VLOOKUP(H1031,DS_131,1,0)&lt;&gt;"","","x")</f>
        <v/>
      </c>
    </row>
    <row r="1032" spans="1:27" ht="15.75" customHeight="1">
      <c r="A1032" s="201" t="str">
        <f>IF(B1032&lt;&gt;"",IF(AND(B1032&gt;=_TM1,B1032&lt;=_TM2,OR(TH!L1032="1111",TH!M1032="1111")),TH!D1032,""),"")</f>
        <v/>
      </c>
      <c r="B1032" s="36">
        <f t="shared" si="44"/>
        <v>12</v>
      </c>
      <c r="C1032" s="188">
        <f t="shared" si="45"/>
        <v>41628</v>
      </c>
      <c r="D1032" s="181" t="s">
        <v>417</v>
      </c>
      <c r="E1032" s="188">
        <v>41628</v>
      </c>
      <c r="F1032" s="189" t="s">
        <v>685</v>
      </c>
      <c r="G1032" s="480" t="s">
        <v>686</v>
      </c>
      <c r="H1032" s="190" t="s">
        <v>665</v>
      </c>
      <c r="I1032" s="249">
        <v>830</v>
      </c>
      <c r="J1032" s="249">
        <v>21672</v>
      </c>
      <c r="K1032" s="38">
        <f>ROUND(I1032*J1032,0)</f>
        <v>17987760</v>
      </c>
      <c r="L1032" s="191" t="s">
        <v>156</v>
      </c>
      <c r="M1032" s="191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IF(OR(TH!L1032=TH!$U$7,M1032=TH!$U$7),"x","")</f>
        <v/>
      </c>
      <c r="V1032" s="52" t="str">
        <f>IF(AND(B1032&gt;='IN-NX'!$P$3,B1032&lt;='IN-NX'!$Q$3,'IN-NX'!$D$7=D1032,OR(LEFT(L1032,2)="15",AND(LEFT(M1032,2)&lt;&gt;"15",LEFT(M1032,2)&lt;&gt;"33"))),"x","")</f>
        <v/>
      </c>
      <c r="W1032" s="52" t="str">
        <f>IF(AND(OR(LEFT(TH!L1032,2)="15",LEFT(TH!M1032,2)="15"),'152-CT'!$J$8=TH!F1032),"x","")</f>
        <v/>
      </c>
      <c r="X1032" s="52" t="str">
        <f>IF(AND(OR(LEFT(TH!L1032,2)="15",LEFT(TH!M1032,2)="15"),TK!$E$7=TH!F1032),"x","")</f>
        <v/>
      </c>
      <c r="Y1032" s="52" t="str">
        <f>IF(AND(B1032&lt;=NKC!$N$8,B1032&gt;=NKC!$M$8),"x","")</f>
        <v/>
      </c>
      <c r="Z1032" s="587" t="s">
        <v>1336</v>
      </c>
    </row>
    <row r="1033" spans="1:27" ht="15.75" customHeight="1">
      <c r="A1033" s="201" t="str">
        <f>IF(B1033&lt;&gt;"",IF(AND(B1033&gt;=_TM1,B1033&lt;=_TM2,OR(TH!L1033="1111",TH!M1033="1111")),TH!D1033,""),"")</f>
        <v/>
      </c>
      <c r="B1033" s="36">
        <f t="shared" si="44"/>
        <v>12</v>
      </c>
      <c r="C1033" s="188">
        <f t="shared" si="45"/>
        <v>41628</v>
      </c>
      <c r="D1033" s="181" t="s">
        <v>417</v>
      </c>
      <c r="E1033" s="188">
        <v>41628</v>
      </c>
      <c r="F1033" s="189" t="s">
        <v>453</v>
      </c>
      <c r="G1033" s="480" t="s">
        <v>686</v>
      </c>
      <c r="H1033" s="190" t="s">
        <v>665</v>
      </c>
      <c r="I1033" s="249"/>
      <c r="J1033" s="249"/>
      <c r="K1033" s="38">
        <v>1798776</v>
      </c>
      <c r="L1033" s="191" t="s">
        <v>9</v>
      </c>
      <c r="M1033" s="191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IF(OR(TH!L1033=TH!$U$7,M1033=TH!$U$7),"x","")</f>
        <v/>
      </c>
      <c r="V1033" s="52" t="str">
        <f>IF(AND(B1033&gt;='IN-NX'!$P$3,B1033&lt;='IN-NX'!$Q$3,'IN-NX'!$D$7=D1033,OR(LEFT(L1033,2)="15",AND(LEFT(M1033,2)&lt;&gt;"15",LEFT(M1033,2)&lt;&gt;"33"))),"x","")</f>
        <v/>
      </c>
      <c r="W1033" s="52" t="str">
        <f>IF(AND(OR(LEFT(TH!L1033,2)="15",LEFT(TH!M1033,2)="15"),'152-CT'!$J$8=TH!F1033),"x","")</f>
        <v/>
      </c>
      <c r="X1033" s="52" t="str">
        <f>IF(AND(OR(LEFT(TH!L1033,2)="15",LEFT(TH!M1033,2)="15"),TK!$E$7=TH!F1033),"x","")</f>
        <v/>
      </c>
      <c r="Y1033" s="52" t="str">
        <f>IF(AND(B1033&lt;=NKC!$N$8,B1033&gt;=NKC!$M$8),"x","")</f>
        <v/>
      </c>
      <c r="Z1033" s="587" t="s">
        <v>1336</v>
      </c>
    </row>
    <row r="1034" spans="1:27" ht="15.75" customHeight="1">
      <c r="A1034" s="201" t="str">
        <f>IF(B1034&lt;&gt;"",IF(AND(B1034&gt;=_TM1,B1034&lt;=_TM2,OR(TH!L1034="1111",TH!M1034="1111")),TH!D1034,""),"")</f>
        <v>C33</v>
      </c>
      <c r="B1034" s="36">
        <f t="shared" si="44"/>
        <v>12</v>
      </c>
      <c r="C1034" s="188">
        <f t="shared" si="45"/>
        <v>41628</v>
      </c>
      <c r="D1034" s="181" t="s">
        <v>1295</v>
      </c>
      <c r="E1034" s="188">
        <v>41628</v>
      </c>
      <c r="F1034" s="189" t="s">
        <v>367</v>
      </c>
      <c r="G1034" s="480" t="s">
        <v>686</v>
      </c>
      <c r="H1034" s="190" t="s">
        <v>665</v>
      </c>
      <c r="I1034" s="249"/>
      <c r="J1034" s="249"/>
      <c r="K1034" s="38">
        <v>19786536</v>
      </c>
      <c r="L1034" s="191" t="s">
        <v>8</v>
      </c>
      <c r="M1034" s="191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IF(OR(TH!L1034=TH!$U$7,M1034=TH!$U$7),"x","")</f>
        <v/>
      </c>
      <c r="V1034" s="52" t="str">
        <f>IF(AND(B1034&gt;='IN-NX'!$P$3,B1034&lt;='IN-NX'!$Q$3,'IN-NX'!$D$7=D1034,OR(LEFT(L1034,2)="15",AND(LEFT(M1034,2)&lt;&gt;"15",LEFT(M1034,2)&lt;&gt;"33"))),"x","")</f>
        <v/>
      </c>
      <c r="W1034" s="52" t="str">
        <f>IF(AND(OR(LEFT(TH!L1034,2)="15",LEFT(TH!M1034,2)="15"),'152-CT'!$J$8=TH!F1034),"x","")</f>
        <v/>
      </c>
      <c r="X1034" s="52" t="str">
        <f>IF(AND(OR(LEFT(TH!L1034,2)="15",LEFT(TH!M1034,2)="15"),TK!$E$7=TH!F1034),"x","")</f>
        <v/>
      </c>
      <c r="Y1034" s="52" t="str">
        <f>IF(AND(B1034&lt;=NKC!$N$8,B1034&gt;=NKC!$M$8),"x","")</f>
        <v/>
      </c>
      <c r="Z1034" s="208"/>
    </row>
    <row r="1035" spans="1:27" ht="15.75" customHeight="1">
      <c r="A1035" s="201" t="str">
        <f>IF(B1035&lt;&gt;"",IF(AND(B1035&gt;=_TM1,B1035&lt;=_TM2,OR(TH!L1035="1111",TH!M1035="1111")),TH!D1035,""),"")</f>
        <v/>
      </c>
      <c r="B1035" s="36">
        <f t="shared" si="44"/>
        <v>12</v>
      </c>
      <c r="C1035" s="188">
        <f t="shared" si="45"/>
        <v>41628</v>
      </c>
      <c r="D1035" s="181" t="s">
        <v>1071</v>
      </c>
      <c r="E1035" s="188">
        <v>41628</v>
      </c>
      <c r="F1035" s="189" t="s">
        <v>1097</v>
      </c>
      <c r="G1035" s="189" t="s">
        <v>1004</v>
      </c>
      <c r="H1035" s="7" t="s">
        <v>510</v>
      </c>
      <c r="I1035" s="249">
        <v>259</v>
      </c>
      <c r="J1035" s="249">
        <v>6400</v>
      </c>
      <c r="K1035" s="38">
        <f t="shared" ref="K1035:K1042" si="46">ROUND(I1035*J1035,0)</f>
        <v>1657600</v>
      </c>
      <c r="L1035" s="191" t="s">
        <v>262</v>
      </c>
      <c r="M1035" s="191" t="s">
        <v>172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IF(OR(TH!L1035=TH!$U$7,M1035=TH!$U$7),"x","")</f>
        <v/>
      </c>
      <c r="V1035" s="52" t="str">
        <f>IF(AND(B1035&gt;='IN-NX'!$P$3,B1035&lt;='IN-NX'!$Q$3,'IN-NX'!$D$7=D1035,OR(LEFT(L1035,2)="15",AND(LEFT(M1035,2)&lt;&gt;"15",LEFT(M1035,2)&lt;&gt;"33"))),"x","")</f>
        <v/>
      </c>
      <c r="W1035" s="52" t="str">
        <f>IF(AND(OR(LEFT(TH!L1035,2)="15",LEFT(TH!M1035,2)="15"),'152-CT'!$J$8=TH!F1035),"x","")</f>
        <v/>
      </c>
      <c r="X1035" s="52" t="str">
        <f>IF(AND(OR(LEFT(TH!L1035,2)="15",LEFT(TH!M1035,2)="15"),TK!$E$7=TH!F1035),"x","")</f>
        <v/>
      </c>
      <c r="Y1035" s="52" t="str">
        <f>IF(AND(B1035&lt;=NKC!$N$8,B1035&gt;=NKC!$M$8),"x","")</f>
        <v/>
      </c>
      <c r="Z1035" s="769"/>
      <c r="AA1035" s="587"/>
    </row>
    <row r="1036" spans="1:27" ht="15.75" customHeight="1">
      <c r="A1036" s="201" t="str">
        <f>IF(B1036&lt;&gt;"",IF(AND(B1036&gt;=_TM1,B1036&lt;=_TM2,OR(TH!L1036="1111",TH!M1036="1111")),TH!D1036,""),"")</f>
        <v/>
      </c>
      <c r="B1036" s="36">
        <f t="shared" si="44"/>
        <v>12</v>
      </c>
      <c r="C1036" s="188">
        <f t="shared" si="45"/>
        <v>41628</v>
      </c>
      <c r="D1036" s="181" t="s">
        <v>1071</v>
      </c>
      <c r="E1036" s="188">
        <v>41628</v>
      </c>
      <c r="F1036" s="189" t="s">
        <v>1098</v>
      </c>
      <c r="G1036" s="189" t="s">
        <v>1004</v>
      </c>
      <c r="H1036" s="7" t="s">
        <v>510</v>
      </c>
      <c r="I1036" s="249">
        <v>103</v>
      </c>
      <c r="J1036" s="249">
        <v>13500</v>
      </c>
      <c r="K1036" s="38">
        <f t="shared" si="46"/>
        <v>1390500</v>
      </c>
      <c r="L1036" s="191" t="s">
        <v>262</v>
      </c>
      <c r="M1036" s="191" t="s">
        <v>172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IF(OR(TH!L1036=TH!$U$7,M1036=TH!$U$7),"x","")</f>
        <v/>
      </c>
      <c r="V1036" s="52" t="str">
        <f>IF(AND(B1036&gt;='IN-NX'!$P$3,B1036&lt;='IN-NX'!$Q$3,'IN-NX'!$D$7=D1036,OR(LEFT(L1036,2)="15",AND(LEFT(M1036,2)&lt;&gt;"15",LEFT(M1036,2)&lt;&gt;"33"))),"x","")</f>
        <v/>
      </c>
      <c r="W1036" s="52" t="str">
        <f>IF(AND(OR(LEFT(TH!L1036,2)="15",LEFT(TH!M1036,2)="15"),'152-CT'!$J$8=TH!F1036),"x","")</f>
        <v/>
      </c>
      <c r="X1036" s="52" t="str">
        <f>IF(AND(OR(LEFT(TH!L1036,2)="15",LEFT(TH!M1036,2)="15"),TK!$E$7=TH!F1036),"x","")</f>
        <v/>
      </c>
      <c r="Y1036" s="52" t="str">
        <f>IF(AND(B1036&lt;=NKC!$N$8,B1036&gt;=NKC!$M$8),"x","")</f>
        <v/>
      </c>
      <c r="Z1036" s="769"/>
      <c r="AA1036" s="587"/>
    </row>
    <row r="1037" spans="1:27" ht="15.75" customHeight="1">
      <c r="A1037" s="201" t="str">
        <f>IF(B1037&lt;&gt;"",IF(AND(B1037&gt;=_TM1,B1037&lt;=_TM2,OR(TH!L1037="1111",TH!M1037="1111")),TH!D1037,""),"")</f>
        <v/>
      </c>
      <c r="B1037" s="36">
        <f t="shared" si="44"/>
        <v>12</v>
      </c>
      <c r="C1037" s="188">
        <f t="shared" si="45"/>
        <v>41628</v>
      </c>
      <c r="D1037" s="181" t="s">
        <v>1071</v>
      </c>
      <c r="E1037" s="188">
        <v>41628</v>
      </c>
      <c r="F1037" s="189" t="s">
        <v>1099</v>
      </c>
      <c r="G1037" s="189" t="s">
        <v>1004</v>
      </c>
      <c r="H1037" s="7" t="s">
        <v>510</v>
      </c>
      <c r="I1037" s="249">
        <v>283</v>
      </c>
      <c r="J1037" s="249">
        <v>9400</v>
      </c>
      <c r="K1037" s="38">
        <f t="shared" si="46"/>
        <v>2660200</v>
      </c>
      <c r="L1037" s="191" t="s">
        <v>262</v>
      </c>
      <c r="M1037" s="191" t="s">
        <v>172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IF(OR(TH!L1037=TH!$U$7,M1037=TH!$U$7),"x","")</f>
        <v/>
      </c>
      <c r="V1037" s="52" t="str">
        <f>IF(AND(B1037&gt;='IN-NX'!$P$3,B1037&lt;='IN-NX'!$Q$3,'IN-NX'!$D$7=D1037,OR(LEFT(L1037,2)="15",AND(LEFT(M1037,2)&lt;&gt;"15",LEFT(M1037,2)&lt;&gt;"33"))),"x","")</f>
        <v/>
      </c>
      <c r="W1037" s="52" t="str">
        <f>IF(AND(OR(LEFT(TH!L1037,2)="15",LEFT(TH!M1037,2)="15"),'152-CT'!$J$8=TH!F1037),"x","")</f>
        <v/>
      </c>
      <c r="X1037" s="52" t="str">
        <f>IF(AND(OR(LEFT(TH!L1037,2)="15",LEFT(TH!M1037,2)="15"),TK!$E$7=TH!F1037),"x","")</f>
        <v/>
      </c>
      <c r="Y1037" s="52" t="str">
        <f>IF(AND(B1037&lt;=NKC!$N$8,B1037&gt;=NKC!$M$8),"x","")</f>
        <v/>
      </c>
      <c r="Z1037" s="769"/>
      <c r="AA1037" s="587"/>
    </row>
    <row r="1038" spans="1:27" ht="15.75" customHeight="1">
      <c r="A1038" s="201" t="str">
        <f>IF(B1038&lt;&gt;"",IF(AND(B1038&gt;=_TM1,B1038&lt;=_TM2,OR(TH!L1038="1111",TH!M1038="1111")),TH!D1038,""),"")</f>
        <v/>
      </c>
      <c r="B1038" s="36">
        <f t="shared" si="44"/>
        <v>12</v>
      </c>
      <c r="C1038" s="188">
        <f t="shared" si="45"/>
        <v>41628</v>
      </c>
      <c r="D1038" s="181" t="s">
        <v>1071</v>
      </c>
      <c r="E1038" s="188">
        <v>41628</v>
      </c>
      <c r="F1038" s="189" t="s">
        <v>1100</v>
      </c>
      <c r="G1038" s="189" t="s">
        <v>1004</v>
      </c>
      <c r="H1038" s="7" t="s">
        <v>510</v>
      </c>
      <c r="I1038" s="249">
        <v>203</v>
      </c>
      <c r="J1038" s="249">
        <v>12900</v>
      </c>
      <c r="K1038" s="38">
        <f t="shared" si="46"/>
        <v>2618700</v>
      </c>
      <c r="L1038" s="191" t="s">
        <v>262</v>
      </c>
      <c r="M1038" s="191" t="s">
        <v>172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IF(OR(TH!L1038=TH!$U$7,M1038=TH!$U$7),"x","")</f>
        <v/>
      </c>
      <c r="V1038" s="52" t="str">
        <f>IF(AND(B1038&gt;='IN-NX'!$P$3,B1038&lt;='IN-NX'!$Q$3,'IN-NX'!$D$7=D1038,OR(LEFT(L1038,2)="15",AND(LEFT(M1038,2)&lt;&gt;"15",LEFT(M1038,2)&lt;&gt;"33"))),"x","")</f>
        <v/>
      </c>
      <c r="W1038" s="52" t="str">
        <f>IF(AND(OR(LEFT(TH!L1038,2)="15",LEFT(TH!M1038,2)="15"),'152-CT'!$J$8=TH!F1038),"x","")</f>
        <v/>
      </c>
      <c r="X1038" s="52" t="str">
        <f>IF(AND(OR(LEFT(TH!L1038,2)="15",LEFT(TH!M1038,2)="15"),TK!$E$7=TH!F1038),"x","")</f>
        <v/>
      </c>
      <c r="Y1038" s="52" t="str">
        <f>IF(AND(B1038&lt;=NKC!$N$8,B1038&gt;=NKC!$M$8),"x","")</f>
        <v/>
      </c>
      <c r="Z1038" s="769"/>
      <c r="AA1038" s="587"/>
    </row>
    <row r="1039" spans="1:27" ht="15.75" customHeight="1">
      <c r="A1039" s="201" t="str">
        <f>IF(B1039&lt;&gt;"",IF(AND(B1039&gt;=_TM1,B1039&lt;=_TM2,OR(TH!L1039="1111",TH!M1039="1111")),TH!D1039,""),"")</f>
        <v/>
      </c>
      <c r="B1039" s="36">
        <f t="shared" si="44"/>
        <v>12</v>
      </c>
      <c r="C1039" s="188">
        <f t="shared" si="45"/>
        <v>41628</v>
      </c>
      <c r="D1039" s="181" t="s">
        <v>1071</v>
      </c>
      <c r="E1039" s="188">
        <v>41628</v>
      </c>
      <c r="F1039" s="189" t="s">
        <v>1101</v>
      </c>
      <c r="G1039" s="189" t="s">
        <v>1004</v>
      </c>
      <c r="H1039" s="7" t="s">
        <v>510</v>
      </c>
      <c r="I1039" s="249">
        <v>238</v>
      </c>
      <c r="J1039" s="249">
        <v>7000</v>
      </c>
      <c r="K1039" s="38">
        <f t="shared" si="46"/>
        <v>1666000</v>
      </c>
      <c r="L1039" s="191" t="s">
        <v>262</v>
      </c>
      <c r="M1039" s="191" t="s">
        <v>172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IF(OR(TH!L1039=TH!$U$7,M1039=TH!$U$7),"x","")</f>
        <v/>
      </c>
      <c r="V1039" s="52" t="str">
        <f>IF(AND(B1039&gt;='IN-NX'!$P$3,B1039&lt;='IN-NX'!$Q$3,'IN-NX'!$D$7=D1039,OR(LEFT(L1039,2)="15",AND(LEFT(M1039,2)&lt;&gt;"15",LEFT(M1039,2)&lt;&gt;"33"))),"x","")</f>
        <v/>
      </c>
      <c r="W1039" s="52" t="str">
        <f>IF(AND(OR(LEFT(TH!L1039,2)="15",LEFT(TH!M1039,2)="15"),'152-CT'!$J$8=TH!F1039),"x","")</f>
        <v/>
      </c>
      <c r="X1039" s="52" t="str">
        <f>IF(AND(OR(LEFT(TH!L1039,2)="15",LEFT(TH!M1039,2)="15"),TK!$E$7=TH!F1039),"x","")</f>
        <v/>
      </c>
      <c r="Y1039" s="52" t="str">
        <f>IF(AND(B1039&lt;=NKC!$N$8,B1039&gt;=NKC!$M$8),"x","")</f>
        <v/>
      </c>
      <c r="AA1039" s="587"/>
    </row>
    <row r="1040" spans="1:27" ht="15.75" customHeight="1">
      <c r="A1040" s="201" t="str">
        <f>IF(B1040&lt;&gt;"",IF(AND(B1040&gt;=_TM1,B1040&lt;=_TM2,OR(TH!L1040="1111",TH!M1040="1111")),TH!D1040,""),"")</f>
        <v/>
      </c>
      <c r="B1040" s="36">
        <f t="shared" si="44"/>
        <v>12</v>
      </c>
      <c r="C1040" s="188">
        <f t="shared" si="45"/>
        <v>41628</v>
      </c>
      <c r="D1040" s="181" t="s">
        <v>1071</v>
      </c>
      <c r="E1040" s="188">
        <v>41628</v>
      </c>
      <c r="F1040" s="189" t="s">
        <v>852</v>
      </c>
      <c r="G1040" s="189" t="s">
        <v>1004</v>
      </c>
      <c r="H1040" s="7" t="s">
        <v>510</v>
      </c>
      <c r="I1040" s="249">
        <v>441</v>
      </c>
      <c r="J1040" s="249">
        <v>8600</v>
      </c>
      <c r="K1040" s="38">
        <f t="shared" si="46"/>
        <v>3792600</v>
      </c>
      <c r="L1040" s="191" t="s">
        <v>262</v>
      </c>
      <c r="M1040" s="191" t="s">
        <v>172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IF(OR(TH!L1040=TH!$U$7,M1040=TH!$U$7),"x","")</f>
        <v/>
      </c>
      <c r="V1040" s="52" t="str">
        <f>IF(AND(B1040&gt;='IN-NX'!$P$3,B1040&lt;='IN-NX'!$Q$3,'IN-NX'!$D$7=D1040,OR(LEFT(L1040,2)="15",AND(LEFT(M1040,2)&lt;&gt;"15",LEFT(M1040,2)&lt;&gt;"33"))),"x","")</f>
        <v/>
      </c>
      <c r="W1040" s="52" t="str">
        <f>IF(AND(OR(LEFT(TH!L1040,2)="15",LEFT(TH!M1040,2)="15"),'152-CT'!$J$8=TH!F1040),"x","")</f>
        <v/>
      </c>
      <c r="X1040" s="52" t="str">
        <f>IF(AND(OR(LEFT(TH!L1040,2)="15",LEFT(TH!M1040,2)="15"),TK!$E$7=TH!F1040),"x","")</f>
        <v/>
      </c>
      <c r="Y1040" s="52" t="str">
        <f>IF(AND(B1040&lt;=NKC!$N$8,B1040&gt;=NKC!$M$8),"x","")</f>
        <v/>
      </c>
      <c r="AA1040" s="587"/>
    </row>
    <row r="1041" spans="1:27" ht="15.75" customHeight="1">
      <c r="A1041" s="201" t="str">
        <f>IF(B1041&lt;&gt;"",IF(AND(B1041&gt;=_TM1,B1041&lt;=_TM2,OR(TH!L1041="1111",TH!M1041="1111")),TH!D1041,""),"")</f>
        <v/>
      </c>
      <c r="B1041" s="36">
        <f t="shared" si="44"/>
        <v>12</v>
      </c>
      <c r="C1041" s="188">
        <f t="shared" si="45"/>
        <v>41628</v>
      </c>
      <c r="D1041" s="181" t="s">
        <v>1071</v>
      </c>
      <c r="E1041" s="188">
        <v>41628</v>
      </c>
      <c r="F1041" s="189" t="s">
        <v>1005</v>
      </c>
      <c r="G1041" s="189" t="s">
        <v>1004</v>
      </c>
      <c r="H1041" s="7" t="s">
        <v>510</v>
      </c>
      <c r="I1041" s="249">
        <v>104</v>
      </c>
      <c r="J1041" s="249">
        <v>8000</v>
      </c>
      <c r="K1041" s="38">
        <f t="shared" si="46"/>
        <v>832000</v>
      </c>
      <c r="L1041" s="191" t="s">
        <v>262</v>
      </c>
      <c r="M1041" s="191" t="s">
        <v>172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IF(OR(TH!L1041=TH!$U$7,M1041=TH!$U$7),"x","")</f>
        <v/>
      </c>
      <c r="V1041" s="52" t="str">
        <f>IF(AND(B1041&gt;='IN-NX'!$P$3,B1041&lt;='IN-NX'!$Q$3,'IN-NX'!$D$7=D1041,OR(LEFT(L1041,2)="15",AND(LEFT(M1041,2)&lt;&gt;"15",LEFT(M1041,2)&lt;&gt;"33"))),"x","")</f>
        <v/>
      </c>
      <c r="W1041" s="52" t="str">
        <f>IF(AND(OR(LEFT(TH!L1041,2)="15",LEFT(TH!M1041,2)="15"),'152-CT'!$J$8=TH!F1041),"x","")</f>
        <v/>
      </c>
      <c r="X1041" s="52" t="str">
        <f>IF(AND(OR(LEFT(TH!L1041,2)="15",LEFT(TH!M1041,2)="15"),TK!$E$7=TH!F1041),"x","")</f>
        <v/>
      </c>
      <c r="Y1041" s="52" t="str">
        <f>IF(AND(B1041&lt;=NKC!$N$8,B1041&gt;=NKC!$M$8),"x","")</f>
        <v/>
      </c>
      <c r="AA1041" s="587"/>
    </row>
    <row r="1042" spans="1:27" ht="15.75" customHeight="1">
      <c r="A1042" s="201" t="str">
        <f>IF(B1042&lt;&gt;"",IF(AND(B1042&gt;=_TM1,B1042&lt;=_TM2,OR(TH!L1042="1111",TH!M1042="1111")),TH!D1042,""),"")</f>
        <v/>
      </c>
      <c r="B1042" s="36">
        <f t="shared" si="44"/>
        <v>12</v>
      </c>
      <c r="C1042" s="188">
        <f t="shared" si="45"/>
        <v>41628</v>
      </c>
      <c r="D1042" s="181" t="s">
        <v>1071</v>
      </c>
      <c r="E1042" s="188">
        <v>41628</v>
      </c>
      <c r="F1042" s="189" t="s">
        <v>811</v>
      </c>
      <c r="G1042" s="189" t="s">
        <v>1004</v>
      </c>
      <c r="H1042" s="7" t="s">
        <v>510</v>
      </c>
      <c r="I1042" s="249">
        <v>102</v>
      </c>
      <c r="J1042" s="249">
        <v>10500</v>
      </c>
      <c r="K1042" s="38">
        <f t="shared" si="46"/>
        <v>1071000</v>
      </c>
      <c r="L1042" s="191" t="s">
        <v>262</v>
      </c>
      <c r="M1042" s="191" t="s">
        <v>172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IF(OR(TH!L1042=TH!$U$7,M1042=TH!$U$7),"x","")</f>
        <v/>
      </c>
      <c r="V1042" s="52" t="str">
        <f>IF(AND(B1042&gt;='IN-NX'!$P$3,B1042&lt;='IN-NX'!$Q$3,'IN-NX'!$D$7=D1042,OR(LEFT(L1042,2)="15",AND(LEFT(M1042,2)&lt;&gt;"15",LEFT(M1042,2)&lt;&gt;"33"))),"x","")</f>
        <v/>
      </c>
      <c r="W1042" s="52" t="str">
        <f>IF(AND(OR(LEFT(TH!L1042,2)="15",LEFT(TH!M1042,2)="15"),'152-CT'!$J$8=TH!F1042),"x","")</f>
        <v/>
      </c>
      <c r="X1042" s="52" t="str">
        <f>IF(AND(OR(LEFT(TH!L1042,2)="15",LEFT(TH!M1042,2)="15"),TK!$E$7=TH!F1042),"x","")</f>
        <v/>
      </c>
      <c r="Y1042" s="52" t="str">
        <f>IF(AND(B1042&lt;=NKC!$N$8,B1042&gt;=NKC!$M$8),"x","")</f>
        <v/>
      </c>
      <c r="AA1042" s="587"/>
    </row>
    <row r="1043" spans="1:27" ht="15.75" customHeight="1">
      <c r="A1043" s="201" t="str">
        <f>IF(B1043&lt;&gt;"",IF(AND(B1043&gt;=_TM1,B1043&lt;=_TM2,OR(TH!L1043="1111",TH!M1043="1111")),TH!D1043,""),"")</f>
        <v/>
      </c>
      <c r="B1043" s="36">
        <f t="shared" si="44"/>
        <v>12</v>
      </c>
      <c r="C1043" s="188">
        <f t="shared" si="45"/>
        <v>41628</v>
      </c>
      <c r="D1043" s="181" t="s">
        <v>1071</v>
      </c>
      <c r="E1043" s="188">
        <v>41628</v>
      </c>
      <c r="F1043" s="189" t="s">
        <v>693</v>
      </c>
      <c r="G1043" s="189" t="s">
        <v>1004</v>
      </c>
      <c r="H1043" s="7" t="s">
        <v>510</v>
      </c>
      <c r="I1043" s="249"/>
      <c r="J1043" s="249"/>
      <c r="K1043" s="38">
        <v>1568860</v>
      </c>
      <c r="L1043" s="191" t="s">
        <v>262</v>
      </c>
      <c r="M1043" s="191" t="s">
        <v>425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IF(OR(TH!L1043=TH!$U$7,M1043=TH!$U$7),"x","")</f>
        <v/>
      </c>
      <c r="V1043" s="52" t="str">
        <f>IF(AND(B1043&gt;='IN-NX'!$P$3,B1043&lt;='IN-NX'!$Q$3,'IN-NX'!$D$7=D1043,OR(LEFT(L1043,2)="15",AND(LEFT(M1043,2)&lt;&gt;"15",LEFT(M1043,2)&lt;&gt;"33"))),"x","")</f>
        <v/>
      </c>
      <c r="W1043" s="52" t="str">
        <f>IF(AND(OR(LEFT(TH!L1043,2)="15",LEFT(TH!M1043,2)="15"),'152-CT'!$J$8=TH!F1043),"x","")</f>
        <v/>
      </c>
      <c r="X1043" s="52" t="str">
        <f>IF(AND(OR(LEFT(TH!L1043,2)="15",LEFT(TH!M1043,2)="15"),TK!$E$7=TH!F1043),"x","")</f>
        <v/>
      </c>
      <c r="Y1043" s="52" t="str">
        <f>IF(AND(B1043&lt;=NKC!$N$8,B1043&gt;=NKC!$M$8),"x","")</f>
        <v/>
      </c>
      <c r="AA1043" s="587" t="str">
        <f>IF(VLOOKUP(H1043,DS_131,1,0)&lt;&gt;"","","x")</f>
        <v/>
      </c>
    </row>
    <row r="1044" spans="1:27" ht="15.75" customHeight="1">
      <c r="A1044" s="201" t="str">
        <f>IF(B1044&lt;&gt;"",IF(AND(B1044&gt;=_TM1,B1044&lt;=_TM2,OR(TH!L1044="1111",TH!M1044="1111")),TH!D1044,""),"")</f>
        <v/>
      </c>
      <c r="B1044" s="36">
        <f t="shared" si="44"/>
        <v>12</v>
      </c>
      <c r="C1044" s="188">
        <f t="shared" si="45"/>
        <v>41629</v>
      </c>
      <c r="D1044" s="181" t="s">
        <v>418</v>
      </c>
      <c r="E1044" s="188">
        <v>41629</v>
      </c>
      <c r="F1044" s="189" t="s">
        <v>685</v>
      </c>
      <c r="G1044" s="480" t="s">
        <v>687</v>
      </c>
      <c r="H1044" s="190" t="s">
        <v>665</v>
      </c>
      <c r="I1044" s="249">
        <v>750</v>
      </c>
      <c r="J1044" s="249">
        <v>22168</v>
      </c>
      <c r="K1044" s="38">
        <f>ROUND(I1044*J1044,0)</f>
        <v>16626000</v>
      </c>
      <c r="L1044" s="191" t="s">
        <v>156</v>
      </c>
      <c r="M1044" s="191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IF(OR(TH!L1044=TH!$U$7,M1044=TH!$U$7),"x","")</f>
        <v/>
      </c>
      <c r="V1044" s="52" t="str">
        <f>IF(AND(B1044&gt;='IN-NX'!$P$3,B1044&lt;='IN-NX'!$Q$3,'IN-NX'!$D$7=D1044,OR(LEFT(L1044,2)="15",AND(LEFT(M1044,2)&lt;&gt;"15",LEFT(M1044,2)&lt;&gt;"33"))),"x","")</f>
        <v/>
      </c>
      <c r="W1044" s="52" t="str">
        <f>IF(AND(OR(LEFT(TH!L1044,2)="15",LEFT(TH!M1044,2)="15"),'152-CT'!$J$8=TH!F1044),"x","")</f>
        <v/>
      </c>
      <c r="X1044" s="52" t="str">
        <f>IF(AND(OR(LEFT(TH!L1044,2)="15",LEFT(TH!M1044,2)="15"),TK!$E$7=TH!F1044),"x","")</f>
        <v/>
      </c>
      <c r="Y1044" s="52" t="str">
        <f>IF(AND(B1044&lt;=NKC!$N$8,B1044&gt;=NKC!$M$8),"x","")</f>
        <v/>
      </c>
      <c r="Z1044" s="587" t="s">
        <v>1336</v>
      </c>
    </row>
    <row r="1045" spans="1:27" ht="15.75" customHeight="1">
      <c r="A1045" s="201" t="str">
        <f>IF(B1045&lt;&gt;"",IF(AND(B1045&gt;=_TM1,B1045&lt;=_TM2,OR(TH!L1045="1111",TH!M1045="1111")),TH!D1045,""),"")</f>
        <v/>
      </c>
      <c r="B1045" s="36">
        <f t="shared" si="44"/>
        <v>12</v>
      </c>
      <c r="C1045" s="188">
        <f t="shared" si="45"/>
        <v>41629</v>
      </c>
      <c r="D1045" s="181" t="s">
        <v>418</v>
      </c>
      <c r="E1045" s="188">
        <v>41629</v>
      </c>
      <c r="F1045" s="189" t="s">
        <v>453</v>
      </c>
      <c r="G1045" s="480" t="s">
        <v>687</v>
      </c>
      <c r="H1045" s="190" t="s">
        <v>665</v>
      </c>
      <c r="I1045" s="249"/>
      <c r="J1045" s="249"/>
      <c r="K1045" s="38">
        <v>1662600</v>
      </c>
      <c r="L1045" s="191" t="s">
        <v>9</v>
      </c>
      <c r="M1045" s="191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IF(OR(TH!L1045=TH!$U$7,M1045=TH!$U$7),"x","")</f>
        <v/>
      </c>
      <c r="V1045" s="52" t="str">
        <f>IF(AND(B1045&gt;='IN-NX'!$P$3,B1045&lt;='IN-NX'!$Q$3,'IN-NX'!$D$7=D1045,OR(LEFT(L1045,2)="15",AND(LEFT(M1045,2)&lt;&gt;"15",LEFT(M1045,2)&lt;&gt;"33"))),"x","")</f>
        <v/>
      </c>
      <c r="W1045" s="52" t="str">
        <f>IF(AND(OR(LEFT(TH!L1045,2)="15",LEFT(TH!M1045,2)="15"),'152-CT'!$J$8=TH!F1045),"x","")</f>
        <v/>
      </c>
      <c r="X1045" s="52" t="str">
        <f>IF(AND(OR(LEFT(TH!L1045,2)="15",LEFT(TH!M1045,2)="15"),TK!$E$7=TH!F1045),"x","")</f>
        <v/>
      </c>
      <c r="Y1045" s="52" t="str">
        <f>IF(AND(B1045&lt;=NKC!$N$8,B1045&gt;=NKC!$M$8),"x","")</f>
        <v/>
      </c>
      <c r="Z1045" s="587" t="s">
        <v>1336</v>
      </c>
    </row>
    <row r="1046" spans="1:27" ht="15.75" customHeight="1">
      <c r="A1046" s="201" t="str">
        <f>IF(B1046&lt;&gt;"",IF(AND(B1046&gt;=_TM1,B1046&lt;=_TM2,OR(TH!L1046="1111",TH!M1046="1111")),TH!D1046,""),"")</f>
        <v>C34</v>
      </c>
      <c r="B1046" s="36">
        <f t="shared" si="44"/>
        <v>12</v>
      </c>
      <c r="C1046" s="188">
        <f t="shared" si="45"/>
        <v>41629</v>
      </c>
      <c r="D1046" s="181" t="s">
        <v>1296</v>
      </c>
      <c r="E1046" s="188">
        <v>41629</v>
      </c>
      <c r="F1046" s="189" t="s">
        <v>367</v>
      </c>
      <c r="G1046" s="480" t="s">
        <v>687</v>
      </c>
      <c r="H1046" s="190" t="s">
        <v>665</v>
      </c>
      <c r="I1046" s="249"/>
      <c r="J1046" s="249"/>
      <c r="K1046" s="38">
        <v>18288600</v>
      </c>
      <c r="L1046" s="191" t="s">
        <v>8</v>
      </c>
      <c r="M1046" s="191" t="s">
        <v>47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IF(OR(TH!L1046=TH!$U$7,M1046=TH!$U$7),"x","")</f>
        <v/>
      </c>
      <c r="V1046" s="52" t="str">
        <f>IF(AND(B1046&gt;='IN-NX'!$P$3,B1046&lt;='IN-NX'!$Q$3,'IN-NX'!$D$7=D1046,OR(LEFT(L1046,2)="15",AND(LEFT(M1046,2)&lt;&gt;"15",LEFT(M1046,2)&lt;&gt;"33"))),"x","")</f>
        <v/>
      </c>
      <c r="W1046" s="52" t="str">
        <f>IF(AND(OR(LEFT(TH!L1046,2)="15",LEFT(TH!M1046,2)="15"),'152-CT'!$J$8=TH!F1046),"x","")</f>
        <v/>
      </c>
      <c r="X1046" s="52" t="str">
        <f>IF(AND(OR(LEFT(TH!L1046,2)="15",LEFT(TH!M1046,2)="15"),TK!$E$7=TH!F1046),"x","")</f>
        <v/>
      </c>
      <c r="Y1046" s="52" t="str">
        <f>IF(AND(B1046&lt;=NKC!$N$8,B1046&gt;=NKC!$M$8),"x","")</f>
        <v/>
      </c>
      <c r="Z1046" s="208"/>
    </row>
    <row r="1047" spans="1:27" ht="15.75" customHeight="1">
      <c r="A1047" s="201" t="str">
        <f>IF(B1047&lt;&gt;"",IF(AND(B1047&gt;=_TM1,B1047&lt;=_TM2,OR(TH!L1047="1111",TH!M1047="1111")),TH!D1047,""),"")</f>
        <v/>
      </c>
      <c r="B1047" s="36">
        <f t="shared" si="44"/>
        <v>12</v>
      </c>
      <c r="C1047" s="188">
        <f t="shared" si="45"/>
        <v>41631</v>
      </c>
      <c r="D1047" s="181" t="s">
        <v>1072</v>
      </c>
      <c r="E1047" s="188">
        <v>41631</v>
      </c>
      <c r="F1047" s="189" t="s">
        <v>1122</v>
      </c>
      <c r="G1047" s="189" t="s">
        <v>1006</v>
      </c>
      <c r="H1047" s="7" t="s">
        <v>507</v>
      </c>
      <c r="I1047" s="249">
        <v>1520</v>
      </c>
      <c r="J1047" s="249">
        <v>4650</v>
      </c>
      <c r="K1047" s="38">
        <f>ROUND(I1047*J1047,0)</f>
        <v>7068000</v>
      </c>
      <c r="L1047" s="191" t="s">
        <v>262</v>
      </c>
      <c r="M1047" s="191" t="s">
        <v>172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IF(OR(TH!L1047=TH!$U$7,M1047=TH!$U$7),"x","")</f>
        <v/>
      </c>
      <c r="V1047" s="52" t="str">
        <f>IF(AND(B1047&gt;='IN-NX'!$P$3,B1047&lt;='IN-NX'!$Q$3,'IN-NX'!$D$7=D1047,OR(LEFT(L1047,2)="15",AND(LEFT(M1047,2)&lt;&gt;"15",LEFT(M1047,2)&lt;&gt;"33"))),"x","")</f>
        <v/>
      </c>
      <c r="W1047" s="52" t="str">
        <f>IF(AND(OR(LEFT(TH!L1047,2)="15",LEFT(TH!M1047,2)="15"),'152-CT'!$J$8=TH!F1047),"x","")</f>
        <v/>
      </c>
      <c r="X1047" s="52" t="str">
        <f>IF(AND(OR(LEFT(TH!L1047,2)="15",LEFT(TH!M1047,2)="15"),TK!$E$7=TH!F1047),"x","")</f>
        <v/>
      </c>
      <c r="Y1047" s="52" t="str">
        <f>IF(AND(B1047&lt;=NKC!$N$8,B1047&gt;=NKC!$M$8),"x","")</f>
        <v/>
      </c>
      <c r="AA1047" s="587"/>
    </row>
    <row r="1048" spans="1:27" ht="15.75" customHeight="1">
      <c r="A1048" s="201" t="str">
        <f>IF(B1048&lt;&gt;"",IF(AND(B1048&gt;=_TM1,B1048&lt;=_TM2,OR(TH!L1048="1111",TH!M1048="1111")),TH!D1048,""),"")</f>
        <v/>
      </c>
      <c r="B1048" s="36">
        <f t="shared" si="44"/>
        <v>12</v>
      </c>
      <c r="C1048" s="188">
        <f t="shared" si="45"/>
        <v>41631</v>
      </c>
      <c r="D1048" s="181" t="s">
        <v>1072</v>
      </c>
      <c r="E1048" s="188">
        <v>41631</v>
      </c>
      <c r="F1048" s="189" t="s">
        <v>693</v>
      </c>
      <c r="G1048" s="189" t="s">
        <v>1006</v>
      </c>
      <c r="H1048" s="7" t="s">
        <v>507</v>
      </c>
      <c r="I1048" s="249"/>
      <c r="J1048" s="249"/>
      <c r="K1048" s="38">
        <v>706800</v>
      </c>
      <c r="L1048" s="191" t="s">
        <v>262</v>
      </c>
      <c r="M1048" s="191" t="s">
        <v>425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IF(OR(TH!L1048=TH!$U$7,M1048=TH!$U$7),"x","")</f>
        <v/>
      </c>
      <c r="V1048" s="52" t="str">
        <f>IF(AND(B1048&gt;='IN-NX'!$P$3,B1048&lt;='IN-NX'!$Q$3,'IN-NX'!$D$7=D1048,OR(LEFT(L1048,2)="15",AND(LEFT(M1048,2)&lt;&gt;"15",LEFT(M1048,2)&lt;&gt;"33"))),"x","")</f>
        <v/>
      </c>
      <c r="W1048" s="52" t="str">
        <f>IF(AND(OR(LEFT(TH!L1048,2)="15",LEFT(TH!M1048,2)="15"),'152-CT'!$J$8=TH!F1048),"x","")</f>
        <v/>
      </c>
      <c r="X1048" s="52" t="str">
        <f>IF(AND(OR(LEFT(TH!L1048,2)="15",LEFT(TH!M1048,2)="15"),TK!$E$7=TH!F1048),"x","")</f>
        <v/>
      </c>
      <c r="Y1048" s="52" t="str">
        <f>IF(AND(B1048&lt;=NKC!$N$8,B1048&gt;=NKC!$M$8),"x","")</f>
        <v/>
      </c>
      <c r="AA1048" s="587" t="str">
        <f>IF(VLOOKUP(H1048,DS_131,1,0)&lt;&gt;"","","x")</f>
        <v/>
      </c>
    </row>
    <row r="1049" spans="1:27" ht="15.75" customHeight="1">
      <c r="A1049" s="201" t="str">
        <f>IF(B1049&lt;&gt;"",IF(AND(B1049&gt;=_TM1,B1049&lt;=_TM2,OR(TH!L1049="1111",TH!M1049="1111")),TH!D1049,""),"")</f>
        <v>T30</v>
      </c>
      <c r="B1049" s="36">
        <f t="shared" si="44"/>
        <v>12</v>
      </c>
      <c r="C1049" s="188">
        <f t="shared" si="45"/>
        <v>41631</v>
      </c>
      <c r="D1049" s="181" t="s">
        <v>1288</v>
      </c>
      <c r="E1049" s="188">
        <v>41631</v>
      </c>
      <c r="F1049" s="186" t="s">
        <v>337</v>
      </c>
      <c r="G1049" s="189" t="s">
        <v>1006</v>
      </c>
      <c r="H1049" s="7" t="s">
        <v>507</v>
      </c>
      <c r="I1049" s="249"/>
      <c r="J1049" s="249"/>
      <c r="K1049" s="38">
        <v>7818800</v>
      </c>
      <c r="L1049" s="191" t="s">
        <v>47</v>
      </c>
      <c r="M1049" s="191" t="s">
        <v>262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IF(OR(TH!L1049=TH!$U$7,M1049=TH!$U$7),"x","")</f>
        <v/>
      </c>
      <c r="V1049" s="52" t="str">
        <f>IF(AND(B1049&gt;='IN-NX'!$P$3,B1049&lt;='IN-NX'!$Q$3,'IN-NX'!$D$7=D1049,OR(LEFT(L1049,2)="15",AND(LEFT(M1049,2)&lt;&gt;"15",LEFT(M1049,2)&lt;&gt;"33"))),"x","")</f>
        <v/>
      </c>
      <c r="W1049" s="52" t="str">
        <f>IF(AND(OR(LEFT(TH!L1049,2)="15",LEFT(TH!M1049,2)="15"),'152-CT'!$J$8=TH!F1049),"x","")</f>
        <v/>
      </c>
      <c r="X1049" s="52" t="str">
        <f>IF(AND(OR(LEFT(TH!L1049,2)="15",LEFT(TH!M1049,2)="15"),TK!$E$7=TH!F1049),"x","")</f>
        <v/>
      </c>
      <c r="Y1049" s="52" t="str">
        <f>IF(AND(B1049&lt;=NKC!$N$8,B1049&gt;=NKC!$M$8),"x","")</f>
        <v/>
      </c>
      <c r="AA1049" s="587" t="str">
        <f>IF(VLOOKUP(H1049,DS_131,1,0)&lt;&gt;"","","x")</f>
        <v/>
      </c>
    </row>
    <row r="1050" spans="1:27" ht="15.75" customHeight="1">
      <c r="A1050" s="201" t="str">
        <f>IF(B1050&lt;&gt;"",IF(AND(B1050&gt;=_TM1,B1050&lt;=_TM2,OR(TH!L1050="1111",TH!M1050="1111")),TH!D1050,""),"")</f>
        <v/>
      </c>
      <c r="B1050" s="36">
        <f t="shared" si="44"/>
        <v>12</v>
      </c>
      <c r="C1050" s="181">
        <f t="shared" si="45"/>
        <v>41632</v>
      </c>
      <c r="D1050" s="181" t="s">
        <v>335</v>
      </c>
      <c r="E1050" s="181">
        <v>41632</v>
      </c>
      <c r="F1050" s="186" t="s">
        <v>337</v>
      </c>
      <c r="G1050" s="597" t="s">
        <v>332</v>
      </c>
      <c r="H1050" s="7" t="s">
        <v>549</v>
      </c>
      <c r="I1050" s="249"/>
      <c r="J1050" s="249"/>
      <c r="K1050" s="595">
        <v>23385120</v>
      </c>
      <c r="L1050" s="596" t="s">
        <v>24</v>
      </c>
      <c r="M1050" s="596" t="s">
        <v>262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IF(OR(TH!L1050=TH!$U$7,M1050=TH!$U$7),"x","")</f>
        <v/>
      </c>
      <c r="V1050" s="52" t="str">
        <f>IF(AND(B1050&gt;='IN-NX'!$P$3,B1050&lt;='IN-NX'!$Q$3,'IN-NX'!$D$7=D1050,OR(LEFT(L1050,2)="15",AND(LEFT(M1050,2)&lt;&gt;"15",LEFT(M1050,2)&lt;&gt;"33"))),"x","")</f>
        <v/>
      </c>
      <c r="W1050" s="52" t="str">
        <f>IF(AND(OR(LEFT(TH!L1050,2)="15",LEFT(TH!M1050,2)="15"),'152-CT'!$J$8=TH!F1050),"x","")</f>
        <v/>
      </c>
      <c r="X1050" s="52" t="str">
        <f>IF(AND(OR(LEFT(TH!L1050,2)="15",LEFT(TH!M1050,2)="15"),TK!$E$7=TH!F1050),"x","")</f>
        <v/>
      </c>
      <c r="Y1050" s="52" t="str">
        <f>IF(AND(B1050&lt;=NKC!$N$8,B1050&gt;=NKC!$M$8),"x","")</f>
        <v/>
      </c>
      <c r="Z1050" s="208"/>
    </row>
    <row r="1051" spans="1:27" ht="15.75" customHeight="1">
      <c r="A1051" s="201" t="str">
        <f>IF(B1051&lt;&gt;"",IF(AND(B1051&gt;=_TM1,B1051&lt;=_TM2,OR(TH!L1051="1111",TH!M1051="1111")),TH!D1051,""),"")</f>
        <v/>
      </c>
      <c r="B1051" s="36">
        <f t="shared" si="44"/>
        <v>12</v>
      </c>
      <c r="C1051" s="181">
        <f t="shared" si="45"/>
        <v>41633</v>
      </c>
      <c r="D1051" s="181" t="s">
        <v>335</v>
      </c>
      <c r="E1051" s="181">
        <v>41633</v>
      </c>
      <c r="F1051" s="186" t="s">
        <v>365</v>
      </c>
      <c r="G1051" s="597" t="s">
        <v>332</v>
      </c>
      <c r="H1051" s="7"/>
      <c r="I1051" s="249"/>
      <c r="J1051" s="249"/>
      <c r="K1051" s="595">
        <v>14562</v>
      </c>
      <c r="L1051" s="596" t="s">
        <v>24</v>
      </c>
      <c r="M1051" s="596" t="s">
        <v>40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IF(OR(TH!L1051=TH!$U$7,M1051=TH!$U$7),"x","")</f>
        <v/>
      </c>
      <c r="V1051" s="52" t="str">
        <f>IF(AND(B1051&gt;='IN-NX'!$P$3,B1051&lt;='IN-NX'!$Q$3,'IN-NX'!$D$7=D1051,OR(LEFT(L1051,2)="15",AND(LEFT(M1051,2)&lt;&gt;"15",LEFT(M1051,2)&lt;&gt;"33"))),"x","")</f>
        <v/>
      </c>
      <c r="W1051" s="52" t="str">
        <f>IF(AND(OR(LEFT(TH!L1051,2)="15",LEFT(TH!M1051,2)="15"),'152-CT'!$J$8=TH!F1051),"x","")</f>
        <v/>
      </c>
      <c r="X1051" s="52" t="str">
        <f>IF(AND(OR(LEFT(TH!L1051,2)="15",LEFT(TH!M1051,2)="15"),TK!$E$7=TH!F1051),"x","")</f>
        <v/>
      </c>
      <c r="Y1051" s="52" t="str">
        <f>IF(AND(B1051&lt;=NKC!$N$8,B1051&gt;=NKC!$M$8),"x","")</f>
        <v/>
      </c>
      <c r="Z1051" s="208"/>
    </row>
    <row r="1052" spans="1:27" ht="15.75" customHeight="1">
      <c r="A1052" s="201" t="str">
        <f>IF(B1052&lt;&gt;"",IF(AND(B1052&gt;=_TM1,B1052&lt;=_TM2,OR(TH!L1052="1111",TH!M1052="1111")),TH!D1052,""),"")</f>
        <v/>
      </c>
      <c r="B1052" s="36">
        <f t="shared" si="44"/>
        <v>12</v>
      </c>
      <c r="C1052" s="188">
        <f t="shared" si="45"/>
        <v>41633</v>
      </c>
      <c r="D1052" s="181" t="s">
        <v>1073</v>
      </c>
      <c r="E1052" s="188">
        <v>41633</v>
      </c>
      <c r="F1052" s="189" t="s">
        <v>698</v>
      </c>
      <c r="G1052" s="189" t="s">
        <v>1007</v>
      </c>
      <c r="H1052" s="190" t="s">
        <v>470</v>
      </c>
      <c r="I1052" s="249">
        <v>980</v>
      </c>
      <c r="J1052" s="249">
        <v>8740</v>
      </c>
      <c r="K1052" s="38">
        <f>ROUND(I1052*J1052,0)</f>
        <v>8565200</v>
      </c>
      <c r="L1052" s="191" t="s">
        <v>262</v>
      </c>
      <c r="M1052" s="191" t="s">
        <v>172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IF(OR(TH!L1052=TH!$U$7,M1052=TH!$U$7),"x","")</f>
        <v/>
      </c>
      <c r="V1052" s="52" t="str">
        <f>IF(AND(B1052&gt;='IN-NX'!$P$3,B1052&lt;='IN-NX'!$Q$3,'IN-NX'!$D$7=D1052,OR(LEFT(L1052,2)="15",AND(LEFT(M1052,2)&lt;&gt;"15",LEFT(M1052,2)&lt;&gt;"33"))),"x","")</f>
        <v/>
      </c>
      <c r="W1052" s="52" t="str">
        <f>IF(AND(OR(LEFT(TH!L1052,2)="15",LEFT(TH!M1052,2)="15"),'152-CT'!$J$8=TH!F1052),"x","")</f>
        <v/>
      </c>
      <c r="X1052" s="52" t="str">
        <f>IF(AND(OR(LEFT(TH!L1052,2)="15",LEFT(TH!M1052,2)="15"),TK!$E$7=TH!F1052),"x","")</f>
        <v/>
      </c>
      <c r="Y1052" s="52" t="str">
        <f>IF(AND(B1052&lt;=NKC!$N$8,B1052&gt;=NKC!$M$8),"x","")</f>
        <v/>
      </c>
      <c r="AA1052" s="587"/>
    </row>
    <row r="1053" spans="1:27" ht="15.75" customHeight="1">
      <c r="A1053" s="201" t="str">
        <f>IF(B1053&lt;&gt;"",IF(AND(B1053&gt;=_TM1,B1053&lt;=_TM2,OR(TH!L1053="1111",TH!M1053="1111")),TH!D1053,""),"")</f>
        <v/>
      </c>
      <c r="B1053" s="36">
        <f t="shared" si="44"/>
        <v>12</v>
      </c>
      <c r="C1053" s="188">
        <f t="shared" si="45"/>
        <v>41633</v>
      </c>
      <c r="D1053" s="181" t="s">
        <v>1073</v>
      </c>
      <c r="E1053" s="188">
        <v>41633</v>
      </c>
      <c r="F1053" s="189" t="s">
        <v>693</v>
      </c>
      <c r="G1053" s="189" t="s">
        <v>1007</v>
      </c>
      <c r="H1053" s="45" t="s">
        <v>470</v>
      </c>
      <c r="I1053" s="249"/>
      <c r="J1053" s="249"/>
      <c r="K1053" s="38">
        <v>856520</v>
      </c>
      <c r="L1053" s="191" t="s">
        <v>262</v>
      </c>
      <c r="M1053" s="191" t="s">
        <v>425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IF(OR(TH!L1053=TH!$U$7,M1053=TH!$U$7),"x","")</f>
        <v/>
      </c>
      <c r="V1053" s="52" t="str">
        <f>IF(AND(B1053&gt;='IN-NX'!$P$3,B1053&lt;='IN-NX'!$Q$3,'IN-NX'!$D$7=D1053,OR(LEFT(L1053,2)="15",AND(LEFT(M1053,2)&lt;&gt;"15",LEFT(M1053,2)&lt;&gt;"33"))),"x","")</f>
        <v/>
      </c>
      <c r="W1053" s="52" t="str">
        <f>IF(AND(OR(LEFT(TH!L1053,2)="15",LEFT(TH!M1053,2)="15"),'152-CT'!$J$8=TH!F1053),"x","")</f>
        <v/>
      </c>
      <c r="X1053" s="52" t="str">
        <f>IF(AND(OR(LEFT(TH!L1053,2)="15",LEFT(TH!M1053,2)="15"),TK!$E$7=TH!F1053),"x","")</f>
        <v/>
      </c>
      <c r="Y1053" s="52" t="str">
        <f>IF(AND(B1053&lt;=NKC!$N$8,B1053&gt;=NKC!$M$8),"x","")</f>
        <v/>
      </c>
      <c r="AA1053" s="587" t="str">
        <f>IF(VLOOKUP(H1053,DS_131,1,0)&lt;&gt;"","","x")</f>
        <v/>
      </c>
    </row>
    <row r="1054" spans="1:27" ht="15.75" customHeight="1">
      <c r="A1054" s="201" t="str">
        <f>IF(B1054&lt;&gt;"",IF(AND(B1054&gt;=_TM1,B1054&lt;=_TM2,OR(TH!L1054="1111",TH!M1054="1111")),TH!D1054,""),"")</f>
        <v/>
      </c>
      <c r="B1054" s="36">
        <f t="shared" si="44"/>
        <v>12</v>
      </c>
      <c r="C1054" s="181">
        <f t="shared" si="45"/>
        <v>41635</v>
      </c>
      <c r="D1054" s="181" t="s">
        <v>336</v>
      </c>
      <c r="E1054" s="181">
        <v>41635</v>
      </c>
      <c r="F1054" s="186" t="s">
        <v>337</v>
      </c>
      <c r="G1054" s="597" t="s">
        <v>332</v>
      </c>
      <c r="H1054" s="7" t="s">
        <v>470</v>
      </c>
      <c r="I1054" s="249"/>
      <c r="J1054" s="249"/>
      <c r="K1054" s="595">
        <v>9421720</v>
      </c>
      <c r="L1054" s="596" t="s">
        <v>24</v>
      </c>
      <c r="M1054" s="596" t="s">
        <v>262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>x</v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IF(OR(TH!L1054=TH!$U$7,M1054=TH!$U$7),"x","")</f>
        <v/>
      </c>
      <c r="V1054" s="52" t="str">
        <f>IF(AND(B1054&gt;='IN-NX'!$P$3,B1054&lt;='IN-NX'!$Q$3,'IN-NX'!$D$7=D1054,OR(LEFT(L1054,2)="15",AND(LEFT(M1054,2)&lt;&gt;"15",LEFT(M1054,2)&lt;&gt;"33"))),"x","")</f>
        <v/>
      </c>
      <c r="W1054" s="52" t="str">
        <f>IF(AND(OR(LEFT(TH!L1054,2)="15",LEFT(TH!M1054,2)="15"),'152-CT'!$J$8=TH!F1054),"x","")</f>
        <v/>
      </c>
      <c r="X1054" s="52" t="str">
        <f>IF(AND(OR(LEFT(TH!L1054,2)="15",LEFT(TH!M1054,2)="15"),TK!$E$7=TH!F1054),"x","")</f>
        <v/>
      </c>
      <c r="Y1054" s="52" t="str">
        <f>IF(AND(B1054&lt;=NKC!$N$8,B1054&gt;=NKC!$M$8),"x","")</f>
        <v/>
      </c>
      <c r="Z1054" s="208"/>
    </row>
    <row r="1055" spans="1:27" ht="15.75" customHeight="1">
      <c r="A1055" s="201" t="str">
        <f>IF(B1055&lt;&gt;"",IF(AND(B1055&gt;=_TM1,B1055&lt;=_TM2,OR(TH!L1055="1111",TH!M1055="1111")),TH!D1055,""),"")</f>
        <v/>
      </c>
      <c r="B1055" s="36">
        <f t="shared" si="44"/>
        <v>12</v>
      </c>
      <c r="C1055" s="188">
        <f t="shared" si="45"/>
        <v>41635</v>
      </c>
      <c r="D1055" s="181" t="s">
        <v>419</v>
      </c>
      <c r="E1055" s="188">
        <v>41635</v>
      </c>
      <c r="F1055" s="189" t="s">
        <v>688</v>
      </c>
      <c r="G1055" s="480" t="s">
        <v>689</v>
      </c>
      <c r="H1055" s="190" t="s">
        <v>665</v>
      </c>
      <c r="I1055" s="249">
        <v>1620</v>
      </c>
      <c r="J1055" s="249">
        <v>11149</v>
      </c>
      <c r="K1055" s="38">
        <f>ROUND(I1055*J1055,0)</f>
        <v>18061380</v>
      </c>
      <c r="L1055" s="191" t="s">
        <v>156</v>
      </c>
      <c r="M1055" s="191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IF(OR(TH!L1055=TH!$U$7,M1055=TH!$U$7),"x","")</f>
        <v/>
      </c>
      <c r="V1055" s="52" t="str">
        <f>IF(AND(B1055&gt;='IN-NX'!$P$3,B1055&lt;='IN-NX'!$Q$3,'IN-NX'!$D$7=D1055,OR(LEFT(L1055,2)="15",AND(LEFT(M1055,2)&lt;&gt;"15",LEFT(M1055,2)&lt;&gt;"33"))),"x","")</f>
        <v/>
      </c>
      <c r="W1055" s="52" t="str">
        <f>IF(AND(OR(LEFT(TH!L1055,2)="15",LEFT(TH!M1055,2)="15"),'152-CT'!$J$8=TH!F1055),"x","")</f>
        <v/>
      </c>
      <c r="X1055" s="52" t="str">
        <f>IF(AND(OR(LEFT(TH!L1055,2)="15",LEFT(TH!M1055,2)="15"),TK!$E$7=TH!F1055),"x","")</f>
        <v/>
      </c>
      <c r="Y1055" s="52" t="str">
        <f>IF(AND(B1055&lt;=NKC!$N$8,B1055&gt;=NKC!$M$8),"x","")</f>
        <v/>
      </c>
      <c r="Z1055" s="587" t="s">
        <v>1336</v>
      </c>
    </row>
    <row r="1056" spans="1:27" ht="15.75" customHeight="1">
      <c r="A1056" s="201" t="str">
        <f>IF(B1056&lt;&gt;"",IF(AND(B1056&gt;=_TM1,B1056&lt;=_TM2,OR(TH!L1056="1111",TH!M1056="1111")),TH!D1056,""),"")</f>
        <v/>
      </c>
      <c r="B1056" s="36">
        <f t="shared" si="44"/>
        <v>12</v>
      </c>
      <c r="C1056" s="188">
        <f t="shared" si="45"/>
        <v>41635</v>
      </c>
      <c r="D1056" s="181" t="s">
        <v>419</v>
      </c>
      <c r="E1056" s="188">
        <v>41635</v>
      </c>
      <c r="F1056" s="189" t="s">
        <v>668</v>
      </c>
      <c r="G1056" s="480" t="s">
        <v>689</v>
      </c>
      <c r="H1056" s="190" t="s">
        <v>665</v>
      </c>
      <c r="I1056" s="249"/>
      <c r="J1056" s="249"/>
      <c r="K1056" s="38">
        <v>1806138</v>
      </c>
      <c r="L1056" s="191" t="s">
        <v>9</v>
      </c>
      <c r="M1056" s="191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IF(OR(TH!L1056=TH!$U$7,M1056=TH!$U$7),"x","")</f>
        <v/>
      </c>
      <c r="V1056" s="52" t="str">
        <f>IF(AND(B1056&gt;='IN-NX'!$P$3,B1056&lt;='IN-NX'!$Q$3,'IN-NX'!$D$7=D1056,OR(LEFT(L1056,2)="15",AND(LEFT(M1056,2)&lt;&gt;"15",LEFT(M1056,2)&lt;&gt;"33"))),"x","")</f>
        <v/>
      </c>
      <c r="W1056" s="52" t="str">
        <f>IF(AND(OR(LEFT(TH!L1056,2)="15",LEFT(TH!M1056,2)="15"),'152-CT'!$J$8=TH!F1056),"x","")</f>
        <v/>
      </c>
      <c r="X1056" s="52" t="str">
        <f>IF(AND(OR(LEFT(TH!L1056,2)="15",LEFT(TH!M1056,2)="15"),TK!$E$7=TH!F1056),"x","")</f>
        <v/>
      </c>
      <c r="Y1056" s="52" t="str">
        <f>IF(AND(B1056&lt;=NKC!$N$8,B1056&gt;=NKC!$M$8),"x","")</f>
        <v/>
      </c>
      <c r="Z1056" s="587" t="s">
        <v>1336</v>
      </c>
    </row>
    <row r="1057" spans="1:27" ht="15.75" customHeight="1">
      <c r="A1057" s="201" t="str">
        <f>IF(B1057&lt;&gt;"",IF(AND(B1057&gt;=_TM1,B1057&lt;=_TM2,OR(TH!L1057="1111",TH!M1057="1111")),TH!D1057,""),"")</f>
        <v>C35</v>
      </c>
      <c r="B1057" s="36">
        <f t="shared" si="44"/>
        <v>12</v>
      </c>
      <c r="C1057" s="188">
        <f t="shared" si="45"/>
        <v>41635</v>
      </c>
      <c r="D1057" s="181" t="s">
        <v>1297</v>
      </c>
      <c r="E1057" s="188">
        <v>41635</v>
      </c>
      <c r="F1057" s="189" t="s">
        <v>367</v>
      </c>
      <c r="G1057" s="480" t="s">
        <v>689</v>
      </c>
      <c r="H1057" s="190" t="s">
        <v>665</v>
      </c>
      <c r="I1057" s="249"/>
      <c r="J1057" s="249"/>
      <c r="K1057" s="38">
        <v>19867518</v>
      </c>
      <c r="L1057" s="191" t="s">
        <v>8</v>
      </c>
      <c r="M1057" s="191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IF(OR(TH!L1057=TH!$U$7,M1057=TH!$U$7),"x","")</f>
        <v/>
      </c>
      <c r="V1057" s="52" t="str">
        <f>IF(AND(B1057&gt;='IN-NX'!$P$3,B1057&lt;='IN-NX'!$Q$3,'IN-NX'!$D$7=D1057,OR(LEFT(L1057,2)="15",AND(LEFT(M1057,2)&lt;&gt;"15",LEFT(M1057,2)&lt;&gt;"33"))),"x","")</f>
        <v/>
      </c>
      <c r="W1057" s="52" t="str">
        <f>IF(AND(OR(LEFT(TH!L1057,2)="15",LEFT(TH!M1057,2)="15"),'152-CT'!$J$8=TH!F1057),"x","")</f>
        <v/>
      </c>
      <c r="X1057" s="52" t="str">
        <f>IF(AND(OR(LEFT(TH!L1057,2)="15",LEFT(TH!M1057,2)="15"),TK!$E$7=TH!F1057),"x","")</f>
        <v/>
      </c>
      <c r="Y1057" s="52" t="str">
        <f>IF(AND(B1057&lt;=NKC!$N$8,B1057&gt;=NKC!$M$8),"x","")</f>
        <v/>
      </c>
      <c r="Z1057" s="208"/>
    </row>
    <row r="1058" spans="1:27" ht="15.75" customHeight="1">
      <c r="A1058" s="201" t="str">
        <f>IF(B1058&lt;&gt;"",IF(AND(B1058&gt;=_TM1,B1058&lt;=_TM2,OR(TH!L1058="1111",TH!M1058="1111")),TH!D1058,""),"")</f>
        <v/>
      </c>
      <c r="B1058" s="36">
        <f t="shared" si="44"/>
        <v>12</v>
      </c>
      <c r="C1058" s="188">
        <f t="shared" si="45"/>
        <v>41635</v>
      </c>
      <c r="D1058" s="181" t="s">
        <v>1074</v>
      </c>
      <c r="E1058" s="188">
        <v>41635</v>
      </c>
      <c r="F1058" s="189" t="s">
        <v>844</v>
      </c>
      <c r="G1058" s="189" t="s">
        <v>1008</v>
      </c>
      <c r="H1058" s="7" t="s">
        <v>846</v>
      </c>
      <c r="I1058" s="249">
        <v>60</v>
      </c>
      <c r="J1058" s="249">
        <v>38800</v>
      </c>
      <c r="K1058" s="38">
        <f>ROUND(I1058*J1058,0)</f>
        <v>2328000</v>
      </c>
      <c r="L1058" s="191" t="s">
        <v>262</v>
      </c>
      <c r="M1058" s="191" t="s">
        <v>172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IF(OR(TH!L1058=TH!$U$7,M1058=TH!$U$7),"x","")</f>
        <v/>
      </c>
      <c r="V1058" s="52" t="str">
        <f>IF(AND(B1058&gt;='IN-NX'!$P$3,B1058&lt;='IN-NX'!$Q$3,'IN-NX'!$D$7=D1058,OR(LEFT(L1058,2)="15",AND(LEFT(M1058,2)&lt;&gt;"15",LEFT(M1058,2)&lt;&gt;"33"))),"x","")</f>
        <v/>
      </c>
      <c r="W1058" s="52" t="str">
        <f>IF(AND(OR(LEFT(TH!L1058,2)="15",LEFT(TH!M1058,2)="15"),'152-CT'!$J$8=TH!F1058),"x","")</f>
        <v/>
      </c>
      <c r="X1058" s="52" t="str">
        <f>IF(AND(OR(LEFT(TH!L1058,2)="15",LEFT(TH!M1058,2)="15"),TK!$E$7=TH!F1058),"x","")</f>
        <v/>
      </c>
      <c r="Y1058" s="52" t="str">
        <f>IF(AND(B1058&lt;=NKC!$N$8,B1058&gt;=NKC!$M$8),"x","")</f>
        <v/>
      </c>
      <c r="AA1058" s="587"/>
    </row>
    <row r="1059" spans="1:27" ht="15.75" customHeight="1">
      <c r="A1059" s="201" t="str">
        <f>IF(B1059&lt;&gt;"",IF(AND(B1059&gt;=_TM1,B1059&lt;=_TM2,OR(TH!L1059="1111",TH!M1059="1111")),TH!D1059,""),"")</f>
        <v/>
      </c>
      <c r="B1059" s="36">
        <f t="shared" si="44"/>
        <v>12</v>
      </c>
      <c r="C1059" s="188">
        <f t="shared" si="45"/>
        <v>41635</v>
      </c>
      <c r="D1059" s="181" t="s">
        <v>1074</v>
      </c>
      <c r="E1059" s="188">
        <v>41635</v>
      </c>
      <c r="F1059" s="189" t="s">
        <v>847</v>
      </c>
      <c r="G1059" s="480" t="s">
        <v>1008</v>
      </c>
      <c r="H1059" s="7" t="s">
        <v>846</v>
      </c>
      <c r="I1059" s="250">
        <v>10</v>
      </c>
      <c r="J1059" s="250">
        <v>45000</v>
      </c>
      <c r="K1059" s="38">
        <f>ROUND(I1059*J1059,0)</f>
        <v>450000</v>
      </c>
      <c r="L1059" s="191" t="s">
        <v>262</v>
      </c>
      <c r="M1059" s="191" t="s">
        <v>172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IF(OR(TH!L1059=TH!$U$7,M1059=TH!$U$7),"x","")</f>
        <v/>
      </c>
      <c r="V1059" s="52" t="str">
        <f>IF(AND(B1059&gt;='IN-NX'!$P$3,B1059&lt;='IN-NX'!$Q$3,'IN-NX'!$D$7=D1059,OR(LEFT(L1059,2)="15",AND(LEFT(M1059,2)&lt;&gt;"15",LEFT(M1059,2)&lt;&gt;"33"))),"x","")</f>
        <v/>
      </c>
      <c r="W1059" s="52" t="str">
        <f>IF(AND(OR(LEFT(TH!L1059,2)="15",LEFT(TH!M1059,2)="15"),'152-CT'!$J$8=TH!F1059),"x","")</f>
        <v/>
      </c>
      <c r="X1059" s="52" t="str">
        <f>IF(AND(OR(LEFT(TH!L1059,2)="15",LEFT(TH!M1059,2)="15"),TK!$E$7=TH!F1059),"x","")</f>
        <v/>
      </c>
      <c r="Y1059" s="52" t="str">
        <f>IF(AND(B1059&lt;=NKC!$N$8,B1059&gt;=NKC!$M$8),"x","")</f>
        <v/>
      </c>
      <c r="AA1059" s="587"/>
    </row>
    <row r="1060" spans="1:27" ht="15.75" customHeight="1">
      <c r="A1060" s="201" t="str">
        <f>IF(B1060&lt;&gt;"",IF(AND(B1060&gt;=_TM1,B1060&lt;=_TM2,OR(TH!L1060="1111",TH!M1060="1111")),TH!D1060,""),"")</f>
        <v/>
      </c>
      <c r="B1060" s="36">
        <f t="shared" si="44"/>
        <v>12</v>
      </c>
      <c r="C1060" s="188">
        <f t="shared" si="45"/>
        <v>41635</v>
      </c>
      <c r="D1060" s="181" t="s">
        <v>1074</v>
      </c>
      <c r="E1060" s="188">
        <v>41635</v>
      </c>
      <c r="F1060" s="189" t="s">
        <v>987</v>
      </c>
      <c r="G1060" s="480" t="s">
        <v>1008</v>
      </c>
      <c r="H1060" s="7" t="s">
        <v>846</v>
      </c>
      <c r="I1060" s="250">
        <v>20</v>
      </c>
      <c r="J1060" s="250">
        <v>45300</v>
      </c>
      <c r="K1060" s="38">
        <f>ROUND(I1060*J1060,0)</f>
        <v>906000</v>
      </c>
      <c r="L1060" s="191" t="s">
        <v>262</v>
      </c>
      <c r="M1060" s="191" t="s">
        <v>172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IF(OR(TH!L1060=TH!$U$7,M1060=TH!$U$7),"x","")</f>
        <v/>
      </c>
      <c r="V1060" s="52" t="str">
        <f>IF(AND(B1060&gt;='IN-NX'!$P$3,B1060&lt;='IN-NX'!$Q$3,'IN-NX'!$D$7=D1060,OR(LEFT(L1060,2)="15",AND(LEFT(M1060,2)&lt;&gt;"15",LEFT(M1060,2)&lt;&gt;"33"))),"x","")</f>
        <v/>
      </c>
      <c r="W1060" s="52" t="str">
        <f>IF(AND(OR(LEFT(TH!L1060,2)="15",LEFT(TH!M1060,2)="15"),'152-CT'!$J$8=TH!F1060),"x","")</f>
        <v/>
      </c>
      <c r="X1060" s="52" t="str">
        <f>IF(AND(OR(LEFT(TH!L1060,2)="15",LEFT(TH!M1060,2)="15"),TK!$E$7=TH!F1060),"x","")</f>
        <v/>
      </c>
      <c r="Y1060" s="52" t="str">
        <f>IF(AND(B1060&lt;=NKC!$N$8,B1060&gt;=NKC!$M$8),"x","")</f>
        <v/>
      </c>
      <c r="AA1060" s="587"/>
    </row>
    <row r="1061" spans="1:27" ht="15.75" customHeight="1">
      <c r="A1061" s="201" t="str">
        <f>IF(B1061&lt;&gt;"",IF(AND(B1061&gt;=_TM1,B1061&lt;=_TM2,OR(TH!L1061="1111",TH!M1061="1111")),TH!D1061,""),"")</f>
        <v/>
      </c>
      <c r="B1061" s="36">
        <f t="shared" si="44"/>
        <v>12</v>
      </c>
      <c r="C1061" s="188">
        <f t="shared" si="45"/>
        <v>41635</v>
      </c>
      <c r="D1061" s="181" t="s">
        <v>1074</v>
      </c>
      <c r="E1061" s="188">
        <v>41635</v>
      </c>
      <c r="F1061" s="189" t="s">
        <v>693</v>
      </c>
      <c r="G1061" s="189" t="s">
        <v>1008</v>
      </c>
      <c r="H1061" s="7" t="s">
        <v>846</v>
      </c>
      <c r="I1061" s="249"/>
      <c r="J1061" s="249"/>
      <c r="K1061" s="38">
        <v>368400</v>
      </c>
      <c r="L1061" s="191" t="s">
        <v>262</v>
      </c>
      <c r="M1061" s="191" t="s">
        <v>425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IF(OR(TH!L1061=TH!$U$7,M1061=TH!$U$7),"x","")</f>
        <v/>
      </c>
      <c r="V1061" s="52" t="str">
        <f>IF(AND(B1061&gt;='IN-NX'!$P$3,B1061&lt;='IN-NX'!$Q$3,'IN-NX'!$D$7=D1061,OR(LEFT(L1061,2)="15",AND(LEFT(M1061,2)&lt;&gt;"15",LEFT(M1061,2)&lt;&gt;"33"))),"x","")</f>
        <v/>
      </c>
      <c r="W1061" s="52" t="str">
        <f>IF(AND(OR(LEFT(TH!L1061,2)="15",LEFT(TH!M1061,2)="15"),'152-CT'!$J$8=TH!F1061),"x","")</f>
        <v/>
      </c>
      <c r="X1061" s="52" t="str">
        <f>IF(AND(OR(LEFT(TH!L1061,2)="15",LEFT(TH!M1061,2)="15"),TK!$E$7=TH!F1061),"x","")</f>
        <v/>
      </c>
      <c r="Y1061" s="52" t="str">
        <f>IF(AND(B1061&lt;=NKC!$N$8,B1061&gt;=NKC!$M$8),"x","")</f>
        <v/>
      </c>
      <c r="AA1061" s="587" t="str">
        <f>IF(VLOOKUP(H1061,DS_131,1,0)&lt;&gt;"","","x")</f>
        <v/>
      </c>
    </row>
    <row r="1062" spans="1:27" ht="15.75" customHeight="1">
      <c r="A1062" s="201" t="str">
        <f>IF(B1062&lt;&gt;"",IF(AND(B1062&gt;=_TM1,B1062&lt;=_TM2,OR(TH!L1062="1111",TH!M1062="1111")),TH!D1062,""),"")</f>
        <v>T31</v>
      </c>
      <c r="B1062" s="36">
        <f t="shared" si="44"/>
        <v>12</v>
      </c>
      <c r="C1062" s="188">
        <f t="shared" si="45"/>
        <v>41635</v>
      </c>
      <c r="D1062" s="181" t="s">
        <v>1289</v>
      </c>
      <c r="E1062" s="188">
        <v>41635</v>
      </c>
      <c r="F1062" s="186" t="s">
        <v>337</v>
      </c>
      <c r="G1062" s="189" t="s">
        <v>1310</v>
      </c>
      <c r="H1062" s="7" t="s">
        <v>846</v>
      </c>
      <c r="I1062" s="249"/>
      <c r="J1062" s="249"/>
      <c r="K1062" s="38">
        <v>13853400</v>
      </c>
      <c r="L1062" s="191" t="s">
        <v>47</v>
      </c>
      <c r="M1062" s="191" t="s">
        <v>262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IF(OR(TH!L1062=TH!$U$7,M1062=TH!$U$7),"x","")</f>
        <v/>
      </c>
      <c r="V1062" s="52" t="str">
        <f>IF(AND(B1062&gt;='IN-NX'!$P$3,B1062&lt;='IN-NX'!$Q$3,'IN-NX'!$D$7=D1062,OR(LEFT(L1062,2)="15",AND(LEFT(M1062,2)&lt;&gt;"15",LEFT(M1062,2)&lt;&gt;"33"))),"x","")</f>
        <v/>
      </c>
      <c r="W1062" s="52" t="str">
        <f>IF(AND(OR(LEFT(TH!L1062,2)="15",LEFT(TH!M1062,2)="15"),'152-CT'!$J$8=TH!F1062),"x","")</f>
        <v/>
      </c>
      <c r="X1062" s="52" t="str">
        <f>IF(AND(OR(LEFT(TH!L1062,2)="15",LEFT(TH!M1062,2)="15"),TK!$E$7=TH!F1062),"x","")</f>
        <v/>
      </c>
      <c r="Y1062" s="52" t="str">
        <f>IF(AND(B1062&lt;=NKC!$N$8,B1062&gt;=NKC!$M$8),"x","")</f>
        <v/>
      </c>
      <c r="AA1062" s="587" t="str">
        <f>IF(VLOOKUP(H1062,DS_131,1,0)&lt;&gt;"","","x")</f>
        <v/>
      </c>
    </row>
    <row r="1063" spans="1:27" ht="15.75" customHeight="1">
      <c r="A1063" s="201" t="str">
        <f>IF(B1063&lt;&gt;"",IF(AND(B1063&gt;=_TM1,B1063&lt;=_TM2,OR(TH!L1063="1111",TH!M1063="1111")),TH!D1063,""),"")</f>
        <v/>
      </c>
      <c r="B1063" s="36">
        <f t="shared" si="44"/>
        <v>12</v>
      </c>
      <c r="C1063" s="188">
        <f t="shared" si="45"/>
        <v>41635</v>
      </c>
      <c r="D1063" s="181" t="s">
        <v>1075</v>
      </c>
      <c r="E1063" s="188">
        <v>41635</v>
      </c>
      <c r="F1063" s="189" t="s">
        <v>1118</v>
      </c>
      <c r="G1063" s="189" t="s">
        <v>1009</v>
      </c>
      <c r="H1063" s="190" t="s">
        <v>863</v>
      </c>
      <c r="I1063" s="249">
        <v>2295</v>
      </c>
      <c r="J1063" s="249">
        <v>4550</v>
      </c>
      <c r="K1063" s="38">
        <f>ROUND(I1063*J1063,0)</f>
        <v>10442250</v>
      </c>
      <c r="L1063" s="191" t="s">
        <v>262</v>
      </c>
      <c r="M1063" s="191" t="s">
        <v>172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IF(OR(TH!L1063=TH!$U$7,M1063=TH!$U$7),"x","")</f>
        <v/>
      </c>
      <c r="V1063" s="52" t="str">
        <f>IF(AND(B1063&gt;='IN-NX'!$P$3,B1063&lt;='IN-NX'!$Q$3,'IN-NX'!$D$7=D1063,OR(LEFT(L1063,2)="15",AND(LEFT(M1063,2)&lt;&gt;"15",LEFT(M1063,2)&lt;&gt;"33"))),"x","")</f>
        <v/>
      </c>
      <c r="W1063" s="52" t="str">
        <f>IF(AND(OR(LEFT(TH!L1063,2)="15",LEFT(TH!M1063,2)="15"),'152-CT'!$J$8=TH!F1063),"x","")</f>
        <v/>
      </c>
      <c r="X1063" s="52" t="str">
        <f>IF(AND(OR(LEFT(TH!L1063,2)="15",LEFT(TH!M1063,2)="15"),TK!$E$7=TH!F1063),"x","")</f>
        <v/>
      </c>
      <c r="Y1063" s="52" t="str">
        <f>IF(AND(B1063&lt;=NKC!$N$8,B1063&gt;=NKC!$M$8),"x","")</f>
        <v/>
      </c>
      <c r="AA1063" s="587"/>
    </row>
    <row r="1064" spans="1:27" ht="15.75" customHeight="1">
      <c r="A1064" s="201" t="str">
        <f>IF(B1064&lt;&gt;"",IF(AND(B1064&gt;=_TM1,B1064&lt;=_TM2,OR(TH!L1064="1111",TH!M1064="1111")),TH!D1064,""),"")</f>
        <v/>
      </c>
      <c r="B1064" s="36">
        <f t="shared" si="44"/>
        <v>12</v>
      </c>
      <c r="C1064" s="188">
        <f t="shared" si="45"/>
        <v>41635</v>
      </c>
      <c r="D1064" s="181" t="s">
        <v>1075</v>
      </c>
      <c r="E1064" s="188">
        <v>41635</v>
      </c>
      <c r="F1064" s="189" t="s">
        <v>693</v>
      </c>
      <c r="G1064" s="189" t="s">
        <v>1009</v>
      </c>
      <c r="H1064" s="190" t="s">
        <v>863</v>
      </c>
      <c r="I1064" s="249"/>
      <c r="J1064" s="249"/>
      <c r="K1064" s="38">
        <v>1044225</v>
      </c>
      <c r="L1064" s="191" t="s">
        <v>262</v>
      </c>
      <c r="M1064" s="191" t="s">
        <v>425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IF(OR(TH!L1064=TH!$U$7,M1064=TH!$U$7),"x","")</f>
        <v/>
      </c>
      <c r="V1064" s="52" t="str">
        <f>IF(AND(B1064&gt;='IN-NX'!$P$3,B1064&lt;='IN-NX'!$Q$3,'IN-NX'!$D$7=D1064,OR(LEFT(L1064,2)="15",AND(LEFT(M1064,2)&lt;&gt;"15",LEFT(M1064,2)&lt;&gt;"33"))),"x","")</f>
        <v/>
      </c>
      <c r="W1064" s="52" t="str">
        <f>IF(AND(OR(LEFT(TH!L1064,2)="15",LEFT(TH!M1064,2)="15"),'152-CT'!$J$8=TH!F1064),"x","")</f>
        <v/>
      </c>
      <c r="X1064" s="52" t="str">
        <f>IF(AND(OR(LEFT(TH!L1064,2)="15",LEFT(TH!M1064,2)="15"),TK!$E$7=TH!F1064),"x","")</f>
        <v/>
      </c>
      <c r="Y1064" s="52" t="str">
        <f>IF(AND(B1064&lt;=NKC!$N$8,B1064&gt;=NKC!$M$8),"x","")</f>
        <v/>
      </c>
      <c r="AA1064" s="587" t="str">
        <f>IF(VLOOKUP(H1064,DS_131,1,0)&lt;&gt;"","","x")</f>
        <v/>
      </c>
    </row>
    <row r="1065" spans="1:27" ht="15.75" customHeight="1">
      <c r="A1065" s="201" t="str">
        <f>IF(B1065&lt;&gt;"",IF(AND(B1065&gt;=_TM1,B1065&lt;=_TM2,OR(TH!L1065="1111",TH!M1065="1111")),TH!D1065,""),"")</f>
        <v/>
      </c>
      <c r="B1065" s="36">
        <f t="shared" si="44"/>
        <v>12</v>
      </c>
      <c r="C1065" s="188">
        <f t="shared" si="45"/>
        <v>41636</v>
      </c>
      <c r="D1065" s="181" t="s">
        <v>1076</v>
      </c>
      <c r="E1065" s="188">
        <v>41636</v>
      </c>
      <c r="F1065" s="189" t="s">
        <v>1107</v>
      </c>
      <c r="G1065" s="189" t="s">
        <v>1010</v>
      </c>
      <c r="H1065" s="190" t="s">
        <v>757</v>
      </c>
      <c r="I1065" s="249">
        <v>112</v>
      </c>
      <c r="J1065" s="249">
        <v>15100</v>
      </c>
      <c r="K1065" s="38">
        <f>ROUND(I1065*J1065,0)</f>
        <v>1691200</v>
      </c>
      <c r="L1065" s="191" t="s">
        <v>262</v>
      </c>
      <c r="M1065" s="191" t="s">
        <v>172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IF(OR(TH!L1065=TH!$U$7,M1065=TH!$U$7),"x","")</f>
        <v/>
      </c>
      <c r="V1065" s="52" t="str">
        <f>IF(AND(B1065&gt;='IN-NX'!$P$3,B1065&lt;='IN-NX'!$Q$3,'IN-NX'!$D$7=D1065,OR(LEFT(L1065,2)="15",AND(LEFT(M1065,2)&lt;&gt;"15",LEFT(M1065,2)&lt;&gt;"33"))),"x","")</f>
        <v/>
      </c>
      <c r="W1065" s="52" t="str">
        <f>IF(AND(OR(LEFT(TH!L1065,2)="15",LEFT(TH!M1065,2)="15"),'152-CT'!$J$8=TH!F1065),"x","")</f>
        <v/>
      </c>
      <c r="X1065" s="52" t="str">
        <f>IF(AND(OR(LEFT(TH!L1065,2)="15",LEFT(TH!M1065,2)="15"),TK!$E$7=TH!F1065),"x","")</f>
        <v/>
      </c>
      <c r="Y1065" s="52" t="str">
        <f>IF(AND(B1065&lt;=NKC!$N$8,B1065&gt;=NKC!$M$8),"x","")</f>
        <v/>
      </c>
      <c r="AA1065" s="587"/>
    </row>
    <row r="1066" spans="1:27" ht="15.75" customHeight="1">
      <c r="A1066" s="201" t="str">
        <f>IF(B1066&lt;&gt;"",IF(AND(B1066&gt;=_TM1,B1066&lt;=_TM2,OR(TH!L1066="1111",TH!M1066="1111")),TH!D1066,""),"")</f>
        <v/>
      </c>
      <c r="B1066" s="36">
        <f t="shared" si="44"/>
        <v>12</v>
      </c>
      <c r="C1066" s="188">
        <f t="shared" si="45"/>
        <v>41636</v>
      </c>
      <c r="D1066" s="181" t="s">
        <v>1076</v>
      </c>
      <c r="E1066" s="188">
        <v>41636</v>
      </c>
      <c r="F1066" s="189" t="s">
        <v>693</v>
      </c>
      <c r="G1066" s="189" t="s">
        <v>1010</v>
      </c>
      <c r="H1066" s="190" t="s">
        <v>757</v>
      </c>
      <c r="I1066" s="249"/>
      <c r="J1066" s="249"/>
      <c r="K1066" s="38">
        <v>169120</v>
      </c>
      <c r="L1066" s="191" t="s">
        <v>262</v>
      </c>
      <c r="M1066" s="191" t="s">
        <v>425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IF(OR(TH!L1066=TH!$U$7,M1066=TH!$U$7),"x","")</f>
        <v/>
      </c>
      <c r="V1066" s="52" t="str">
        <f>IF(AND(B1066&gt;='IN-NX'!$P$3,B1066&lt;='IN-NX'!$Q$3,'IN-NX'!$D$7=D1066,OR(LEFT(L1066,2)="15",AND(LEFT(M1066,2)&lt;&gt;"15",LEFT(M1066,2)&lt;&gt;"33"))),"x","")</f>
        <v/>
      </c>
      <c r="W1066" s="52" t="str">
        <f>IF(AND(OR(LEFT(TH!L1066,2)="15",LEFT(TH!M1066,2)="15"),'152-CT'!$J$8=TH!F1066),"x","")</f>
        <v/>
      </c>
      <c r="X1066" s="52" t="str">
        <f>IF(AND(OR(LEFT(TH!L1066,2)="15",LEFT(TH!M1066,2)="15"),TK!$E$7=TH!F1066),"x","")</f>
        <v/>
      </c>
      <c r="Y1066" s="52" t="str">
        <f>IF(AND(B1066&lt;=NKC!$N$8,B1066&gt;=NKC!$M$8),"x","")</f>
        <v/>
      </c>
      <c r="AA1066" s="587" t="str">
        <f>IF(VLOOKUP(H1066,DS_131,1,0)&lt;&gt;"","","x")</f>
        <v/>
      </c>
    </row>
    <row r="1067" spans="1:27" ht="15.75" customHeight="1">
      <c r="A1067" s="201" t="str">
        <f>IF(B1067&lt;&gt;"",IF(AND(B1067&gt;=_TM1,B1067&lt;=_TM2,OR(TH!L1067="1111",TH!M1067="1111")),TH!D1067,""),"")</f>
        <v>T32</v>
      </c>
      <c r="B1067" s="36">
        <f t="shared" si="44"/>
        <v>12</v>
      </c>
      <c r="C1067" s="188">
        <f t="shared" si="45"/>
        <v>41636</v>
      </c>
      <c r="D1067" s="181" t="s">
        <v>1290</v>
      </c>
      <c r="E1067" s="188">
        <v>41636</v>
      </c>
      <c r="F1067" s="186" t="s">
        <v>337</v>
      </c>
      <c r="G1067" s="189" t="s">
        <v>1307</v>
      </c>
      <c r="H1067" s="190" t="s">
        <v>757</v>
      </c>
      <c r="I1067" s="249"/>
      <c r="J1067" s="249"/>
      <c r="K1067" s="38">
        <v>7314670</v>
      </c>
      <c r="L1067" s="191" t="s">
        <v>47</v>
      </c>
      <c r="M1067" s="191" t="s">
        <v>262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IF(OR(TH!L1067=TH!$U$7,M1067=TH!$U$7),"x","")</f>
        <v/>
      </c>
      <c r="V1067" s="52" t="str">
        <f>IF(AND(B1067&gt;='IN-NX'!$P$3,B1067&lt;='IN-NX'!$Q$3,'IN-NX'!$D$7=D1067,OR(LEFT(L1067,2)="15",AND(LEFT(M1067,2)&lt;&gt;"15",LEFT(M1067,2)&lt;&gt;"33"))),"x","")</f>
        <v/>
      </c>
      <c r="W1067" s="52" t="str">
        <f>IF(AND(OR(LEFT(TH!L1067,2)="15",LEFT(TH!M1067,2)="15"),'152-CT'!$J$8=TH!F1067),"x","")</f>
        <v/>
      </c>
      <c r="X1067" s="52" t="str">
        <f>IF(AND(OR(LEFT(TH!L1067,2)="15",LEFT(TH!M1067,2)="15"),TK!$E$7=TH!F1067),"x","")</f>
        <v/>
      </c>
      <c r="Y1067" s="52" t="str">
        <f>IF(AND(B1067&lt;=NKC!$N$8,B1067&gt;=NKC!$M$8),"x","")</f>
        <v/>
      </c>
      <c r="AA1067" s="587" t="str">
        <f>IF(VLOOKUP(H1067,DS_131,1,0)&lt;&gt;"","","x")</f>
        <v/>
      </c>
    </row>
    <row r="1068" spans="1:27" ht="15.75" customHeight="1">
      <c r="A1068" s="201" t="str">
        <f>IF(B1068&lt;&gt;"",IF(AND(B1068&gt;=_TM1,B1068&lt;=_TM2,OR(TH!L1068="1111",TH!M1068="1111")),TH!D1068,""),"")</f>
        <v/>
      </c>
      <c r="B1068" s="36">
        <f t="shared" ref="B1068:B1074" si="47">IF(C1068&lt;&gt;"",MONTH(C1068),"")</f>
        <v>12</v>
      </c>
      <c r="C1068" s="771">
        <f t="shared" si="45"/>
        <v>41639</v>
      </c>
      <c r="D1068" s="771" t="s">
        <v>339</v>
      </c>
      <c r="E1068" s="771">
        <v>41639</v>
      </c>
      <c r="F1068" s="696" t="s">
        <v>1255</v>
      </c>
      <c r="G1068" s="697"/>
      <c r="H1068" s="609"/>
      <c r="I1068" s="477"/>
      <c r="J1068" s="477"/>
      <c r="K1068" s="698">
        <v>5880000</v>
      </c>
      <c r="L1068" s="699" t="s">
        <v>83</v>
      </c>
      <c r="M1068" s="699" t="s">
        <v>265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IF(OR(TH!L1068=TH!$U$7,M1068=TH!$U$7),"x","")</f>
        <v>x</v>
      </c>
      <c r="V1068" s="52" t="str">
        <f>IF(AND(B1068&gt;='IN-NX'!$P$3,B1068&lt;='IN-NX'!$Q$3,'IN-NX'!$D$7=D1068,OR(LEFT(L1068,2)="15",AND(LEFT(M1068,2)&lt;&gt;"15",LEFT(M1068,2)&lt;&gt;"33"))),"x","")</f>
        <v/>
      </c>
      <c r="W1068" s="52" t="str">
        <f>IF(AND(OR(LEFT(TH!L1068,2)="15",LEFT(TH!M1068,2)="15"),'152-CT'!$J$8=TH!F1068),"x","")</f>
        <v/>
      </c>
      <c r="X1068" s="52" t="str">
        <f>IF(AND(OR(LEFT(TH!L1068,2)="15",LEFT(TH!M1068,2)="15"),TK!$E$7=TH!F1068),"x","")</f>
        <v/>
      </c>
      <c r="Y1068" s="52" t="str">
        <f>IF(AND(B1068&lt;=NKC!$N$8,B1068&gt;=NKC!$M$8),"x","")</f>
        <v/>
      </c>
    </row>
    <row r="1069" spans="1:27" ht="15.75" customHeight="1">
      <c r="A1069" s="201" t="str">
        <f>IF(B1069&lt;&gt;"",IF(AND(B1069&gt;=_TM1,B1069&lt;=_TM2,OR(TH!L1069="1111",TH!M1069="1111")),TH!D1069,""),"")</f>
        <v/>
      </c>
      <c r="B1069" s="36">
        <f t="shared" si="47"/>
        <v>12</v>
      </c>
      <c r="C1069" s="771">
        <f t="shared" si="45"/>
        <v>41639</v>
      </c>
      <c r="D1069" s="771" t="s">
        <v>339</v>
      </c>
      <c r="E1069" s="771">
        <v>41639</v>
      </c>
      <c r="F1069" s="696" t="s">
        <v>1256</v>
      </c>
      <c r="G1069" s="697"/>
      <c r="H1069" s="609"/>
      <c r="I1069" s="477"/>
      <c r="J1069" s="477"/>
      <c r="K1069" s="698">
        <v>7570000</v>
      </c>
      <c r="L1069" s="699" t="s">
        <v>162</v>
      </c>
      <c r="M1069" s="699" t="s">
        <v>265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IF(OR(TH!L1069=TH!$U$7,M1069=TH!$U$7),"x","")</f>
        <v/>
      </c>
      <c r="V1069" s="52" t="str">
        <f>IF(AND(B1069&gt;='IN-NX'!$P$3,B1069&lt;='IN-NX'!$Q$3,'IN-NX'!$D$7=D1069,OR(LEFT(L1069,2)="15",AND(LEFT(M1069,2)&lt;&gt;"15",LEFT(M1069,2)&lt;&gt;"33"))),"x","")</f>
        <v/>
      </c>
      <c r="W1069" s="52" t="str">
        <f>IF(AND(OR(LEFT(TH!L1069,2)="15",LEFT(TH!M1069,2)="15"),'152-CT'!$J$8=TH!F1069),"x","")</f>
        <v/>
      </c>
      <c r="X1069" s="52" t="str">
        <f>IF(AND(OR(LEFT(TH!L1069,2)="15",LEFT(TH!M1069,2)="15"),TK!$E$7=TH!F1069),"x","")</f>
        <v/>
      </c>
      <c r="Y1069" s="52" t="str">
        <f>IF(AND(B1069&lt;=NKC!$N$8,B1069&gt;=NKC!$M$8),"x","")</f>
        <v/>
      </c>
    </row>
    <row r="1070" spans="1:27" ht="15.75" customHeight="1">
      <c r="A1070" s="201" t="str">
        <f>IF(B1070&lt;&gt;"",IF(AND(B1070&gt;=_TM1,B1070&lt;=_TM2,OR(TH!L1070="1111",TH!M1070="1111")),TH!D1070,""),"")</f>
        <v>C36</v>
      </c>
      <c r="B1070" s="36">
        <f t="shared" si="47"/>
        <v>12</v>
      </c>
      <c r="C1070" s="771">
        <f t="shared" si="45"/>
        <v>41639</v>
      </c>
      <c r="D1070" s="771" t="s">
        <v>1298</v>
      </c>
      <c r="E1070" s="771">
        <v>41639</v>
      </c>
      <c r="F1070" s="696" t="str">
        <f>"Thanh toán tiền lương tháng "&amp;MONTH(E1070)&amp;"/"&amp;YEAR(E1070)</f>
        <v>Thanh toán tiền lương tháng 12/2013</v>
      </c>
      <c r="G1070" s="697"/>
      <c r="H1070" s="609" t="s">
        <v>364</v>
      </c>
      <c r="I1070" s="477"/>
      <c r="J1070" s="477"/>
      <c r="K1070" s="698">
        <f>K1068+K1069</f>
        <v>13450000</v>
      </c>
      <c r="L1070" s="699" t="s">
        <v>265</v>
      </c>
      <c r="M1070" s="699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IF(OR(TH!L1070=TH!$U$7,M1070=TH!$U$7),"x","")</f>
        <v/>
      </c>
      <c r="V1070" s="52" t="str">
        <f>IF(AND(B1070&gt;='IN-NX'!$P$3,B1070&lt;='IN-NX'!$Q$3,'IN-NX'!$D$7=D1070,OR(LEFT(L1070,2)="15",AND(LEFT(M1070,2)&lt;&gt;"15",LEFT(M1070,2)&lt;&gt;"33"))),"x","")</f>
        <v/>
      </c>
      <c r="W1070" s="52" t="str">
        <f>IF(AND(OR(LEFT(TH!L1070,2)="15",LEFT(TH!M1070,2)="15"),'152-CT'!$J$8=TH!F1070),"x","")</f>
        <v/>
      </c>
      <c r="X1070" s="52" t="str">
        <f>IF(AND(OR(LEFT(TH!L1070,2)="15",LEFT(TH!M1070,2)="15"),TK!$E$7=TH!F1070),"x","")</f>
        <v/>
      </c>
      <c r="Y1070" s="52" t="str">
        <f>IF(AND(B1070&lt;=NKC!$N$8,B1070&gt;=NKC!$M$8),"x","")</f>
        <v/>
      </c>
    </row>
    <row r="1071" spans="1:27" ht="15.75" customHeight="1">
      <c r="A1071" s="201" t="str">
        <f>IF(B1071&lt;&gt;"",IF(AND(B1071&gt;=_TM1,B1071&lt;=_TM2,OR(TH!L1071="1111",TH!M1071="1111")),TH!D1071,""),"")</f>
        <v>T33</v>
      </c>
      <c r="B1071" s="36">
        <f t="shared" si="47"/>
        <v>12</v>
      </c>
      <c r="C1071" s="181">
        <f t="shared" si="45"/>
        <v>41639</v>
      </c>
      <c r="D1071" s="181" t="s">
        <v>1291</v>
      </c>
      <c r="E1071" s="188">
        <v>41639</v>
      </c>
      <c r="F1071" s="186" t="s">
        <v>469</v>
      </c>
      <c r="G1071" s="597" t="s">
        <v>332</v>
      </c>
      <c r="H1071" s="7" t="s">
        <v>364</v>
      </c>
      <c r="I1071" s="250"/>
      <c r="J1071" s="251"/>
      <c r="K1071" s="38">
        <v>32900000</v>
      </c>
      <c r="L1071" s="596" t="s">
        <v>47</v>
      </c>
      <c r="M1071" s="596" t="s">
        <v>24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>x</v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IF(OR(TH!L1071=TH!$U$7,M1071=TH!$U$7),"x","")</f>
        <v/>
      </c>
      <c r="V1071" s="52" t="str">
        <f>IF(AND(B1071&gt;='IN-NX'!$P$3,B1071&lt;='IN-NX'!$Q$3,'IN-NX'!$D$7=D1071,OR(LEFT(L1071,2)="15",AND(LEFT(M1071,2)&lt;&gt;"15",LEFT(M1071,2)&lt;&gt;"33"))),"x","")</f>
        <v/>
      </c>
      <c r="W1071" s="52" t="str">
        <f>IF(AND(OR(LEFT(TH!L1071,2)="15",LEFT(TH!M1071,2)="15"),'152-CT'!$J$8=TH!F1071),"x","")</f>
        <v/>
      </c>
      <c r="X1071" s="52" t="str">
        <f>IF(AND(OR(LEFT(TH!L1071,2)="15",LEFT(TH!M1071,2)="15"),TK!$E$7=TH!F1071),"x","")</f>
        <v/>
      </c>
      <c r="Y1071" s="52" t="str">
        <f>IF(AND(B1071&lt;=NKC!$N$8,B1071&gt;=NKC!$M$8),"x","")</f>
        <v/>
      </c>
      <c r="Z1071" s="587"/>
    </row>
    <row r="1072" spans="1:27" ht="15.75" customHeight="1">
      <c r="A1072" s="201" t="str">
        <f>IF(B1072&lt;&gt;"",IF(AND(B1072&gt;=_TM1,B1072&lt;=_TM2,OR(TH!L1072="1111",TH!M1072="1111")),TH!D1072,""),"")</f>
        <v>C37</v>
      </c>
      <c r="B1072" s="36">
        <f t="shared" si="47"/>
        <v>12</v>
      </c>
      <c r="C1072" s="181">
        <f t="shared" si="45"/>
        <v>41639</v>
      </c>
      <c r="D1072" s="181" t="s">
        <v>1302</v>
      </c>
      <c r="E1072" s="188">
        <v>41639</v>
      </c>
      <c r="F1072" s="186" t="s">
        <v>383</v>
      </c>
      <c r="G1072" s="657" t="s">
        <v>551</v>
      </c>
      <c r="H1072" s="7" t="s">
        <v>487</v>
      </c>
      <c r="I1072" s="249"/>
      <c r="J1072" s="251"/>
      <c r="K1072" s="595">
        <v>1136048</v>
      </c>
      <c r="L1072" s="596" t="s">
        <v>83</v>
      </c>
      <c r="M1072" s="596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IF(OR(TH!L1072=TH!$U$7,M1072=TH!$U$7),"x","")</f>
        <v>x</v>
      </c>
      <c r="V1072" s="52" t="str">
        <f>IF(AND(B1072&gt;='IN-NX'!$P$3,B1072&lt;='IN-NX'!$Q$3,'IN-NX'!$D$7=D1072,OR(LEFT(L1072,2)="15",AND(LEFT(M1072,2)&lt;&gt;"15",LEFT(M1072,2)&lt;&gt;"33"))),"x","")</f>
        <v/>
      </c>
      <c r="W1072" s="52" t="str">
        <f>IF(AND(OR(LEFT(TH!L1072,2)="15",LEFT(TH!M1072,2)="15"),'152-CT'!$J$8=TH!F1072),"x","")</f>
        <v/>
      </c>
      <c r="X1072" s="52" t="str">
        <f>IF(AND(OR(LEFT(TH!L1072,2)="15",LEFT(TH!M1072,2)="15"),TK!$E$7=TH!F1072),"x","")</f>
        <v/>
      </c>
      <c r="Y1072" s="52" t="str">
        <f>IF(AND(B1072&lt;=NKC!$N$8,B1072&gt;=NKC!$M$8),"x","")</f>
        <v/>
      </c>
      <c r="Z1072" s="587" t="s">
        <v>1336</v>
      </c>
    </row>
    <row r="1073" spans="1:26" ht="15.75" customHeight="1">
      <c r="A1073" s="201" t="str">
        <f>IF(B1073&lt;&gt;"",IF(AND(B1073&gt;=_TM1,B1073&lt;=_TM2,OR(TH!L1073="1111",TH!M1073="1111")),TH!D1073,""),"")</f>
        <v>C37</v>
      </c>
      <c r="B1073" s="36">
        <f t="shared" si="47"/>
        <v>12</v>
      </c>
      <c r="C1073" s="181">
        <f t="shared" si="45"/>
        <v>41639</v>
      </c>
      <c r="D1073" s="181" t="s">
        <v>1302</v>
      </c>
      <c r="E1073" s="188">
        <v>41639</v>
      </c>
      <c r="F1073" s="186" t="s">
        <v>384</v>
      </c>
      <c r="G1073" s="657" t="s">
        <v>551</v>
      </c>
      <c r="H1073" s="7" t="s">
        <v>487</v>
      </c>
      <c r="I1073" s="250"/>
      <c r="J1073" s="251"/>
      <c r="K1073" s="38">
        <v>113605</v>
      </c>
      <c r="L1073" s="596" t="s">
        <v>9</v>
      </c>
      <c r="M1073" s="596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>x</v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IF(OR(TH!L1073=TH!$U$7,M1073=TH!$U$7),"x","")</f>
        <v/>
      </c>
      <c r="V1073" s="52" t="str">
        <f>IF(AND(B1073&gt;='IN-NX'!$P$3,B1073&lt;='IN-NX'!$Q$3,'IN-NX'!$D$7=D1073,OR(LEFT(L1073,2)="15",AND(LEFT(M1073,2)&lt;&gt;"15",LEFT(M1073,2)&lt;&gt;"33"))),"x","")</f>
        <v/>
      </c>
      <c r="W1073" s="52" t="str">
        <f>IF(AND(OR(LEFT(TH!L1073,2)="15",LEFT(TH!M1073,2)="15"),'152-CT'!$J$8=TH!F1073),"x","")</f>
        <v/>
      </c>
      <c r="X1073" s="52" t="str">
        <f>IF(AND(OR(LEFT(TH!L1073,2)="15",LEFT(TH!M1073,2)="15"),TK!$E$7=TH!F1073),"x","")</f>
        <v/>
      </c>
      <c r="Y1073" s="52" t="str">
        <f>IF(AND(B1073&lt;=NKC!$N$8,B1073&gt;=NKC!$M$8),"x","")</f>
        <v/>
      </c>
      <c r="Z1073" s="587" t="s">
        <v>1336</v>
      </c>
    </row>
    <row r="1074" spans="1:26" ht="15.75" customHeight="1">
      <c r="A1074" s="201" t="str">
        <f>IF(B1074&lt;&gt;"",IF(AND(B1074&gt;=_TM1,B1074&lt;=_TM2,OR(TH!L1074="1111",TH!M1074="1111")),TH!D1074,""),"")</f>
        <v/>
      </c>
      <c r="B1074" s="36">
        <f t="shared" si="47"/>
        <v>12</v>
      </c>
      <c r="C1074" s="188">
        <f t="shared" si="45"/>
        <v>41639</v>
      </c>
      <c r="D1074" s="181" t="s">
        <v>339</v>
      </c>
      <c r="E1074" s="188">
        <v>41639</v>
      </c>
      <c r="F1074" s="186" t="s">
        <v>1013</v>
      </c>
      <c r="G1074" s="597"/>
      <c r="H1074" s="190" t="s">
        <v>1012</v>
      </c>
      <c r="I1074" s="249"/>
      <c r="J1074" s="249"/>
      <c r="K1074" s="595">
        <v>19239684</v>
      </c>
      <c r="L1074" s="596" t="s">
        <v>9</v>
      </c>
      <c r="M1074" s="596" t="s">
        <v>17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IF(OR(TH!L1074=TH!$U$7,M1074=TH!$U$7),"x","")</f>
        <v/>
      </c>
      <c r="V1074" s="52" t="str">
        <f>IF(AND(B1074&gt;='IN-NX'!$P$3,B1074&lt;='IN-NX'!$Q$3,'IN-NX'!$D$7=D1074,OR(LEFT(L1074,2)="15",AND(LEFT(M1074,2)&lt;&gt;"15",LEFT(M1074,2)&lt;&gt;"33"))),"x","")</f>
        <v/>
      </c>
      <c r="W1074" s="52" t="str">
        <f>IF(AND(OR(LEFT(TH!L1074,2)="15",LEFT(TH!M1074,2)="15"),'152-CT'!$J$8=TH!F1074),"x","")</f>
        <v/>
      </c>
      <c r="X1074" s="52" t="str">
        <f>IF(AND(OR(LEFT(TH!L1074,2)="15",LEFT(TH!M1074,2)="15"),TK!$E$7=TH!F1074),"x","")</f>
        <v/>
      </c>
      <c r="Y1074" s="52" t="str">
        <f>IF(AND(B1074&lt;=NKC!$N$8,B1074&gt;=NKC!$M$8),"x","")</f>
        <v/>
      </c>
      <c r="Z1074" s="587"/>
    </row>
    <row r="1075" spans="1:26" s="767" customFormat="1" ht="15.75" customHeight="1">
      <c r="A1075" s="201" t="str">
        <f>IF(B1075&lt;&gt;"",IF(AND(B1075&gt;=_TM1,B1075&lt;=_TM2,OR(TH!L1075="1111",TH!M1075="1111")),TH!D1075,""),"")</f>
        <v/>
      </c>
      <c r="B1075" s="692">
        <f t="shared" ref="B1075:B1082" si="48">IF(C1075&lt;&gt;"",MONTH(C1075),"")</f>
        <v>1</v>
      </c>
      <c r="C1075" s="791">
        <f t="shared" ref="C1075:C1082" si="49">E1075</f>
        <v>41276</v>
      </c>
      <c r="D1075" s="791" t="s">
        <v>1251</v>
      </c>
      <c r="E1075" s="847">
        <v>41276</v>
      </c>
      <c r="F1075" s="848" t="s">
        <v>369</v>
      </c>
      <c r="G1075" s="792"/>
      <c r="H1075" s="795" t="s">
        <v>1252</v>
      </c>
      <c r="I1075" s="248">
        <v>25</v>
      </c>
      <c r="J1075" s="248">
        <v>25000</v>
      </c>
      <c r="K1075" s="693">
        <f>ROUND(I1075*J1075,0)</f>
        <v>625000</v>
      </c>
      <c r="L1075" s="52" t="s">
        <v>162</v>
      </c>
      <c r="M1075" s="52" t="s">
        <v>158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IF(OR(TH!L1075=TH!$U$7,M1075=TH!$U$7),"x","")</f>
        <v/>
      </c>
      <c r="V1075" s="52" t="str">
        <f>IF(AND(B1075&gt;='IN-NX'!$P$3,B1075&lt;='IN-NX'!$Q$3,'IN-NX'!$D$7=D1075,OR(LEFT(L1075,2)="15",AND(LEFT(M1075,2)&lt;&gt;"15",LEFT(M1075,2)&lt;&gt;"33"))),"x","")</f>
        <v/>
      </c>
      <c r="W1075" s="52" t="str">
        <f>IF(AND(OR(LEFT(TH!L1075,2)="15",LEFT(TH!M1075,2)="15"),'152-CT'!$J$8=TH!F1075),"x","")</f>
        <v/>
      </c>
      <c r="X1075" s="52" t="str">
        <f>IF(AND(OR(LEFT(TH!L1075,2)="15",LEFT(TH!M1075,2)="15"),TK!$E$7=TH!F1075),"x","")</f>
        <v>x</v>
      </c>
      <c r="Y1075" s="52" t="str">
        <f>IF(AND(B1075&lt;=NKC!$N$8,B1075&gt;=NKC!$M$8),"x","")</f>
        <v/>
      </c>
    </row>
    <row r="1076" spans="1:26" s="767" customFormat="1" ht="15.75" customHeight="1">
      <c r="A1076" s="201" t="str">
        <f>IF(B1076&lt;&gt;"",IF(AND(B1076&gt;=_TM1,B1076&lt;=_TM2,OR(TH!L1076="1111",TH!M1076="1111")),TH!D1076,""),"")</f>
        <v/>
      </c>
      <c r="B1076" s="692">
        <f t="shared" si="48"/>
        <v>1</v>
      </c>
      <c r="C1076" s="791">
        <f t="shared" si="49"/>
        <v>41276</v>
      </c>
      <c r="D1076" s="791" t="s">
        <v>1251</v>
      </c>
      <c r="E1076" s="847">
        <v>41276</v>
      </c>
      <c r="F1076" s="848" t="s">
        <v>342</v>
      </c>
      <c r="G1076" s="792"/>
      <c r="H1076" s="795" t="s">
        <v>1252</v>
      </c>
      <c r="I1076" s="248">
        <v>24</v>
      </c>
      <c r="J1076" s="248">
        <v>42000</v>
      </c>
      <c r="K1076" s="693">
        <f t="shared" ref="K1076:K1083" si="50">ROUND(I1076*J1076,0)</f>
        <v>1008000</v>
      </c>
      <c r="L1076" s="52" t="s">
        <v>162</v>
      </c>
      <c r="M1076" s="52" t="s">
        <v>158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IF(OR(TH!L1076=TH!$U$7,M1076=TH!$U$7),"x","")</f>
        <v/>
      </c>
      <c r="V1076" s="52" t="str">
        <f>IF(AND(B1076&gt;='IN-NX'!$P$3,B1076&lt;='IN-NX'!$Q$3,'IN-NX'!$D$7=D1076,OR(LEFT(L1076,2)="15",AND(LEFT(M1076,2)&lt;&gt;"15",LEFT(M1076,2)&lt;&gt;"33"))),"x","")</f>
        <v/>
      </c>
      <c r="W1076" s="52" t="str">
        <f>IF(AND(OR(LEFT(TH!L1076,2)="15",LEFT(TH!M1076,2)="15"),'152-CT'!$J$8=TH!F1076),"x","")</f>
        <v/>
      </c>
      <c r="X1076" s="52" t="str">
        <f>IF(AND(OR(LEFT(TH!L1076,2)="15",LEFT(TH!M1076,2)="15"),TK!$E$7=TH!F1076),"x","")</f>
        <v/>
      </c>
      <c r="Y1076" s="52" t="str">
        <f>IF(AND(B1076&lt;=NKC!$N$8,B1076&gt;=NKC!$M$8),"x","")</f>
        <v/>
      </c>
    </row>
    <row r="1077" spans="1:26" s="767" customFormat="1" ht="15.75" customHeight="1">
      <c r="A1077" s="201" t="str">
        <f>IF(B1077&lt;&gt;"",IF(AND(B1077&gt;=_TM1,B1077&lt;=_TM2,OR(TH!L1077="1111",TH!M1077="1111")),TH!D1077,""),"")</f>
        <v/>
      </c>
      <c r="B1077" s="692">
        <f t="shared" si="48"/>
        <v>4</v>
      </c>
      <c r="C1077" s="791">
        <f t="shared" si="49"/>
        <v>41365</v>
      </c>
      <c r="D1077" s="791" t="s">
        <v>1251</v>
      </c>
      <c r="E1077" s="791">
        <v>41365</v>
      </c>
      <c r="F1077" s="848" t="s">
        <v>369</v>
      </c>
      <c r="G1077" s="792"/>
      <c r="H1077" s="795" t="s">
        <v>1252</v>
      </c>
      <c r="I1077" s="248">
        <v>25</v>
      </c>
      <c r="J1077" s="248">
        <v>25000</v>
      </c>
      <c r="K1077" s="693">
        <f t="shared" si="50"/>
        <v>625000</v>
      </c>
      <c r="L1077" s="52" t="s">
        <v>162</v>
      </c>
      <c r="M1077" s="52" t="s">
        <v>158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IF(OR(TH!L1077=TH!$U$7,M1077=TH!$U$7),"x","")</f>
        <v/>
      </c>
      <c r="V1077" s="52" t="str">
        <f>IF(AND(B1077&gt;='IN-NX'!$P$3,B1077&lt;='IN-NX'!$Q$3,'IN-NX'!$D$7=D1077,OR(LEFT(L1077,2)="15",AND(LEFT(M1077,2)&lt;&gt;"15",LEFT(M1077,2)&lt;&gt;"33"))),"x","")</f>
        <v/>
      </c>
      <c r="W1077" s="52" t="str">
        <f>IF(AND(OR(LEFT(TH!L1077,2)="15",LEFT(TH!M1077,2)="15"),'152-CT'!$J$8=TH!F1077),"x","")</f>
        <v/>
      </c>
      <c r="X1077" s="52" t="str">
        <f>IF(AND(OR(LEFT(TH!L1077,2)="15",LEFT(TH!M1077,2)="15"),TK!$E$7=TH!F1077),"x","")</f>
        <v>x</v>
      </c>
      <c r="Y1077" s="52" t="str">
        <f>IF(AND(B1077&lt;=NKC!$N$8,B1077&gt;=NKC!$M$8),"x","")</f>
        <v/>
      </c>
    </row>
    <row r="1078" spans="1:26" s="767" customFormat="1" ht="15.75" customHeight="1">
      <c r="A1078" s="201" t="str">
        <f>IF(B1078&lt;&gt;"",IF(AND(B1078&gt;=_TM1,B1078&lt;=_TM2,OR(TH!L1078="1111",TH!M1078="1111")),TH!D1078,""),"")</f>
        <v/>
      </c>
      <c r="B1078" s="692">
        <f t="shared" si="48"/>
        <v>4</v>
      </c>
      <c r="C1078" s="791">
        <f t="shared" si="49"/>
        <v>41365</v>
      </c>
      <c r="D1078" s="791" t="s">
        <v>1251</v>
      </c>
      <c r="E1078" s="791">
        <v>41365</v>
      </c>
      <c r="F1078" s="848" t="s">
        <v>342</v>
      </c>
      <c r="G1078" s="792"/>
      <c r="H1078" s="795" t="s">
        <v>1252</v>
      </c>
      <c r="I1078" s="248">
        <v>24</v>
      </c>
      <c r="J1078" s="248">
        <v>44000</v>
      </c>
      <c r="K1078" s="693">
        <f t="shared" si="50"/>
        <v>1056000</v>
      </c>
      <c r="L1078" s="52" t="s">
        <v>162</v>
      </c>
      <c r="M1078" s="52" t="s">
        <v>158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IF(OR(TH!L1078=TH!$U$7,M1078=TH!$U$7),"x","")</f>
        <v/>
      </c>
      <c r="V1078" s="52" t="str">
        <f>IF(AND(B1078&gt;='IN-NX'!$P$3,B1078&lt;='IN-NX'!$Q$3,'IN-NX'!$D$7=D1078,OR(LEFT(L1078,2)="15",AND(LEFT(M1078,2)&lt;&gt;"15",LEFT(M1078,2)&lt;&gt;"33"))),"x","")</f>
        <v/>
      </c>
      <c r="W1078" s="52" t="str">
        <f>IF(AND(OR(LEFT(TH!L1078,2)="15",LEFT(TH!M1078,2)="15"),'152-CT'!$J$8=TH!F1078),"x","")</f>
        <v/>
      </c>
      <c r="X1078" s="52" t="str">
        <f>IF(AND(OR(LEFT(TH!L1078,2)="15",LEFT(TH!M1078,2)="15"),TK!$E$7=TH!F1078),"x","")</f>
        <v/>
      </c>
      <c r="Y1078" s="52" t="str">
        <f>IF(AND(B1078&lt;=NKC!$N$8,B1078&gt;=NKC!$M$8),"x","")</f>
        <v/>
      </c>
    </row>
    <row r="1079" spans="1:26" s="767" customFormat="1" ht="15.75" customHeight="1">
      <c r="A1079" s="201" t="str">
        <f>IF(B1079&lt;&gt;"",IF(AND(B1079&gt;=_TM1,B1079&lt;=_TM2,OR(TH!L1079="1111",TH!M1079="1111")),TH!D1079,""),"")</f>
        <v/>
      </c>
      <c r="B1079" s="692">
        <f t="shared" si="48"/>
        <v>7</v>
      </c>
      <c r="C1079" s="791">
        <f t="shared" si="49"/>
        <v>41456</v>
      </c>
      <c r="D1079" s="791" t="s">
        <v>1251</v>
      </c>
      <c r="E1079" s="791">
        <v>41456</v>
      </c>
      <c r="F1079" s="848" t="s">
        <v>369</v>
      </c>
      <c r="G1079" s="792"/>
      <c r="H1079" s="795" t="s">
        <v>1252</v>
      </c>
      <c r="I1079" s="248">
        <v>25</v>
      </c>
      <c r="J1079" s="248">
        <v>25000</v>
      </c>
      <c r="K1079" s="693">
        <f t="shared" si="50"/>
        <v>625000</v>
      </c>
      <c r="L1079" s="52" t="s">
        <v>162</v>
      </c>
      <c r="M1079" s="52" t="s">
        <v>158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IF(OR(TH!L1079=TH!$U$7,M1079=TH!$U$7),"x","")</f>
        <v/>
      </c>
      <c r="V1079" s="52" t="str">
        <f>IF(AND(B1079&gt;='IN-NX'!$P$3,B1079&lt;='IN-NX'!$Q$3,'IN-NX'!$D$7=D1079,OR(LEFT(L1079,2)="15",AND(LEFT(M1079,2)&lt;&gt;"15",LEFT(M1079,2)&lt;&gt;"33"))),"x","")</f>
        <v/>
      </c>
      <c r="W1079" s="52" t="str">
        <f>IF(AND(OR(LEFT(TH!L1079,2)="15",LEFT(TH!M1079,2)="15"),'152-CT'!$J$8=TH!F1079),"x","")</f>
        <v/>
      </c>
      <c r="X1079" s="52" t="str">
        <f>IF(AND(OR(LEFT(TH!L1079,2)="15",LEFT(TH!M1079,2)="15"),TK!$E$7=TH!F1079),"x","")</f>
        <v>x</v>
      </c>
      <c r="Y1079" s="52" t="str">
        <f>IF(AND(B1079&lt;=NKC!$N$8,B1079&gt;=NKC!$M$8),"x","")</f>
        <v>x</v>
      </c>
    </row>
    <row r="1080" spans="1:26" s="767" customFormat="1" ht="15.75" customHeight="1">
      <c r="A1080" s="201" t="str">
        <f>IF(B1080&lt;&gt;"",IF(AND(B1080&gt;=_TM1,B1080&lt;=_TM2,OR(TH!L1080="1111",TH!M1080="1111")),TH!D1080,""),"")</f>
        <v/>
      </c>
      <c r="B1080" s="692">
        <f t="shared" si="48"/>
        <v>7</v>
      </c>
      <c r="C1080" s="791">
        <f t="shared" si="49"/>
        <v>41456</v>
      </c>
      <c r="D1080" s="791" t="s">
        <v>1251</v>
      </c>
      <c r="E1080" s="791">
        <v>41456</v>
      </c>
      <c r="F1080" s="848" t="s">
        <v>342</v>
      </c>
      <c r="G1080" s="792"/>
      <c r="H1080" s="795" t="s">
        <v>1252</v>
      </c>
      <c r="I1080" s="248">
        <v>24</v>
      </c>
      <c r="J1080" s="248">
        <v>44000</v>
      </c>
      <c r="K1080" s="693">
        <f t="shared" si="50"/>
        <v>1056000</v>
      </c>
      <c r="L1080" s="52" t="s">
        <v>162</v>
      </c>
      <c r="M1080" s="52" t="s">
        <v>158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IF(OR(TH!L1080=TH!$U$7,M1080=TH!$U$7),"x","")</f>
        <v/>
      </c>
      <c r="V1080" s="52" t="str">
        <f>IF(AND(B1080&gt;='IN-NX'!$P$3,B1080&lt;='IN-NX'!$Q$3,'IN-NX'!$D$7=D1080,OR(LEFT(L1080,2)="15",AND(LEFT(M1080,2)&lt;&gt;"15",LEFT(M1080,2)&lt;&gt;"33"))),"x","")</f>
        <v/>
      </c>
      <c r="W1080" s="52" t="str">
        <f>IF(AND(OR(LEFT(TH!L1080,2)="15",LEFT(TH!M1080,2)="15"),'152-CT'!$J$8=TH!F1080),"x","")</f>
        <v/>
      </c>
      <c r="X1080" s="52" t="str">
        <f>IF(AND(OR(LEFT(TH!L1080,2)="15",LEFT(TH!M1080,2)="15"),TK!$E$7=TH!F1080),"x","")</f>
        <v/>
      </c>
      <c r="Y1080" s="52" t="str">
        <f>IF(AND(B1080&lt;=NKC!$N$8,B1080&gt;=NKC!$M$8),"x","")</f>
        <v>x</v>
      </c>
    </row>
    <row r="1081" spans="1:26" s="767" customFormat="1" ht="15.75" customHeight="1">
      <c r="A1081" s="201" t="str">
        <f>IF(B1081&lt;&gt;"",IF(AND(B1081&gt;=_TM1,B1081&lt;=_TM2,OR(TH!L1081="1111",TH!M1081="1111")),TH!D1081,""),"")</f>
        <v/>
      </c>
      <c r="B1081" s="692">
        <f t="shared" si="48"/>
        <v>10</v>
      </c>
      <c r="C1081" s="791">
        <f t="shared" si="49"/>
        <v>41548</v>
      </c>
      <c r="D1081" s="791" t="s">
        <v>1251</v>
      </c>
      <c r="E1081" s="791">
        <v>41548</v>
      </c>
      <c r="F1081" s="848" t="s">
        <v>369</v>
      </c>
      <c r="G1081" s="792"/>
      <c r="H1081" s="795" t="s">
        <v>1252</v>
      </c>
      <c r="I1081" s="248">
        <v>25</v>
      </c>
      <c r="J1081" s="248">
        <v>25000</v>
      </c>
      <c r="K1081" s="693">
        <f t="shared" si="50"/>
        <v>625000</v>
      </c>
      <c r="L1081" s="52" t="s">
        <v>162</v>
      </c>
      <c r="M1081" s="52" t="s">
        <v>158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IF(OR(TH!L1081=TH!$U$7,M1081=TH!$U$7),"x","")</f>
        <v/>
      </c>
      <c r="V1081" s="52" t="str">
        <f>IF(AND(B1081&gt;='IN-NX'!$P$3,B1081&lt;='IN-NX'!$Q$3,'IN-NX'!$D$7=D1081,OR(LEFT(L1081,2)="15",AND(LEFT(M1081,2)&lt;&gt;"15",LEFT(M1081,2)&lt;&gt;"33"))),"x","")</f>
        <v/>
      </c>
      <c r="W1081" s="52" t="str">
        <f>IF(AND(OR(LEFT(TH!L1081,2)="15",LEFT(TH!M1081,2)="15"),'152-CT'!$J$8=TH!F1081),"x","")</f>
        <v/>
      </c>
      <c r="X1081" s="52" t="str">
        <f>IF(AND(OR(LEFT(TH!L1081,2)="15",LEFT(TH!M1081,2)="15"),TK!$E$7=TH!F1081),"x","")</f>
        <v>x</v>
      </c>
      <c r="Y1081" s="52" t="str">
        <f>IF(AND(B1081&lt;=NKC!$N$8,B1081&gt;=NKC!$M$8),"x","")</f>
        <v/>
      </c>
    </row>
    <row r="1082" spans="1:26" s="767" customFormat="1" ht="15.75" customHeight="1">
      <c r="A1082" s="201" t="str">
        <f>IF(B1082&lt;&gt;"",IF(AND(B1082&gt;=_TM1,B1082&lt;=_TM2,OR(TH!L1082="1111",TH!M1082="1111")),TH!D1082,""),"")</f>
        <v/>
      </c>
      <c r="B1082" s="692">
        <f t="shared" si="48"/>
        <v>10</v>
      </c>
      <c r="C1082" s="791">
        <f t="shared" si="49"/>
        <v>41548</v>
      </c>
      <c r="D1082" s="791" t="s">
        <v>1251</v>
      </c>
      <c r="E1082" s="791">
        <v>41548</v>
      </c>
      <c r="F1082" s="848" t="s">
        <v>342</v>
      </c>
      <c r="G1082" s="792"/>
      <c r="H1082" s="795" t="s">
        <v>1252</v>
      </c>
      <c r="I1082" s="248">
        <v>24</v>
      </c>
      <c r="J1082" s="248">
        <v>44000</v>
      </c>
      <c r="K1082" s="693">
        <f t="shared" si="50"/>
        <v>1056000</v>
      </c>
      <c r="L1082" s="52" t="s">
        <v>162</v>
      </c>
      <c r="M1082" s="52" t="s">
        <v>158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IF(OR(TH!L1082=TH!$U$7,M1082=TH!$U$7),"x","")</f>
        <v/>
      </c>
      <c r="V1082" s="52" t="str">
        <f>IF(AND(B1082&gt;='IN-NX'!$P$3,B1082&lt;='IN-NX'!$Q$3,'IN-NX'!$D$7=D1082,OR(LEFT(L1082,2)="15",AND(LEFT(M1082,2)&lt;&gt;"15",LEFT(M1082,2)&lt;&gt;"33"))),"x","")</f>
        <v/>
      </c>
      <c r="W1082" s="52" t="str">
        <f>IF(AND(OR(LEFT(TH!L1082,2)="15",LEFT(TH!M1082,2)="15"),'152-CT'!$J$8=TH!F1082),"x","")</f>
        <v/>
      </c>
      <c r="X1082" s="52" t="str">
        <f>IF(AND(OR(LEFT(TH!L1082,2)="15",LEFT(TH!M1082,2)="15"),TK!$E$7=TH!F1082),"x","")</f>
        <v/>
      </c>
      <c r="Y1082" s="52" t="str">
        <f>IF(AND(B1082&lt;=NKC!$N$8,B1082&gt;=NKC!$M$8),"x","")</f>
        <v/>
      </c>
    </row>
    <row r="1083" spans="1:26" s="798" customFormat="1" ht="15.75" customHeight="1">
      <c r="A1083" s="201" t="str">
        <f>IF(B1083&lt;&gt;"",IF(AND(B1083&gt;=_TM1,B1083&lt;=_TM2,OR(TH!L1083="1111",TH!M1083="1111")),TH!D1083,""),"")</f>
        <v/>
      </c>
      <c r="B1083" s="796">
        <f t="shared" ref="B1083:B1109" si="51">IF(C1083&lt;&gt;"",MONTH(C1083),"")</f>
        <v>1</v>
      </c>
      <c r="C1083" s="853">
        <f>E1083</f>
        <v>41275</v>
      </c>
      <c r="D1083" s="853" t="s">
        <v>1260</v>
      </c>
      <c r="E1083" s="854">
        <v>41275</v>
      </c>
      <c r="F1083" s="855" t="s">
        <v>1153</v>
      </c>
      <c r="G1083" s="855" t="s">
        <v>691</v>
      </c>
      <c r="H1083" s="856" t="s">
        <v>1252</v>
      </c>
      <c r="I1083" s="857">
        <v>250</v>
      </c>
      <c r="J1083" s="858">
        <v>13507</v>
      </c>
      <c r="K1083" s="793">
        <f t="shared" si="50"/>
        <v>3376750</v>
      </c>
      <c r="L1083" s="786" t="s">
        <v>162</v>
      </c>
      <c r="M1083" s="859" t="s">
        <v>156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IF(OR(TH!L1083=TH!$U$7,M1083=TH!$U$7),"x","")</f>
        <v/>
      </c>
      <c r="V1083" s="52" t="str">
        <f>IF(AND(B1083&gt;='IN-NX'!$P$3,B1083&lt;='IN-NX'!$Q$3,'IN-NX'!$D$7=D1083,OR(LEFT(L1083,2)="15",AND(LEFT(M1083,2)&lt;&gt;"15",LEFT(M1083,2)&lt;&gt;"33"))),"x","")</f>
        <v/>
      </c>
      <c r="W1083" s="52" t="str">
        <f>IF(AND(OR(LEFT(TH!L1083,2)="15",LEFT(TH!M1083,2)="15"),'152-CT'!$J$8=TH!F1083),"x","")</f>
        <v/>
      </c>
      <c r="X1083" s="52" t="str">
        <f>IF(AND(OR(LEFT(TH!L1083,2)="15",LEFT(TH!M1083,2)="15"),TK!$E$7=TH!F1083),"x","")</f>
        <v/>
      </c>
      <c r="Y1083" s="52" t="str">
        <f>IF(AND(B1083&lt;=NKC!$N$8,B1083&gt;=NKC!$M$8),"x","")</f>
        <v/>
      </c>
    </row>
    <row r="1084" spans="1:26" s="208" customFormat="1" ht="15.75" customHeight="1">
      <c r="A1084" s="201" t="str">
        <f>IF(B1084&lt;&gt;"",IF(AND(B1084&gt;=_TM1,B1084&lt;=_TM2,OR(TH!L1084="1111",TH!M1084="1111")),TH!D1084,""),"")</f>
        <v/>
      </c>
      <c r="B1084" s="36">
        <f t="shared" si="51"/>
        <v>1</v>
      </c>
      <c r="C1084" s="188">
        <f t="shared" ref="C1084:C1147" si="52">E1084</f>
        <v>41275</v>
      </c>
      <c r="D1084" s="188" t="s">
        <v>1260</v>
      </c>
      <c r="E1084" s="37">
        <v>41275</v>
      </c>
      <c r="F1084" s="290" t="s">
        <v>1153</v>
      </c>
      <c r="G1084" s="40" t="s">
        <v>691</v>
      </c>
      <c r="H1084" s="7" t="s">
        <v>1252</v>
      </c>
      <c r="I1084" s="298">
        <v>80</v>
      </c>
      <c r="J1084" s="715">
        <v>13507</v>
      </c>
      <c r="K1084" s="595">
        <f t="shared" ref="K1084:K1147" si="53">ROUND(I1084*J1084,0)</f>
        <v>1080560</v>
      </c>
      <c r="L1084" s="39" t="s">
        <v>162</v>
      </c>
      <c r="M1084" s="596" t="s">
        <v>156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IF(OR(TH!L1084=TH!$U$7,M1084=TH!$U$7),"x","")</f>
        <v/>
      </c>
      <c r="V1084" s="52" t="str">
        <f>IF(AND(B1084&gt;='IN-NX'!$P$3,B1084&lt;='IN-NX'!$Q$3,'IN-NX'!$D$7=D1084,OR(LEFT(L1084,2)="15",AND(LEFT(M1084,2)&lt;&gt;"15",LEFT(M1084,2)&lt;&gt;"33"))),"x","")</f>
        <v/>
      </c>
      <c r="W1084" s="52" t="str">
        <f>IF(AND(OR(LEFT(TH!L1084,2)="15",LEFT(TH!M1084,2)="15"),'152-CT'!$J$8=TH!F1084),"x","")</f>
        <v/>
      </c>
      <c r="X1084" s="52" t="str">
        <f>IF(AND(OR(LEFT(TH!L1084,2)="15",LEFT(TH!M1084,2)="15"),TK!$E$7=TH!F1084),"x","")</f>
        <v/>
      </c>
      <c r="Y1084" s="52" t="str">
        <f>IF(AND(B1084&lt;=NKC!$N$8,B1084&gt;=NKC!$M$8),"x","")</f>
        <v/>
      </c>
    </row>
    <row r="1085" spans="1:26" s="208" customFormat="1" ht="15.75" customHeight="1">
      <c r="A1085" s="201" t="str">
        <f>IF(B1085&lt;&gt;"",IF(AND(B1085&gt;=_TM1,B1085&lt;=_TM2,OR(TH!L1085="1111",TH!M1085="1111")),TH!D1085,""),"")</f>
        <v/>
      </c>
      <c r="B1085" s="36">
        <f t="shared" si="51"/>
        <v>1</v>
      </c>
      <c r="C1085" s="188">
        <f t="shared" si="52"/>
        <v>41279</v>
      </c>
      <c r="D1085" s="188" t="s">
        <v>1260</v>
      </c>
      <c r="E1085" s="37">
        <v>41279</v>
      </c>
      <c r="F1085" s="186" t="s">
        <v>1154</v>
      </c>
      <c r="G1085" s="40" t="s">
        <v>695</v>
      </c>
      <c r="H1085" s="7" t="s">
        <v>1252</v>
      </c>
      <c r="I1085" s="298">
        <v>510</v>
      </c>
      <c r="J1085" s="765">
        <v>8505</v>
      </c>
      <c r="K1085" s="595">
        <f t="shared" si="53"/>
        <v>4337550</v>
      </c>
      <c r="L1085" s="39" t="s">
        <v>162</v>
      </c>
      <c r="M1085" s="596" t="s">
        <v>156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IF(OR(TH!L1085=TH!$U$7,M1085=TH!$U$7),"x","")</f>
        <v/>
      </c>
      <c r="V1085" s="52" t="str">
        <f>IF(AND(B1085&gt;='IN-NX'!$P$3,B1085&lt;='IN-NX'!$Q$3,'IN-NX'!$D$7=D1085,OR(LEFT(L1085,2)="15",AND(LEFT(M1085,2)&lt;&gt;"15",LEFT(M1085,2)&lt;&gt;"33"))),"x","")</f>
        <v/>
      </c>
      <c r="W1085" s="52" t="str">
        <f>IF(AND(OR(LEFT(TH!L1085,2)="15",LEFT(TH!M1085,2)="15"),'152-CT'!$J$8=TH!F1085),"x","")</f>
        <v/>
      </c>
      <c r="X1085" s="52" t="str">
        <f>IF(AND(OR(LEFT(TH!L1085,2)="15",LEFT(TH!M1085,2)="15"),TK!$E$7=TH!F1085),"x","")</f>
        <v/>
      </c>
      <c r="Y1085" s="52" t="str">
        <f>IF(AND(B1085&lt;=NKC!$N$8,B1085&gt;=NKC!$M$8),"x","")</f>
        <v/>
      </c>
    </row>
    <row r="1086" spans="1:26" s="208" customFormat="1" ht="15.75" customHeight="1">
      <c r="A1086" s="201" t="str">
        <f>IF(B1086&lt;&gt;"",IF(AND(B1086&gt;=_TM1,B1086&lt;=_TM2,OR(TH!L1086="1111",TH!M1086="1111")),TH!D1086,""),"")</f>
        <v/>
      </c>
      <c r="B1086" s="36">
        <f t="shared" si="51"/>
        <v>1</v>
      </c>
      <c r="C1086" s="188">
        <f t="shared" si="52"/>
        <v>41279</v>
      </c>
      <c r="D1086" s="188" t="s">
        <v>1260</v>
      </c>
      <c r="E1086" s="37">
        <v>41279</v>
      </c>
      <c r="F1086" s="186" t="s">
        <v>1244</v>
      </c>
      <c r="G1086" s="40" t="s">
        <v>695</v>
      </c>
      <c r="H1086" s="7" t="s">
        <v>1252</v>
      </c>
      <c r="I1086" s="298">
        <v>100</v>
      </c>
      <c r="J1086" s="765">
        <v>10180</v>
      </c>
      <c r="K1086" s="595">
        <f t="shared" si="53"/>
        <v>1018000</v>
      </c>
      <c r="L1086" s="39" t="s">
        <v>162</v>
      </c>
      <c r="M1086" s="596" t="s">
        <v>156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IF(OR(TH!L1086=TH!$U$7,M1086=TH!$U$7),"x","")</f>
        <v/>
      </c>
      <c r="V1086" s="52" t="str">
        <f>IF(AND(B1086&gt;='IN-NX'!$P$3,B1086&lt;='IN-NX'!$Q$3,'IN-NX'!$D$7=D1086,OR(LEFT(L1086,2)="15",AND(LEFT(M1086,2)&lt;&gt;"15",LEFT(M1086,2)&lt;&gt;"33"))),"x","")</f>
        <v/>
      </c>
      <c r="W1086" s="52" t="str">
        <f>IF(AND(OR(LEFT(TH!L1086,2)="15",LEFT(TH!M1086,2)="15"),'152-CT'!$J$8=TH!F1086),"x","")</f>
        <v/>
      </c>
      <c r="X1086" s="52" t="str">
        <f>IF(AND(OR(LEFT(TH!L1086,2)="15",LEFT(TH!M1086,2)="15"),TK!$E$7=TH!F1086),"x","")</f>
        <v/>
      </c>
      <c r="Y1086" s="52" t="str">
        <f>IF(AND(B1086&lt;=NKC!$N$8,B1086&gt;=NKC!$M$8),"x","")</f>
        <v/>
      </c>
    </row>
    <row r="1087" spans="1:26" s="208" customFormat="1" ht="15.75" customHeight="1">
      <c r="A1087" s="201" t="str">
        <f>IF(B1087&lt;&gt;"",IF(AND(B1087&gt;=_TM1,B1087&lt;=_TM2,OR(TH!L1087="1111",TH!M1087="1111")),TH!D1087,""),"")</f>
        <v/>
      </c>
      <c r="B1087" s="36">
        <f t="shared" si="51"/>
        <v>1</v>
      </c>
      <c r="C1087" s="188">
        <f t="shared" si="52"/>
        <v>41281</v>
      </c>
      <c r="D1087" s="188" t="s">
        <v>1260</v>
      </c>
      <c r="E1087" s="37">
        <v>41281</v>
      </c>
      <c r="F1087" s="40" t="s">
        <v>1212</v>
      </c>
      <c r="G1087" s="40" t="s">
        <v>699</v>
      </c>
      <c r="H1087" s="7" t="s">
        <v>1252</v>
      </c>
      <c r="I1087" s="298">
        <v>280</v>
      </c>
      <c r="J1087" s="765">
        <v>22321</v>
      </c>
      <c r="K1087" s="595">
        <f t="shared" si="53"/>
        <v>6249880</v>
      </c>
      <c r="L1087" s="39" t="s">
        <v>162</v>
      </c>
      <c r="M1087" s="596" t="s">
        <v>156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IF(OR(TH!L1087=TH!$U$7,M1087=TH!$U$7),"x","")</f>
        <v/>
      </c>
      <c r="V1087" s="52" t="str">
        <f>IF(AND(B1087&gt;='IN-NX'!$P$3,B1087&lt;='IN-NX'!$Q$3,'IN-NX'!$D$7=D1087,OR(LEFT(L1087,2)="15",AND(LEFT(M1087,2)&lt;&gt;"15",LEFT(M1087,2)&lt;&gt;"33"))),"x","")</f>
        <v/>
      </c>
      <c r="W1087" s="52" t="str">
        <f>IF(AND(OR(LEFT(TH!L1087,2)="15",LEFT(TH!M1087,2)="15"),'152-CT'!$J$8=TH!F1087),"x","")</f>
        <v/>
      </c>
      <c r="X1087" s="52" t="str">
        <f>IF(AND(OR(LEFT(TH!L1087,2)="15",LEFT(TH!M1087,2)="15"),TK!$E$7=TH!F1087),"x","")</f>
        <v/>
      </c>
      <c r="Y1087" s="52" t="str">
        <f>IF(AND(B1087&lt;=NKC!$N$8,B1087&gt;=NKC!$M$8),"x","")</f>
        <v/>
      </c>
    </row>
    <row r="1088" spans="1:26" s="208" customFormat="1" ht="15.75" customHeight="1">
      <c r="A1088" s="201" t="str">
        <f>IF(B1088&lt;&gt;"",IF(AND(B1088&gt;=_TM1,B1088&lt;=_TM2,OR(TH!L1088="1111",TH!M1088="1111")),TH!D1088,""),"")</f>
        <v/>
      </c>
      <c r="B1088" s="36">
        <f t="shared" si="51"/>
        <v>1</v>
      </c>
      <c r="C1088" s="188">
        <f t="shared" si="52"/>
        <v>41282</v>
      </c>
      <c r="D1088" s="188" t="s">
        <v>1260</v>
      </c>
      <c r="E1088" s="37">
        <v>41282</v>
      </c>
      <c r="F1088" s="290" t="s">
        <v>1244</v>
      </c>
      <c r="G1088" s="40" t="s">
        <v>701</v>
      </c>
      <c r="H1088" s="7" t="s">
        <v>1252</v>
      </c>
      <c r="I1088" s="298">
        <v>100</v>
      </c>
      <c r="J1088" s="803">
        <v>10180</v>
      </c>
      <c r="K1088" s="595">
        <f t="shared" si="53"/>
        <v>1018000</v>
      </c>
      <c r="L1088" s="39" t="s">
        <v>162</v>
      </c>
      <c r="M1088" s="596" t="s">
        <v>156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IF(OR(TH!L1088=TH!$U$7,M1088=TH!$U$7),"x","")</f>
        <v/>
      </c>
      <c r="V1088" s="52" t="str">
        <f>IF(AND(B1088&gt;='IN-NX'!$P$3,B1088&lt;='IN-NX'!$Q$3,'IN-NX'!$D$7=D1088,OR(LEFT(L1088,2)="15",AND(LEFT(M1088,2)&lt;&gt;"15",LEFT(M1088,2)&lt;&gt;"33"))),"x","")</f>
        <v/>
      </c>
      <c r="W1088" s="52" t="str">
        <f>IF(AND(OR(LEFT(TH!L1088,2)="15",LEFT(TH!M1088,2)="15"),'152-CT'!$J$8=TH!F1088),"x","")</f>
        <v/>
      </c>
      <c r="X1088" s="52" t="str">
        <f>IF(AND(OR(LEFT(TH!L1088,2)="15",LEFT(TH!M1088,2)="15"),TK!$E$7=TH!F1088),"x","")</f>
        <v/>
      </c>
      <c r="Y1088" s="52" t="str">
        <f>IF(AND(B1088&lt;=NKC!$N$8,B1088&gt;=NKC!$M$8),"x","")</f>
        <v/>
      </c>
    </row>
    <row r="1089" spans="1:25" s="208" customFormat="1" ht="15.75" customHeight="1">
      <c r="A1089" s="201" t="str">
        <f>IF(B1089&lt;&gt;"",IF(AND(B1089&gt;=_TM1,B1089&lt;=_TM2,OR(TH!L1089="1111",TH!M1089="1111")),TH!D1089,""),"")</f>
        <v/>
      </c>
      <c r="B1089" s="36">
        <f t="shared" si="51"/>
        <v>1</v>
      </c>
      <c r="C1089" s="188">
        <f t="shared" si="52"/>
        <v>41282</v>
      </c>
      <c r="D1089" s="188" t="s">
        <v>1260</v>
      </c>
      <c r="E1089" s="37">
        <v>41282</v>
      </c>
      <c r="F1089" s="40" t="s">
        <v>1183</v>
      </c>
      <c r="G1089" s="40" t="s">
        <v>701</v>
      </c>
      <c r="H1089" s="7" t="s">
        <v>1252</v>
      </c>
      <c r="I1089" s="298">
        <v>100</v>
      </c>
      <c r="J1089" s="763">
        <v>12814</v>
      </c>
      <c r="K1089" s="595">
        <f t="shared" si="53"/>
        <v>1281400</v>
      </c>
      <c r="L1089" s="39" t="s">
        <v>162</v>
      </c>
      <c r="M1089" s="596" t="s">
        <v>156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IF(OR(TH!L1089=TH!$U$7,M1089=TH!$U$7),"x","")</f>
        <v/>
      </c>
      <c r="V1089" s="52" t="str">
        <f>IF(AND(B1089&gt;='IN-NX'!$P$3,B1089&lt;='IN-NX'!$Q$3,'IN-NX'!$D$7=D1089,OR(LEFT(L1089,2)="15",AND(LEFT(M1089,2)&lt;&gt;"15",LEFT(M1089,2)&lt;&gt;"33"))),"x","")</f>
        <v/>
      </c>
      <c r="W1089" s="52" t="str">
        <f>IF(AND(OR(LEFT(TH!L1089,2)="15",LEFT(TH!M1089,2)="15"),'152-CT'!$J$8=TH!F1089),"x","")</f>
        <v/>
      </c>
      <c r="X1089" s="52" t="str">
        <f>IF(AND(OR(LEFT(TH!L1089,2)="15",LEFT(TH!M1089,2)="15"),TK!$E$7=TH!F1089),"x","")</f>
        <v/>
      </c>
      <c r="Y1089" s="52" t="str">
        <f>IF(AND(B1089&lt;=NKC!$N$8,B1089&gt;=NKC!$M$8),"x","")</f>
        <v/>
      </c>
    </row>
    <row r="1090" spans="1:25" s="208" customFormat="1" ht="15.75" customHeight="1">
      <c r="A1090" s="201" t="str">
        <f>IF(B1090&lt;&gt;"",IF(AND(B1090&gt;=_TM1,B1090&lt;=_TM2,OR(TH!L1090="1111",TH!M1090="1111")),TH!D1090,""),"")</f>
        <v/>
      </c>
      <c r="B1090" s="36">
        <f t="shared" si="51"/>
        <v>1</v>
      </c>
      <c r="C1090" s="188">
        <f t="shared" si="52"/>
        <v>41282</v>
      </c>
      <c r="D1090" s="188" t="s">
        <v>1260</v>
      </c>
      <c r="E1090" s="37">
        <v>41282</v>
      </c>
      <c r="F1090" s="40" t="s">
        <v>1151</v>
      </c>
      <c r="G1090" s="40" t="s">
        <v>701</v>
      </c>
      <c r="H1090" s="7" t="s">
        <v>1252</v>
      </c>
      <c r="I1090" s="298">
        <v>5</v>
      </c>
      <c r="J1090" s="765">
        <v>10681.539156626506</v>
      </c>
      <c r="K1090" s="595">
        <f t="shared" si="53"/>
        <v>53408</v>
      </c>
      <c r="L1090" s="39" t="s">
        <v>162</v>
      </c>
      <c r="M1090" s="596" t="s">
        <v>156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IF(OR(TH!L1090=TH!$U$7,M1090=TH!$U$7),"x","")</f>
        <v/>
      </c>
      <c r="V1090" s="52" t="str">
        <f>IF(AND(B1090&gt;='IN-NX'!$P$3,B1090&lt;='IN-NX'!$Q$3,'IN-NX'!$D$7=D1090,OR(LEFT(L1090,2)="15",AND(LEFT(M1090,2)&lt;&gt;"15",LEFT(M1090,2)&lt;&gt;"33"))),"x","")</f>
        <v/>
      </c>
      <c r="W1090" s="52" t="str">
        <f>IF(AND(OR(LEFT(TH!L1090,2)="15",LEFT(TH!M1090,2)="15"),'152-CT'!$J$8=TH!F1090),"x","")</f>
        <v/>
      </c>
      <c r="X1090" s="52" t="str">
        <f>IF(AND(OR(LEFT(TH!L1090,2)="15",LEFT(TH!M1090,2)="15"),TK!$E$7=TH!F1090),"x","")</f>
        <v/>
      </c>
      <c r="Y1090" s="52" t="str">
        <f>IF(AND(B1090&lt;=NKC!$N$8,B1090&gt;=NKC!$M$8),"x","")</f>
        <v/>
      </c>
    </row>
    <row r="1091" spans="1:25" s="208" customFormat="1" ht="15.75" customHeight="1">
      <c r="A1091" s="201" t="str">
        <f>IF(B1091&lt;&gt;"",IF(AND(B1091&gt;=_TM1,B1091&lt;=_TM2,OR(TH!L1091="1111",TH!M1091="1111")),TH!D1091,""),"")</f>
        <v/>
      </c>
      <c r="B1091" s="36">
        <f t="shared" si="51"/>
        <v>1</v>
      </c>
      <c r="C1091" s="188">
        <f t="shared" si="52"/>
        <v>41282</v>
      </c>
      <c r="D1091" s="188" t="s">
        <v>1260</v>
      </c>
      <c r="E1091" s="37">
        <v>41282</v>
      </c>
      <c r="F1091" s="442" t="s">
        <v>1151</v>
      </c>
      <c r="G1091" s="40" t="s">
        <v>701</v>
      </c>
      <c r="H1091" s="7" t="s">
        <v>1252</v>
      </c>
      <c r="I1091" s="298">
        <v>5</v>
      </c>
      <c r="J1091" s="765">
        <v>10681.539156626506</v>
      </c>
      <c r="K1091" s="595">
        <f t="shared" si="53"/>
        <v>53408</v>
      </c>
      <c r="L1091" s="39" t="s">
        <v>162</v>
      </c>
      <c r="M1091" s="596" t="s">
        <v>156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IF(OR(TH!L1091=TH!$U$7,M1091=TH!$U$7),"x","")</f>
        <v/>
      </c>
      <c r="V1091" s="52" t="str">
        <f>IF(AND(B1091&gt;='IN-NX'!$P$3,B1091&lt;='IN-NX'!$Q$3,'IN-NX'!$D$7=D1091,OR(LEFT(L1091,2)="15",AND(LEFT(M1091,2)&lt;&gt;"15",LEFT(M1091,2)&lt;&gt;"33"))),"x","")</f>
        <v/>
      </c>
      <c r="W1091" s="52" t="str">
        <f>IF(AND(OR(LEFT(TH!L1091,2)="15",LEFT(TH!M1091,2)="15"),'152-CT'!$J$8=TH!F1091),"x","")</f>
        <v/>
      </c>
      <c r="X1091" s="52" t="str">
        <f>IF(AND(OR(LEFT(TH!L1091,2)="15",LEFT(TH!M1091,2)="15"),TK!$E$7=TH!F1091),"x","")</f>
        <v/>
      </c>
      <c r="Y1091" s="52" t="str">
        <f>IF(AND(B1091&lt;=NKC!$N$8,B1091&gt;=NKC!$M$8),"x","")</f>
        <v/>
      </c>
    </row>
    <row r="1092" spans="1:25" s="208" customFormat="1" ht="15.75" customHeight="1">
      <c r="A1092" s="201" t="str">
        <f>IF(B1092&lt;&gt;"",IF(AND(B1092&gt;=_TM1,B1092&lt;=_TM2,OR(TH!L1092="1111",TH!M1092="1111")),TH!D1092,""),"")</f>
        <v/>
      </c>
      <c r="B1092" s="36">
        <f t="shared" si="51"/>
        <v>1</v>
      </c>
      <c r="C1092" s="188">
        <f t="shared" si="52"/>
        <v>41282</v>
      </c>
      <c r="D1092" s="188" t="s">
        <v>1260</v>
      </c>
      <c r="E1092" s="37">
        <v>41282</v>
      </c>
      <c r="F1092" s="290" t="s">
        <v>1151</v>
      </c>
      <c r="G1092" s="40" t="s">
        <v>701</v>
      </c>
      <c r="H1092" s="7" t="s">
        <v>1252</v>
      </c>
      <c r="I1092" s="298">
        <v>5</v>
      </c>
      <c r="J1092" s="765">
        <v>10681.539156626506</v>
      </c>
      <c r="K1092" s="595">
        <f t="shared" si="53"/>
        <v>53408</v>
      </c>
      <c r="L1092" s="39" t="s">
        <v>162</v>
      </c>
      <c r="M1092" s="596" t="s">
        <v>156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IF(OR(TH!L1092=TH!$U$7,M1092=TH!$U$7),"x","")</f>
        <v/>
      </c>
      <c r="V1092" s="52" t="str">
        <f>IF(AND(B1092&gt;='IN-NX'!$P$3,B1092&lt;='IN-NX'!$Q$3,'IN-NX'!$D$7=D1092,OR(LEFT(L1092,2)="15",AND(LEFT(M1092,2)&lt;&gt;"15",LEFT(M1092,2)&lt;&gt;"33"))),"x","")</f>
        <v/>
      </c>
      <c r="W1092" s="52" t="str">
        <f>IF(AND(OR(LEFT(TH!L1092,2)="15",LEFT(TH!M1092,2)="15"),'152-CT'!$J$8=TH!F1092),"x","")</f>
        <v/>
      </c>
      <c r="X1092" s="52" t="str">
        <f>IF(AND(OR(LEFT(TH!L1092,2)="15",LEFT(TH!M1092,2)="15"),TK!$E$7=TH!F1092),"x","")</f>
        <v/>
      </c>
      <c r="Y1092" s="52" t="str">
        <f>IF(AND(B1092&lt;=NKC!$N$8,B1092&gt;=NKC!$M$8),"x","")</f>
        <v/>
      </c>
    </row>
    <row r="1093" spans="1:25" s="208" customFormat="1" ht="15.75" customHeight="1">
      <c r="A1093" s="201" t="str">
        <f>IF(B1093&lt;&gt;"",IF(AND(B1093&gt;=_TM1,B1093&lt;=_TM2,OR(TH!L1093="1111",TH!M1093="1111")),TH!D1093,""),"")</f>
        <v/>
      </c>
      <c r="B1093" s="36">
        <f t="shared" si="51"/>
        <v>1</v>
      </c>
      <c r="C1093" s="188">
        <f t="shared" si="52"/>
        <v>41282</v>
      </c>
      <c r="D1093" s="188" t="s">
        <v>1260</v>
      </c>
      <c r="E1093" s="37">
        <v>41282</v>
      </c>
      <c r="F1093" s="40" t="s">
        <v>1151</v>
      </c>
      <c r="G1093" s="40" t="s">
        <v>701</v>
      </c>
      <c r="H1093" s="7" t="s">
        <v>1252</v>
      </c>
      <c r="I1093" s="298">
        <v>5</v>
      </c>
      <c r="J1093" s="765">
        <v>10681.539156626506</v>
      </c>
      <c r="K1093" s="595">
        <f t="shared" si="53"/>
        <v>53408</v>
      </c>
      <c r="L1093" s="39" t="s">
        <v>162</v>
      </c>
      <c r="M1093" s="596" t="s">
        <v>156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IF(OR(TH!L1093=TH!$U$7,M1093=TH!$U$7),"x","")</f>
        <v/>
      </c>
      <c r="V1093" s="52" t="str">
        <f>IF(AND(B1093&gt;='IN-NX'!$P$3,B1093&lt;='IN-NX'!$Q$3,'IN-NX'!$D$7=D1093,OR(LEFT(L1093,2)="15",AND(LEFT(M1093,2)&lt;&gt;"15",LEFT(M1093,2)&lt;&gt;"33"))),"x","")</f>
        <v/>
      </c>
      <c r="W1093" s="52" t="str">
        <f>IF(AND(OR(LEFT(TH!L1093,2)="15",LEFT(TH!M1093,2)="15"),'152-CT'!$J$8=TH!F1093),"x","")</f>
        <v/>
      </c>
      <c r="X1093" s="52" t="str">
        <f>IF(AND(OR(LEFT(TH!L1093,2)="15",LEFT(TH!M1093,2)="15"),TK!$E$7=TH!F1093),"x","")</f>
        <v/>
      </c>
      <c r="Y1093" s="52" t="str">
        <f>IF(AND(B1093&lt;=NKC!$N$8,B1093&gt;=NKC!$M$8),"x","")</f>
        <v/>
      </c>
    </row>
    <row r="1094" spans="1:25" s="208" customFormat="1" ht="15.75" customHeight="1">
      <c r="A1094" s="201" t="str">
        <f>IF(B1094&lt;&gt;"",IF(AND(B1094&gt;=_TM1,B1094&lt;=_TM2,OR(TH!L1094="1111",TH!M1094="1111")),TH!D1094,""),"")</f>
        <v/>
      </c>
      <c r="B1094" s="36">
        <f t="shared" si="51"/>
        <v>1</v>
      </c>
      <c r="C1094" s="188">
        <f t="shared" si="52"/>
        <v>41282</v>
      </c>
      <c r="D1094" s="188" t="s">
        <v>1260</v>
      </c>
      <c r="E1094" s="37">
        <v>41282</v>
      </c>
      <c r="F1094" s="802" t="s">
        <v>1156</v>
      </c>
      <c r="G1094" s="40" t="s">
        <v>701</v>
      </c>
      <c r="H1094" s="7" t="s">
        <v>1252</v>
      </c>
      <c r="I1094" s="298">
        <v>30</v>
      </c>
      <c r="J1094" s="763">
        <v>15120</v>
      </c>
      <c r="K1094" s="595">
        <f t="shared" si="53"/>
        <v>453600</v>
      </c>
      <c r="L1094" s="39" t="s">
        <v>162</v>
      </c>
      <c r="M1094" s="596" t="s">
        <v>156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IF(OR(TH!L1094=TH!$U$7,M1094=TH!$U$7),"x","")</f>
        <v/>
      </c>
      <c r="V1094" s="52" t="str">
        <f>IF(AND(B1094&gt;='IN-NX'!$P$3,B1094&lt;='IN-NX'!$Q$3,'IN-NX'!$D$7=D1094,OR(LEFT(L1094,2)="15",AND(LEFT(M1094,2)&lt;&gt;"15",LEFT(M1094,2)&lt;&gt;"33"))),"x","")</f>
        <v/>
      </c>
      <c r="W1094" s="52" t="str">
        <f>IF(AND(OR(LEFT(TH!L1094,2)="15",LEFT(TH!M1094,2)="15"),'152-CT'!$J$8=TH!F1094),"x","")</f>
        <v/>
      </c>
      <c r="X1094" s="52" t="str">
        <f>IF(AND(OR(LEFT(TH!L1094,2)="15",LEFT(TH!M1094,2)="15"),TK!$E$7=TH!F1094),"x","")</f>
        <v/>
      </c>
      <c r="Y1094" s="52" t="str">
        <f>IF(AND(B1094&lt;=NKC!$N$8,B1094&gt;=NKC!$M$8),"x","")</f>
        <v/>
      </c>
    </row>
    <row r="1095" spans="1:25" s="208" customFormat="1" ht="15.75" customHeight="1">
      <c r="A1095" s="201" t="str">
        <f>IF(B1095&lt;&gt;"",IF(AND(B1095&gt;=_TM1,B1095&lt;=_TM2,OR(TH!L1095="1111",TH!M1095="1111")),TH!D1095,""),"")</f>
        <v/>
      </c>
      <c r="B1095" s="36">
        <f t="shared" si="51"/>
        <v>1</v>
      </c>
      <c r="C1095" s="188">
        <f t="shared" si="52"/>
        <v>41285</v>
      </c>
      <c r="D1095" s="188" t="s">
        <v>1260</v>
      </c>
      <c r="E1095" s="37">
        <v>41285</v>
      </c>
      <c r="F1095" s="40" t="s">
        <v>1191</v>
      </c>
      <c r="G1095" s="40" t="s">
        <v>709</v>
      </c>
      <c r="H1095" s="7" t="s">
        <v>1252</v>
      </c>
      <c r="I1095" s="298">
        <v>420</v>
      </c>
      <c r="J1095" s="765">
        <v>10775</v>
      </c>
      <c r="K1095" s="595">
        <f t="shared" si="53"/>
        <v>4525500</v>
      </c>
      <c r="L1095" s="39" t="s">
        <v>162</v>
      </c>
      <c r="M1095" s="596" t="s">
        <v>156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IF(OR(TH!L1095=TH!$U$7,M1095=TH!$U$7),"x","")</f>
        <v/>
      </c>
      <c r="V1095" s="52" t="str">
        <f>IF(AND(B1095&gt;='IN-NX'!$P$3,B1095&lt;='IN-NX'!$Q$3,'IN-NX'!$D$7=D1095,OR(LEFT(L1095,2)="15",AND(LEFT(M1095,2)&lt;&gt;"15",LEFT(M1095,2)&lt;&gt;"33"))),"x","")</f>
        <v/>
      </c>
      <c r="W1095" s="52" t="str">
        <f>IF(AND(OR(LEFT(TH!L1095,2)="15",LEFT(TH!M1095,2)="15"),'152-CT'!$J$8=TH!F1095),"x","")</f>
        <v/>
      </c>
      <c r="X1095" s="52" t="str">
        <f>IF(AND(OR(LEFT(TH!L1095,2)="15",LEFT(TH!M1095,2)="15"),TK!$E$7=TH!F1095),"x","")</f>
        <v/>
      </c>
      <c r="Y1095" s="52" t="str">
        <f>IF(AND(B1095&lt;=NKC!$N$8,B1095&gt;=NKC!$M$8),"x","")</f>
        <v/>
      </c>
    </row>
    <row r="1096" spans="1:25" s="208" customFormat="1" ht="15.75" customHeight="1">
      <c r="A1096" s="201" t="str">
        <f>IF(B1096&lt;&gt;"",IF(AND(B1096&gt;=_TM1,B1096&lt;=_TM2,OR(TH!L1096="1111",TH!M1096="1111")),TH!D1096,""),"")</f>
        <v/>
      </c>
      <c r="B1096" s="36">
        <f t="shared" si="51"/>
        <v>1</v>
      </c>
      <c r="C1096" s="188">
        <f t="shared" si="52"/>
        <v>41287</v>
      </c>
      <c r="D1096" s="188" t="s">
        <v>1260</v>
      </c>
      <c r="E1096" s="37">
        <v>41287</v>
      </c>
      <c r="F1096" s="186" t="s">
        <v>1219</v>
      </c>
      <c r="G1096" s="40" t="s">
        <v>712</v>
      </c>
      <c r="H1096" s="7" t="s">
        <v>1252</v>
      </c>
      <c r="I1096" s="298">
        <v>275</v>
      </c>
      <c r="J1096" s="765">
        <v>23028</v>
      </c>
      <c r="K1096" s="595">
        <f t="shared" si="53"/>
        <v>6332700</v>
      </c>
      <c r="L1096" s="39" t="s">
        <v>162</v>
      </c>
      <c r="M1096" s="596" t="s">
        <v>156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IF(OR(TH!L1096=TH!$U$7,M1096=TH!$U$7),"x","")</f>
        <v/>
      </c>
      <c r="V1096" s="52" t="str">
        <f>IF(AND(B1096&gt;='IN-NX'!$P$3,B1096&lt;='IN-NX'!$Q$3,'IN-NX'!$D$7=D1096,OR(LEFT(L1096,2)="15",AND(LEFT(M1096,2)&lt;&gt;"15",LEFT(M1096,2)&lt;&gt;"33"))),"x","")</f>
        <v/>
      </c>
      <c r="W1096" s="52" t="str">
        <f>IF(AND(OR(LEFT(TH!L1096,2)="15",LEFT(TH!M1096,2)="15"),'152-CT'!$J$8=TH!F1096),"x","")</f>
        <v/>
      </c>
      <c r="X1096" s="52" t="str">
        <f>IF(AND(OR(LEFT(TH!L1096,2)="15",LEFT(TH!M1096,2)="15"),TK!$E$7=TH!F1096),"x","")</f>
        <v/>
      </c>
      <c r="Y1096" s="52" t="str">
        <f>IF(AND(B1096&lt;=NKC!$N$8,B1096&gt;=NKC!$M$8),"x","")</f>
        <v/>
      </c>
    </row>
    <row r="1097" spans="1:25" s="208" customFormat="1" ht="15.75" customHeight="1">
      <c r="A1097" s="201" t="str">
        <f>IF(B1097&lt;&gt;"",IF(AND(B1097&gt;=_TM1,B1097&lt;=_TM2,OR(TH!L1097="1111",TH!M1097="1111")),TH!D1097,""),"")</f>
        <v/>
      </c>
      <c r="B1097" s="36">
        <f t="shared" si="51"/>
        <v>1</v>
      </c>
      <c r="C1097" s="188">
        <f t="shared" si="52"/>
        <v>41289</v>
      </c>
      <c r="D1097" s="188" t="s">
        <v>1260</v>
      </c>
      <c r="E1097" s="37">
        <v>41289</v>
      </c>
      <c r="F1097" s="40" t="s">
        <v>1178</v>
      </c>
      <c r="G1097" s="40" t="s">
        <v>715</v>
      </c>
      <c r="H1097" s="7" t="s">
        <v>1252</v>
      </c>
      <c r="I1097" s="298">
        <v>120</v>
      </c>
      <c r="J1097" s="765">
        <v>23262</v>
      </c>
      <c r="K1097" s="595">
        <f t="shared" si="53"/>
        <v>2791440</v>
      </c>
      <c r="L1097" s="39" t="s">
        <v>162</v>
      </c>
      <c r="M1097" s="596" t="s">
        <v>156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IF(OR(TH!L1097=TH!$U$7,M1097=TH!$U$7),"x","")</f>
        <v/>
      </c>
      <c r="V1097" s="52" t="str">
        <f>IF(AND(B1097&gt;='IN-NX'!$P$3,B1097&lt;='IN-NX'!$Q$3,'IN-NX'!$D$7=D1097,OR(LEFT(L1097,2)="15",AND(LEFT(M1097,2)&lt;&gt;"15",LEFT(M1097,2)&lt;&gt;"33"))),"x","")</f>
        <v/>
      </c>
      <c r="W1097" s="52" t="str">
        <f>IF(AND(OR(LEFT(TH!L1097,2)="15",LEFT(TH!M1097,2)="15"),'152-CT'!$J$8=TH!F1097),"x","")</f>
        <v/>
      </c>
      <c r="X1097" s="52" t="str">
        <f>IF(AND(OR(LEFT(TH!L1097,2)="15",LEFT(TH!M1097,2)="15"),TK!$E$7=TH!F1097),"x","")</f>
        <v/>
      </c>
      <c r="Y1097" s="52" t="str">
        <f>IF(AND(B1097&lt;=NKC!$N$8,B1097&gt;=NKC!$M$8),"x","")</f>
        <v/>
      </c>
    </row>
    <row r="1098" spans="1:25" s="208" customFormat="1" ht="15.75" customHeight="1">
      <c r="A1098" s="201" t="str">
        <f>IF(B1098&lt;&gt;"",IF(AND(B1098&gt;=_TM1,B1098&lt;=_TM2,OR(TH!L1098="1111",TH!M1098="1111")),TH!D1098,""),"")</f>
        <v/>
      </c>
      <c r="B1098" s="36">
        <f t="shared" si="51"/>
        <v>1</v>
      </c>
      <c r="C1098" s="188">
        <f t="shared" si="52"/>
        <v>41289</v>
      </c>
      <c r="D1098" s="188" t="s">
        <v>1260</v>
      </c>
      <c r="E1098" s="37">
        <v>41289</v>
      </c>
      <c r="F1098" s="288" t="s">
        <v>650</v>
      </c>
      <c r="G1098" s="40" t="s">
        <v>717</v>
      </c>
      <c r="H1098" s="7" t="s">
        <v>1252</v>
      </c>
      <c r="I1098" s="298">
        <v>400</v>
      </c>
      <c r="J1098" s="763">
        <v>11197</v>
      </c>
      <c r="K1098" s="595">
        <f t="shared" si="53"/>
        <v>4478800</v>
      </c>
      <c r="L1098" s="39" t="s">
        <v>162</v>
      </c>
      <c r="M1098" s="596" t="s">
        <v>156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IF(OR(TH!L1098=TH!$U$7,M1098=TH!$U$7),"x","")</f>
        <v/>
      </c>
      <c r="V1098" s="52" t="str">
        <f>IF(AND(B1098&gt;='IN-NX'!$P$3,B1098&lt;='IN-NX'!$Q$3,'IN-NX'!$D$7=D1098,OR(LEFT(L1098,2)="15",AND(LEFT(M1098,2)&lt;&gt;"15",LEFT(M1098,2)&lt;&gt;"33"))),"x","")</f>
        <v/>
      </c>
      <c r="W1098" s="52" t="str">
        <f>IF(AND(OR(LEFT(TH!L1098,2)="15",LEFT(TH!M1098,2)="15"),'152-CT'!$J$8=TH!F1098),"x","")</f>
        <v/>
      </c>
      <c r="X1098" s="52" t="str">
        <f>IF(AND(OR(LEFT(TH!L1098,2)="15",LEFT(TH!M1098,2)="15"),TK!$E$7=TH!F1098),"x","")</f>
        <v/>
      </c>
      <c r="Y1098" s="52" t="str">
        <f>IF(AND(B1098&lt;=NKC!$N$8,B1098&gt;=NKC!$M$8),"x","")</f>
        <v/>
      </c>
    </row>
    <row r="1099" spans="1:25" s="208" customFormat="1" ht="15.75" customHeight="1">
      <c r="A1099" s="201" t="str">
        <f>IF(B1099&lt;&gt;"",IF(AND(B1099&gt;=_TM1,B1099&lt;=_TM2,OR(TH!L1099="1111",TH!M1099="1111")),TH!D1099,""),"")</f>
        <v/>
      </c>
      <c r="B1099" s="36">
        <f t="shared" si="51"/>
        <v>1</v>
      </c>
      <c r="C1099" s="188">
        <f t="shared" si="52"/>
        <v>41289</v>
      </c>
      <c r="D1099" s="188" t="s">
        <v>1260</v>
      </c>
      <c r="E1099" s="37">
        <v>41289</v>
      </c>
      <c r="F1099" s="40" t="s">
        <v>1169</v>
      </c>
      <c r="G1099" s="40" t="s">
        <v>717</v>
      </c>
      <c r="H1099" s="7" t="s">
        <v>1252</v>
      </c>
      <c r="I1099" s="298">
        <v>100</v>
      </c>
      <c r="J1099" s="765">
        <v>11889</v>
      </c>
      <c r="K1099" s="595">
        <f t="shared" si="53"/>
        <v>1188900</v>
      </c>
      <c r="L1099" s="39" t="s">
        <v>162</v>
      </c>
      <c r="M1099" s="596" t="s">
        <v>156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IF(OR(TH!L1099=TH!$U$7,M1099=TH!$U$7),"x","")</f>
        <v/>
      </c>
      <c r="V1099" s="52" t="str">
        <f>IF(AND(B1099&gt;='IN-NX'!$P$3,B1099&lt;='IN-NX'!$Q$3,'IN-NX'!$D$7=D1099,OR(LEFT(L1099,2)="15",AND(LEFT(M1099,2)&lt;&gt;"15",LEFT(M1099,2)&lt;&gt;"33"))),"x","")</f>
        <v/>
      </c>
      <c r="W1099" s="52" t="str">
        <f>IF(AND(OR(LEFT(TH!L1099,2)="15",LEFT(TH!M1099,2)="15"),'152-CT'!$J$8=TH!F1099),"x","")</f>
        <v/>
      </c>
      <c r="X1099" s="52" t="str">
        <f>IF(AND(OR(LEFT(TH!L1099,2)="15",LEFT(TH!M1099,2)="15"),TK!$E$7=TH!F1099),"x","")</f>
        <v/>
      </c>
      <c r="Y1099" s="52" t="str">
        <f>IF(AND(B1099&lt;=NKC!$N$8,B1099&gt;=NKC!$M$8),"x","")</f>
        <v/>
      </c>
    </row>
    <row r="1100" spans="1:25" s="208" customFormat="1" ht="15.75" customHeight="1">
      <c r="A1100" s="201" t="str">
        <f>IF(B1100&lt;&gt;"",IF(AND(B1100&gt;=_TM1,B1100&lt;=_TM2,OR(TH!L1100="1111",TH!M1100="1111")),TH!D1100,""),"")</f>
        <v/>
      </c>
      <c r="B1100" s="36">
        <f t="shared" si="51"/>
        <v>1</v>
      </c>
      <c r="C1100" s="188">
        <f t="shared" si="52"/>
        <v>41290</v>
      </c>
      <c r="D1100" s="188" t="s">
        <v>1260</v>
      </c>
      <c r="E1100" s="37">
        <v>41290</v>
      </c>
      <c r="F1100" s="186" t="s">
        <v>1170</v>
      </c>
      <c r="G1100" s="40" t="s">
        <v>720</v>
      </c>
      <c r="H1100" s="7" t="s">
        <v>1252</v>
      </c>
      <c r="I1100" s="298">
        <v>175</v>
      </c>
      <c r="J1100" s="765">
        <v>19888.768115942028</v>
      </c>
      <c r="K1100" s="595">
        <f t="shared" si="53"/>
        <v>3480534</v>
      </c>
      <c r="L1100" s="39" t="s">
        <v>162</v>
      </c>
      <c r="M1100" s="596" t="s">
        <v>156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IF(OR(TH!L1100=TH!$U$7,M1100=TH!$U$7),"x","")</f>
        <v/>
      </c>
      <c r="V1100" s="52" t="str">
        <f>IF(AND(B1100&gt;='IN-NX'!$P$3,B1100&lt;='IN-NX'!$Q$3,'IN-NX'!$D$7=D1100,OR(LEFT(L1100,2)="15",AND(LEFT(M1100,2)&lt;&gt;"15",LEFT(M1100,2)&lt;&gt;"33"))),"x","")</f>
        <v/>
      </c>
      <c r="W1100" s="52" t="str">
        <f>IF(AND(OR(LEFT(TH!L1100,2)="15",LEFT(TH!M1100,2)="15"),'152-CT'!$J$8=TH!F1100),"x","")</f>
        <v/>
      </c>
      <c r="X1100" s="52" t="str">
        <f>IF(AND(OR(LEFT(TH!L1100,2)="15",LEFT(TH!M1100,2)="15"),TK!$E$7=TH!F1100),"x","")</f>
        <v/>
      </c>
      <c r="Y1100" s="52" t="str">
        <f>IF(AND(B1100&lt;=NKC!$N$8,B1100&gt;=NKC!$M$8),"x","")</f>
        <v/>
      </c>
    </row>
    <row r="1101" spans="1:25" s="208" customFormat="1" ht="15.75" customHeight="1">
      <c r="A1101" s="201" t="str">
        <f>IF(B1101&lt;&gt;"",IF(AND(B1101&gt;=_TM1,B1101&lt;=_TM2,OR(TH!L1101="1111",TH!M1101="1111")),TH!D1101,""),"")</f>
        <v/>
      </c>
      <c r="B1101" s="36">
        <f t="shared" si="51"/>
        <v>1</v>
      </c>
      <c r="C1101" s="188">
        <f t="shared" si="52"/>
        <v>41290</v>
      </c>
      <c r="D1101" s="188" t="s">
        <v>1260</v>
      </c>
      <c r="E1101" s="37">
        <v>41290</v>
      </c>
      <c r="F1101" s="186" t="s">
        <v>1157</v>
      </c>
      <c r="G1101" s="40" t="s">
        <v>720</v>
      </c>
      <c r="H1101" s="7" t="s">
        <v>1252</v>
      </c>
      <c r="I1101" s="298">
        <v>100</v>
      </c>
      <c r="J1101" s="765">
        <v>6783</v>
      </c>
      <c r="K1101" s="595">
        <f t="shared" si="53"/>
        <v>678300</v>
      </c>
      <c r="L1101" s="39" t="s">
        <v>162</v>
      </c>
      <c r="M1101" s="596" t="s">
        <v>156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IF(OR(TH!L1101=TH!$U$7,M1101=TH!$U$7),"x","")</f>
        <v/>
      </c>
      <c r="V1101" s="52" t="str">
        <f>IF(AND(B1101&gt;='IN-NX'!$P$3,B1101&lt;='IN-NX'!$Q$3,'IN-NX'!$D$7=D1101,OR(LEFT(L1101,2)="15",AND(LEFT(M1101,2)&lt;&gt;"15",LEFT(M1101,2)&lt;&gt;"33"))),"x","")</f>
        <v/>
      </c>
      <c r="W1101" s="52" t="str">
        <f>IF(AND(OR(LEFT(TH!L1101,2)="15",LEFT(TH!M1101,2)="15"),'152-CT'!$J$8=TH!F1101),"x","")</f>
        <v/>
      </c>
      <c r="X1101" s="52" t="str">
        <f>IF(AND(OR(LEFT(TH!L1101,2)="15",LEFT(TH!M1101,2)="15"),TK!$E$7=TH!F1101),"x","")</f>
        <v/>
      </c>
      <c r="Y1101" s="52" t="str">
        <f>IF(AND(B1101&lt;=NKC!$N$8,B1101&gt;=NKC!$M$8),"x","")</f>
        <v/>
      </c>
    </row>
    <row r="1102" spans="1:25" s="208" customFormat="1" ht="15.75" customHeight="1">
      <c r="A1102" s="201" t="str">
        <f>IF(B1102&lt;&gt;"",IF(AND(B1102&gt;=_TM1,B1102&lt;=_TM2,OR(TH!L1102="1111",TH!M1102="1111")),TH!D1102,""),"")</f>
        <v/>
      </c>
      <c r="B1102" s="36">
        <f t="shared" si="51"/>
        <v>1</v>
      </c>
      <c r="C1102" s="188">
        <f t="shared" si="52"/>
        <v>41290</v>
      </c>
      <c r="D1102" s="188" t="s">
        <v>1260</v>
      </c>
      <c r="E1102" s="37">
        <v>41290</v>
      </c>
      <c r="F1102" s="186" t="s">
        <v>1170</v>
      </c>
      <c r="G1102" s="40" t="s">
        <v>720</v>
      </c>
      <c r="H1102" s="7" t="s">
        <v>1252</v>
      </c>
      <c r="I1102" s="298">
        <v>280</v>
      </c>
      <c r="J1102" s="765">
        <v>19888.768115942028</v>
      </c>
      <c r="K1102" s="595">
        <f t="shared" si="53"/>
        <v>5568855</v>
      </c>
      <c r="L1102" s="39" t="s">
        <v>162</v>
      </c>
      <c r="M1102" s="596" t="s">
        <v>156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IF(OR(TH!L1102=TH!$U$7,M1102=TH!$U$7),"x","")</f>
        <v/>
      </c>
      <c r="V1102" s="52" t="str">
        <f>IF(AND(B1102&gt;='IN-NX'!$P$3,B1102&lt;='IN-NX'!$Q$3,'IN-NX'!$D$7=D1102,OR(LEFT(L1102,2)="15",AND(LEFT(M1102,2)&lt;&gt;"15",LEFT(M1102,2)&lt;&gt;"33"))),"x","")</f>
        <v/>
      </c>
      <c r="W1102" s="52" t="str">
        <f>IF(AND(OR(LEFT(TH!L1102,2)="15",LEFT(TH!M1102,2)="15"),'152-CT'!$J$8=TH!F1102),"x","")</f>
        <v/>
      </c>
      <c r="X1102" s="52" t="str">
        <f>IF(AND(OR(LEFT(TH!L1102,2)="15",LEFT(TH!M1102,2)="15"),TK!$E$7=TH!F1102),"x","")</f>
        <v/>
      </c>
      <c r="Y1102" s="52" t="str">
        <f>IF(AND(B1102&lt;=NKC!$N$8,B1102&gt;=NKC!$M$8),"x","")</f>
        <v/>
      </c>
    </row>
    <row r="1103" spans="1:25" s="208" customFormat="1" ht="15.75" customHeight="1">
      <c r="A1103" s="201" t="str">
        <f>IF(B1103&lt;&gt;"",IF(AND(B1103&gt;=_TM1,B1103&lt;=_TM2,OR(TH!L1103="1111",TH!M1103="1111")),TH!D1103,""),"")</f>
        <v/>
      </c>
      <c r="B1103" s="36">
        <f t="shared" si="51"/>
        <v>1</v>
      </c>
      <c r="C1103" s="188">
        <f t="shared" si="52"/>
        <v>41290</v>
      </c>
      <c r="D1103" s="188" t="s">
        <v>1260</v>
      </c>
      <c r="E1103" s="37">
        <v>41290</v>
      </c>
      <c r="F1103" s="186" t="s">
        <v>1187</v>
      </c>
      <c r="G1103" s="40" t="s">
        <v>720</v>
      </c>
      <c r="H1103" s="7" t="s">
        <v>1252</v>
      </c>
      <c r="I1103" s="298">
        <v>300</v>
      </c>
      <c r="J1103" s="765">
        <v>10302</v>
      </c>
      <c r="K1103" s="595">
        <f t="shared" si="53"/>
        <v>3090600</v>
      </c>
      <c r="L1103" s="39" t="s">
        <v>162</v>
      </c>
      <c r="M1103" s="596" t="s">
        <v>156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IF(OR(TH!L1103=TH!$U$7,M1103=TH!$U$7),"x","")</f>
        <v/>
      </c>
      <c r="V1103" s="52" t="str">
        <f>IF(AND(B1103&gt;='IN-NX'!$P$3,B1103&lt;='IN-NX'!$Q$3,'IN-NX'!$D$7=D1103,OR(LEFT(L1103,2)="15",AND(LEFT(M1103,2)&lt;&gt;"15",LEFT(M1103,2)&lt;&gt;"33"))),"x","")</f>
        <v/>
      </c>
      <c r="W1103" s="52" t="str">
        <f>IF(AND(OR(LEFT(TH!L1103,2)="15",LEFT(TH!M1103,2)="15"),'152-CT'!$J$8=TH!F1103),"x","")</f>
        <v/>
      </c>
      <c r="X1103" s="52" t="str">
        <f>IF(AND(OR(LEFT(TH!L1103,2)="15",LEFT(TH!M1103,2)="15"),TK!$E$7=TH!F1103),"x","")</f>
        <v/>
      </c>
      <c r="Y1103" s="52" t="str">
        <f>IF(AND(B1103&lt;=NKC!$N$8,B1103&gt;=NKC!$M$8),"x","")</f>
        <v/>
      </c>
    </row>
    <row r="1104" spans="1:25" s="208" customFormat="1" ht="15.75" customHeight="1">
      <c r="A1104" s="201" t="str">
        <f>IF(B1104&lt;&gt;"",IF(AND(B1104&gt;=_TM1,B1104&lt;=_TM2,OR(TH!L1104="1111",TH!M1104="1111")),TH!D1104,""),"")</f>
        <v/>
      </c>
      <c r="B1104" s="36">
        <f t="shared" si="51"/>
        <v>1</v>
      </c>
      <c r="C1104" s="188">
        <f t="shared" si="52"/>
        <v>41294</v>
      </c>
      <c r="D1104" s="188" t="s">
        <v>1260</v>
      </c>
      <c r="E1104" s="37">
        <v>41294</v>
      </c>
      <c r="F1104" s="189" t="s">
        <v>1191</v>
      </c>
      <c r="G1104" s="40" t="s">
        <v>725</v>
      </c>
      <c r="H1104" s="7" t="s">
        <v>1252</v>
      </c>
      <c r="I1104" s="298">
        <v>355</v>
      </c>
      <c r="J1104" s="803">
        <v>10775</v>
      </c>
      <c r="K1104" s="595">
        <f t="shared" si="53"/>
        <v>3825125</v>
      </c>
      <c r="L1104" s="39" t="s">
        <v>162</v>
      </c>
      <c r="M1104" s="596" t="s">
        <v>156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IF(OR(TH!L1104=TH!$U$7,M1104=TH!$U$7),"x","")</f>
        <v/>
      </c>
      <c r="V1104" s="52" t="str">
        <f>IF(AND(B1104&gt;='IN-NX'!$P$3,B1104&lt;='IN-NX'!$Q$3,'IN-NX'!$D$7=D1104,OR(LEFT(L1104,2)="15",AND(LEFT(M1104,2)&lt;&gt;"15",LEFT(M1104,2)&lt;&gt;"33"))),"x","")</f>
        <v/>
      </c>
      <c r="W1104" s="52" t="str">
        <f>IF(AND(OR(LEFT(TH!L1104,2)="15",LEFT(TH!M1104,2)="15"),'152-CT'!$J$8=TH!F1104),"x","")</f>
        <v/>
      </c>
      <c r="X1104" s="52" t="str">
        <f>IF(AND(OR(LEFT(TH!L1104,2)="15",LEFT(TH!M1104,2)="15"),TK!$E$7=TH!F1104),"x","")</f>
        <v/>
      </c>
      <c r="Y1104" s="52" t="str">
        <f>IF(AND(B1104&lt;=NKC!$N$8,B1104&gt;=NKC!$M$8),"x","")</f>
        <v/>
      </c>
    </row>
    <row r="1105" spans="1:28" s="208" customFormat="1" ht="15.75" customHeight="1">
      <c r="A1105" s="201" t="str">
        <f>IF(B1105&lt;&gt;"",IF(AND(B1105&gt;=_TM1,B1105&lt;=_TM2,OR(TH!L1105="1111",TH!M1105="1111")),TH!D1105,""),"")</f>
        <v/>
      </c>
      <c r="B1105" s="36">
        <f t="shared" si="51"/>
        <v>1</v>
      </c>
      <c r="C1105" s="188">
        <f t="shared" si="52"/>
        <v>41300</v>
      </c>
      <c r="D1105" s="188" t="s">
        <v>1260</v>
      </c>
      <c r="E1105" s="37">
        <v>41300</v>
      </c>
      <c r="F1105" s="186" t="s">
        <v>1191</v>
      </c>
      <c r="G1105" s="40" t="s">
        <v>726</v>
      </c>
      <c r="H1105" s="7" t="s">
        <v>1252</v>
      </c>
      <c r="I1105" s="298">
        <v>310</v>
      </c>
      <c r="J1105" s="763">
        <v>10775</v>
      </c>
      <c r="K1105" s="595">
        <f t="shared" si="53"/>
        <v>3340250</v>
      </c>
      <c r="L1105" s="39" t="s">
        <v>162</v>
      </c>
      <c r="M1105" s="596" t="s">
        <v>156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IF(OR(TH!L1105=TH!$U$7,M1105=TH!$U$7),"x","")</f>
        <v/>
      </c>
      <c r="V1105" s="52" t="str">
        <f>IF(AND(B1105&gt;='IN-NX'!$P$3,B1105&lt;='IN-NX'!$Q$3,'IN-NX'!$D$7=D1105,OR(LEFT(L1105,2)="15",AND(LEFT(M1105,2)&lt;&gt;"15",LEFT(M1105,2)&lt;&gt;"33"))),"x","")</f>
        <v/>
      </c>
      <c r="W1105" s="52" t="str">
        <f>IF(AND(OR(LEFT(TH!L1105,2)="15",LEFT(TH!M1105,2)="15"),'152-CT'!$J$8=TH!F1105),"x","")</f>
        <v/>
      </c>
      <c r="X1105" s="52" t="str">
        <f>IF(AND(OR(LEFT(TH!L1105,2)="15",LEFT(TH!M1105,2)="15"),TK!$E$7=TH!F1105),"x","")</f>
        <v/>
      </c>
      <c r="Y1105" s="52" t="str">
        <f>IF(AND(B1105&lt;=NKC!$N$8,B1105&gt;=NKC!$M$8),"x","")</f>
        <v/>
      </c>
    </row>
    <row r="1106" spans="1:28" s="208" customFormat="1" ht="15.75" customHeight="1">
      <c r="A1106" s="201" t="str">
        <f>IF(B1106&lt;&gt;"",IF(AND(B1106&gt;=_TM1,B1106&lt;=_TM2,OR(TH!L1106="1111",TH!M1106="1111")),TH!D1106,""),"")</f>
        <v/>
      </c>
      <c r="B1106" s="36">
        <f t="shared" si="51"/>
        <v>1</v>
      </c>
      <c r="C1106" s="188">
        <f t="shared" si="52"/>
        <v>41300</v>
      </c>
      <c r="D1106" s="188" t="s">
        <v>1260</v>
      </c>
      <c r="E1106" s="37">
        <v>41300</v>
      </c>
      <c r="F1106" s="290" t="s">
        <v>1218</v>
      </c>
      <c r="G1106" s="40" t="s">
        <v>726</v>
      </c>
      <c r="H1106" s="7" t="s">
        <v>1252</v>
      </c>
      <c r="I1106" s="298">
        <v>100</v>
      </c>
      <c r="J1106" s="765">
        <v>22809</v>
      </c>
      <c r="K1106" s="595">
        <f t="shared" si="53"/>
        <v>2280900</v>
      </c>
      <c r="L1106" s="39" t="s">
        <v>162</v>
      </c>
      <c r="M1106" s="596" t="s">
        <v>156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IF(OR(TH!L1106=TH!$U$7,M1106=TH!$U$7),"x","")</f>
        <v/>
      </c>
      <c r="V1106" s="52" t="str">
        <f>IF(AND(B1106&gt;='IN-NX'!$P$3,B1106&lt;='IN-NX'!$Q$3,'IN-NX'!$D$7=D1106,OR(LEFT(L1106,2)="15",AND(LEFT(M1106,2)&lt;&gt;"15",LEFT(M1106,2)&lt;&gt;"33"))),"x","")</f>
        <v/>
      </c>
      <c r="W1106" s="52" t="str">
        <f>IF(AND(OR(LEFT(TH!L1106,2)="15",LEFT(TH!M1106,2)="15"),'152-CT'!$J$8=TH!F1106),"x","")</f>
        <v/>
      </c>
      <c r="X1106" s="52" t="str">
        <f>IF(AND(OR(LEFT(TH!L1106,2)="15",LEFT(TH!M1106,2)="15"),TK!$E$7=TH!F1106),"x","")</f>
        <v/>
      </c>
      <c r="Y1106" s="52" t="str">
        <f>IF(AND(B1106&lt;=NKC!$N$8,B1106&gt;=NKC!$M$8),"x","")</f>
        <v/>
      </c>
    </row>
    <row r="1107" spans="1:28" s="208" customFormat="1" ht="15.75" customHeight="1">
      <c r="A1107" s="201" t="str">
        <f>IF(B1107&lt;&gt;"",IF(AND(B1107&gt;=_TM1,B1107&lt;=_TM2,OR(TH!L1107="1111",TH!M1107="1111")),TH!D1107,""),"")</f>
        <v/>
      </c>
      <c r="B1107" s="36">
        <f t="shared" si="51"/>
        <v>1</v>
      </c>
      <c r="C1107" s="188">
        <f t="shared" si="52"/>
        <v>41300</v>
      </c>
      <c r="D1107" s="188" t="s">
        <v>1260</v>
      </c>
      <c r="E1107" s="37">
        <v>41300</v>
      </c>
      <c r="F1107" s="186" t="s">
        <v>1170</v>
      </c>
      <c r="G1107" s="40" t="s">
        <v>728</v>
      </c>
      <c r="H1107" s="7" t="s">
        <v>1252</v>
      </c>
      <c r="I1107" s="298">
        <v>235</v>
      </c>
      <c r="J1107" s="781">
        <v>19888.768115942028</v>
      </c>
      <c r="K1107" s="595">
        <f t="shared" si="53"/>
        <v>4673861</v>
      </c>
      <c r="L1107" s="39" t="s">
        <v>162</v>
      </c>
      <c r="M1107" s="596" t="s">
        <v>156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IF(OR(TH!L1107=TH!$U$7,M1107=TH!$U$7),"x","")</f>
        <v/>
      </c>
      <c r="V1107" s="52" t="str">
        <f>IF(AND(B1107&gt;='IN-NX'!$P$3,B1107&lt;='IN-NX'!$Q$3,'IN-NX'!$D$7=D1107,OR(LEFT(L1107,2)="15",AND(LEFT(M1107,2)&lt;&gt;"15",LEFT(M1107,2)&lt;&gt;"33"))),"x","")</f>
        <v/>
      </c>
      <c r="W1107" s="52" t="str">
        <f>IF(AND(OR(LEFT(TH!L1107,2)="15",LEFT(TH!M1107,2)="15"),'152-CT'!$J$8=TH!F1107),"x","")</f>
        <v/>
      </c>
      <c r="X1107" s="52" t="str">
        <f>IF(AND(OR(LEFT(TH!L1107,2)="15",LEFT(TH!M1107,2)="15"),TK!$E$7=TH!F1107),"x","")</f>
        <v/>
      </c>
      <c r="Y1107" s="52" t="str">
        <f>IF(AND(B1107&lt;=NKC!$N$8,B1107&gt;=NKC!$M$8),"x","")</f>
        <v/>
      </c>
    </row>
    <row r="1108" spans="1:28" s="208" customFormat="1" ht="15.75" customHeight="1">
      <c r="A1108" s="201" t="str">
        <f>IF(B1108&lt;&gt;"",IF(AND(B1108&gt;=_TM1,B1108&lt;=_TM2,OR(TH!L1108="1111",TH!M1108="1111")),TH!D1108,""),"")</f>
        <v/>
      </c>
      <c r="B1108" s="36">
        <f t="shared" si="51"/>
        <v>1</v>
      </c>
      <c r="C1108" s="188">
        <f t="shared" si="52"/>
        <v>41300</v>
      </c>
      <c r="D1108" s="188" t="s">
        <v>1260</v>
      </c>
      <c r="E1108" s="37">
        <v>41300</v>
      </c>
      <c r="F1108" s="290" t="s">
        <v>1191</v>
      </c>
      <c r="G1108" s="40" t="s">
        <v>729</v>
      </c>
      <c r="H1108" s="7" t="s">
        <v>1252</v>
      </c>
      <c r="I1108" s="298">
        <v>555</v>
      </c>
      <c r="J1108" s="763">
        <v>10775</v>
      </c>
      <c r="K1108" s="595">
        <f t="shared" si="53"/>
        <v>5980125</v>
      </c>
      <c r="L1108" s="39" t="s">
        <v>162</v>
      </c>
      <c r="M1108" s="596" t="s">
        <v>156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IF(OR(TH!L1108=TH!$U$7,M1108=TH!$U$7),"x","")</f>
        <v/>
      </c>
      <c r="V1108" s="52" t="str">
        <f>IF(AND(B1108&gt;='IN-NX'!$P$3,B1108&lt;='IN-NX'!$Q$3,'IN-NX'!$D$7=D1108,OR(LEFT(L1108,2)="15",AND(LEFT(M1108,2)&lt;&gt;"15",LEFT(M1108,2)&lt;&gt;"33"))),"x","")</f>
        <v/>
      </c>
      <c r="W1108" s="52" t="str">
        <f>IF(AND(OR(LEFT(TH!L1108,2)="15",LEFT(TH!M1108,2)="15"),'152-CT'!$J$8=TH!F1108),"x","")</f>
        <v/>
      </c>
      <c r="X1108" s="52" t="str">
        <f>IF(AND(OR(LEFT(TH!L1108,2)="15",LEFT(TH!M1108,2)="15"),TK!$E$7=TH!F1108),"x","")</f>
        <v/>
      </c>
      <c r="Y1108" s="52" t="str">
        <f>IF(AND(B1108&lt;=NKC!$N$8,B1108&gt;=NKC!$M$8),"x","")</f>
        <v/>
      </c>
    </row>
    <row r="1109" spans="1:28" s="208" customFormat="1" ht="15.75" customHeight="1">
      <c r="A1109" s="201" t="str">
        <f>IF(B1109&lt;&gt;"",IF(AND(B1109&gt;=_TM1,B1109&lt;=_TM2,OR(TH!L1109="1111",TH!M1109="1111")),TH!D1109,""),"")</f>
        <v/>
      </c>
      <c r="B1109" s="36">
        <f t="shared" si="51"/>
        <v>1</v>
      </c>
      <c r="C1109" s="188">
        <f t="shared" si="52"/>
        <v>41302</v>
      </c>
      <c r="D1109" s="188" t="s">
        <v>1260</v>
      </c>
      <c r="E1109" s="37">
        <v>41302</v>
      </c>
      <c r="F1109" s="290" t="s">
        <v>1212</v>
      </c>
      <c r="G1109" s="40" t="s">
        <v>730</v>
      </c>
      <c r="H1109" s="7" t="s">
        <v>1252</v>
      </c>
      <c r="I1109" s="298">
        <v>470</v>
      </c>
      <c r="J1109" s="765">
        <v>22321</v>
      </c>
      <c r="K1109" s="595">
        <f t="shared" si="53"/>
        <v>10490870</v>
      </c>
      <c r="L1109" s="39" t="s">
        <v>162</v>
      </c>
      <c r="M1109" s="596" t="s">
        <v>156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IF(OR(TH!L1109=TH!$U$7,M1109=TH!$U$7),"x","")</f>
        <v/>
      </c>
      <c r="V1109" s="52" t="str">
        <f>IF(AND(B1109&gt;='IN-NX'!$P$3,B1109&lt;='IN-NX'!$Q$3,'IN-NX'!$D$7=D1109,OR(LEFT(L1109,2)="15",AND(LEFT(M1109,2)&lt;&gt;"15",LEFT(M1109,2)&lt;&gt;"33"))),"x","")</f>
        <v/>
      </c>
      <c r="W1109" s="52" t="str">
        <f>IF(AND(OR(LEFT(TH!L1109,2)="15",LEFT(TH!M1109,2)="15"),'152-CT'!$J$8=TH!F1109),"x","")</f>
        <v/>
      </c>
      <c r="X1109" s="52" t="str">
        <f>IF(AND(OR(LEFT(TH!L1109,2)="15",LEFT(TH!M1109,2)="15"),TK!$E$7=TH!F1109),"x","")</f>
        <v/>
      </c>
      <c r="Y1109" s="52" t="str">
        <f>IF(AND(B1109&lt;=NKC!$N$8,B1109&gt;=NKC!$M$8),"x","")</f>
        <v/>
      </c>
    </row>
    <row r="1110" spans="1:28" s="208" customFormat="1" ht="15.75" customHeight="1">
      <c r="A1110" s="201" t="str">
        <f>IF(B1110&lt;&gt;"",IF(AND(B1110&gt;=_TM1,B1110&lt;=_TM2,OR(TH!L1110="1111",TH!M1110="1111")),TH!D1110,""),"")</f>
        <v/>
      </c>
      <c r="B1110" s="36">
        <f t="shared" ref="B1110:B1173" si="54">IF(C1110&lt;&gt;"",MONTH(C1110),"")</f>
        <v>1</v>
      </c>
      <c r="C1110" s="188">
        <f t="shared" si="52"/>
        <v>41302</v>
      </c>
      <c r="D1110" s="188" t="s">
        <v>1260</v>
      </c>
      <c r="E1110" s="37">
        <v>41302</v>
      </c>
      <c r="F1110" s="290" t="s">
        <v>577</v>
      </c>
      <c r="G1110" s="40" t="s">
        <v>732</v>
      </c>
      <c r="H1110" s="7" t="s">
        <v>1252</v>
      </c>
      <c r="I1110" s="298">
        <v>474</v>
      </c>
      <c r="J1110" s="765">
        <v>19270</v>
      </c>
      <c r="K1110" s="595">
        <f t="shared" si="53"/>
        <v>9133980</v>
      </c>
      <c r="L1110" s="39" t="s">
        <v>162</v>
      </c>
      <c r="M1110" s="596" t="s">
        <v>156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IF(OR(TH!L1110=TH!$U$7,M1110=TH!$U$7),"x","")</f>
        <v/>
      </c>
      <c r="V1110" s="52" t="str">
        <f>IF(AND(B1110&gt;='IN-NX'!$P$3,B1110&lt;='IN-NX'!$Q$3,'IN-NX'!$D$7=D1110,OR(LEFT(L1110,2)="15",AND(LEFT(M1110,2)&lt;&gt;"15",LEFT(M1110,2)&lt;&gt;"33"))),"x","")</f>
        <v/>
      </c>
      <c r="W1110" s="52" t="str">
        <f>IF(AND(OR(LEFT(TH!L1110,2)="15",LEFT(TH!M1110,2)="15"),'152-CT'!$J$8=TH!F1110),"x","")</f>
        <v/>
      </c>
      <c r="X1110" s="52" t="str">
        <f>IF(AND(OR(LEFT(TH!L1110,2)="15",LEFT(TH!M1110,2)="15"),TK!$E$7=TH!F1110),"x","")</f>
        <v/>
      </c>
      <c r="Y1110" s="52" t="str">
        <f>IF(AND(B1110&lt;=NKC!$N$8,B1110&gt;=NKC!$M$8),"x","")</f>
        <v/>
      </c>
    </row>
    <row r="1111" spans="1:28" s="208" customFormat="1" ht="15.75" customHeight="1">
      <c r="A1111" s="201" t="str">
        <f>IF(B1111&lt;&gt;"",IF(AND(B1111&gt;=_TM1,B1111&lt;=_TM2,OR(TH!L1111="1111",TH!M1111="1111")),TH!D1111,""),"")</f>
        <v/>
      </c>
      <c r="B1111" s="36">
        <f t="shared" si="54"/>
        <v>2</v>
      </c>
      <c r="C1111" s="188">
        <f t="shared" si="52"/>
        <v>41325</v>
      </c>
      <c r="D1111" s="188" t="s">
        <v>1260</v>
      </c>
      <c r="E1111" s="37">
        <v>41325</v>
      </c>
      <c r="F1111" s="40" t="s">
        <v>1151</v>
      </c>
      <c r="G1111" s="40" t="s">
        <v>734</v>
      </c>
      <c r="H1111" s="7" t="s">
        <v>1252</v>
      </c>
      <c r="I1111" s="298">
        <v>312</v>
      </c>
      <c r="J1111" s="765">
        <v>10681.535256410256</v>
      </c>
      <c r="K1111" s="595">
        <f t="shared" si="53"/>
        <v>3332639</v>
      </c>
      <c r="L1111" s="39" t="s">
        <v>162</v>
      </c>
      <c r="M1111" s="596" t="s">
        <v>156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IF(OR(TH!L1111=TH!$U$7,M1111=TH!$U$7),"x","")</f>
        <v/>
      </c>
      <c r="V1111" s="52" t="str">
        <f>IF(AND(B1111&gt;='IN-NX'!$P$3,B1111&lt;='IN-NX'!$Q$3,'IN-NX'!$D$7=D1111,OR(LEFT(L1111,2)="15",AND(LEFT(M1111,2)&lt;&gt;"15",LEFT(M1111,2)&lt;&gt;"33"))),"x","")</f>
        <v/>
      </c>
      <c r="W1111" s="52" t="str">
        <f>IF(AND(OR(LEFT(TH!L1111,2)="15",LEFT(TH!M1111,2)="15"),'152-CT'!$J$8=TH!F1111),"x","")</f>
        <v/>
      </c>
      <c r="X1111" s="52" t="str">
        <f>IF(AND(OR(LEFT(TH!L1111,2)="15",LEFT(TH!M1111,2)="15"),TK!$E$7=TH!F1111),"x","")</f>
        <v/>
      </c>
      <c r="Y1111" s="52" t="str">
        <f>IF(AND(B1111&lt;=NKC!$N$8,B1111&gt;=NKC!$M$8),"x","")</f>
        <v/>
      </c>
    </row>
    <row r="1112" spans="1:28" s="208" customFormat="1" ht="15.75" customHeight="1">
      <c r="A1112" s="201" t="str">
        <f>IF(B1112&lt;&gt;"",IF(AND(B1112&gt;=_TM1,B1112&lt;=_TM2,OR(TH!L1112="1111",TH!M1112="1111")),TH!D1112,""),"")</f>
        <v/>
      </c>
      <c r="B1112" s="36">
        <f t="shared" si="54"/>
        <v>3</v>
      </c>
      <c r="C1112" s="188">
        <f t="shared" si="52"/>
        <v>41334</v>
      </c>
      <c r="D1112" s="188" t="s">
        <v>1260</v>
      </c>
      <c r="E1112" s="37">
        <v>41334</v>
      </c>
      <c r="F1112" s="290" t="s">
        <v>1185</v>
      </c>
      <c r="G1112" s="40" t="s">
        <v>736</v>
      </c>
      <c r="H1112" s="7" t="s">
        <v>1252</v>
      </c>
      <c r="I1112" s="298">
        <v>680</v>
      </c>
      <c r="J1112" s="765">
        <v>7204</v>
      </c>
      <c r="K1112" s="595">
        <f t="shared" si="53"/>
        <v>4898720</v>
      </c>
      <c r="L1112" s="39" t="s">
        <v>162</v>
      </c>
      <c r="M1112" s="596" t="s">
        <v>156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IF(OR(TH!L1112=TH!$U$7,M1112=TH!$U$7),"x","")</f>
        <v/>
      </c>
      <c r="V1112" s="52" t="str">
        <f>IF(AND(B1112&gt;='IN-NX'!$P$3,B1112&lt;='IN-NX'!$Q$3,'IN-NX'!$D$7=D1112,OR(LEFT(L1112,2)="15",AND(LEFT(M1112,2)&lt;&gt;"15",LEFT(M1112,2)&lt;&gt;"33"))),"x","")</f>
        <v/>
      </c>
      <c r="W1112" s="52" t="str">
        <f>IF(AND(OR(LEFT(TH!L1112,2)="15",LEFT(TH!M1112,2)="15"),'152-CT'!$J$8=TH!F1112),"x","")</f>
        <v/>
      </c>
      <c r="X1112" s="52" t="str">
        <f>IF(AND(OR(LEFT(TH!L1112,2)="15",LEFT(TH!M1112,2)="15"),TK!$E$7=TH!F1112),"x","")</f>
        <v/>
      </c>
      <c r="Y1112" s="52" t="str">
        <f>IF(AND(B1112&lt;=NKC!$N$8,B1112&gt;=NKC!$M$8),"x","")</f>
        <v/>
      </c>
    </row>
    <row r="1113" spans="1:28" s="208" customFormat="1" ht="15.75" customHeight="1">
      <c r="A1113" s="201" t="str">
        <f>IF(B1113&lt;&gt;"",IF(AND(B1113&gt;=_TM1,B1113&lt;=_TM2,OR(TH!L1113="1111",TH!M1113="1111")),TH!D1113,""),"")</f>
        <v/>
      </c>
      <c r="B1113" s="36">
        <f t="shared" si="54"/>
        <v>3</v>
      </c>
      <c r="C1113" s="188">
        <f t="shared" si="52"/>
        <v>41334</v>
      </c>
      <c r="D1113" s="188" t="s">
        <v>1260</v>
      </c>
      <c r="E1113" s="37">
        <v>41334</v>
      </c>
      <c r="F1113" s="290" t="s">
        <v>650</v>
      </c>
      <c r="G1113" s="40" t="s">
        <v>737</v>
      </c>
      <c r="H1113" s="7" t="s">
        <v>1252</v>
      </c>
      <c r="I1113" s="298">
        <v>600</v>
      </c>
      <c r="J1113" s="715">
        <v>11197</v>
      </c>
      <c r="K1113" s="595">
        <f t="shared" si="53"/>
        <v>6718200</v>
      </c>
      <c r="L1113" s="39" t="s">
        <v>162</v>
      </c>
      <c r="M1113" s="596" t="s">
        <v>156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IF(OR(TH!L1113=TH!$U$7,M1113=TH!$U$7),"x","")</f>
        <v/>
      </c>
      <c r="V1113" s="52" t="str">
        <f>IF(AND(B1113&gt;='IN-NX'!$P$3,B1113&lt;='IN-NX'!$Q$3,'IN-NX'!$D$7=D1113,OR(LEFT(L1113,2)="15",AND(LEFT(M1113,2)&lt;&gt;"15",LEFT(M1113,2)&lt;&gt;"33"))),"x","")</f>
        <v/>
      </c>
      <c r="W1113" s="52" t="str">
        <f>IF(AND(OR(LEFT(TH!L1113,2)="15",LEFT(TH!M1113,2)="15"),'152-CT'!$J$8=TH!F1113),"x","")</f>
        <v/>
      </c>
      <c r="X1113" s="52" t="str">
        <f>IF(AND(OR(LEFT(TH!L1113,2)="15",LEFT(TH!M1113,2)="15"),TK!$E$7=TH!F1113),"x","")</f>
        <v/>
      </c>
      <c r="Y1113" s="52" t="str">
        <f>IF(AND(B1113&lt;=NKC!$N$8,B1113&gt;=NKC!$M$8),"x","")</f>
        <v/>
      </c>
    </row>
    <row r="1114" spans="1:28" s="208" customFormat="1" ht="15.75" customHeight="1">
      <c r="A1114" s="201" t="str">
        <f>IF(B1114&lt;&gt;"",IF(AND(B1114&gt;=_TM1,B1114&lt;=_TM2,OR(TH!L1114="1111",TH!M1114="1111")),TH!D1114,""),"")</f>
        <v/>
      </c>
      <c r="B1114" s="36">
        <f t="shared" si="54"/>
        <v>3</v>
      </c>
      <c r="C1114" s="188">
        <f t="shared" si="52"/>
        <v>41334</v>
      </c>
      <c r="D1114" s="188" t="s">
        <v>1260</v>
      </c>
      <c r="E1114" s="37">
        <v>41334</v>
      </c>
      <c r="F1114" s="186" t="s">
        <v>1165</v>
      </c>
      <c r="G1114" s="40" t="s">
        <v>737</v>
      </c>
      <c r="H1114" s="7" t="s">
        <v>1252</v>
      </c>
      <c r="I1114" s="298">
        <v>140</v>
      </c>
      <c r="J1114" s="763">
        <v>11227</v>
      </c>
      <c r="K1114" s="595">
        <f t="shared" si="53"/>
        <v>1571780</v>
      </c>
      <c r="L1114" s="39" t="s">
        <v>162</v>
      </c>
      <c r="M1114" s="596" t="s">
        <v>156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IF(OR(TH!L1114=TH!$U$7,M1114=TH!$U$7),"x","")</f>
        <v/>
      </c>
      <c r="V1114" s="52" t="str">
        <f>IF(AND(B1114&gt;='IN-NX'!$P$3,B1114&lt;='IN-NX'!$Q$3,'IN-NX'!$D$7=D1114,OR(LEFT(L1114,2)="15",AND(LEFT(M1114,2)&lt;&gt;"15",LEFT(M1114,2)&lt;&gt;"33"))),"x","")</f>
        <v/>
      </c>
      <c r="W1114" s="52" t="str">
        <f>IF(AND(OR(LEFT(TH!L1114,2)="15",LEFT(TH!M1114,2)="15"),'152-CT'!$J$8=TH!F1114),"x","")</f>
        <v/>
      </c>
      <c r="X1114" s="52" t="str">
        <f>IF(AND(OR(LEFT(TH!L1114,2)="15",LEFT(TH!M1114,2)="15"),TK!$E$7=TH!F1114),"x","")</f>
        <v/>
      </c>
      <c r="Y1114" s="52" t="str">
        <f>IF(AND(B1114&lt;=NKC!$N$8,B1114&gt;=NKC!$M$8),"x","")</f>
        <v/>
      </c>
    </row>
    <row r="1115" spans="1:28" s="208" customFormat="1" ht="15.75" customHeight="1">
      <c r="A1115" s="201" t="str">
        <f>IF(B1115&lt;&gt;"",IF(AND(B1115&gt;=_TM1,B1115&lt;=_TM2,OR(TH!L1115="1111",TH!M1115="1111")),TH!D1115,""),"")</f>
        <v/>
      </c>
      <c r="B1115" s="36">
        <f t="shared" si="54"/>
        <v>3</v>
      </c>
      <c r="C1115" s="188">
        <f t="shared" si="52"/>
        <v>41334</v>
      </c>
      <c r="D1115" s="188" t="s">
        <v>1260</v>
      </c>
      <c r="E1115" s="37">
        <v>41334</v>
      </c>
      <c r="F1115" s="186" t="s">
        <v>1147</v>
      </c>
      <c r="G1115" s="597" t="s">
        <v>737</v>
      </c>
      <c r="H1115" s="7" t="s">
        <v>1252</v>
      </c>
      <c r="I1115" s="715">
        <v>670</v>
      </c>
      <c r="J1115" s="715">
        <v>7300</v>
      </c>
      <c r="K1115" s="595">
        <f t="shared" si="53"/>
        <v>4891000</v>
      </c>
      <c r="L1115" s="39" t="s">
        <v>162</v>
      </c>
      <c r="M1115" s="596" t="s">
        <v>156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IF(OR(TH!L1115=TH!$U$7,M1115=TH!$U$7),"x","")</f>
        <v/>
      </c>
      <c r="V1115" s="52" t="str">
        <f>IF(AND(B1115&gt;='IN-NX'!$P$3,B1115&lt;='IN-NX'!$Q$3,'IN-NX'!$D$7=D1115,OR(LEFT(L1115,2)="15",AND(LEFT(M1115,2)&lt;&gt;"15",LEFT(M1115,2)&lt;&gt;"33"))),"x","")</f>
        <v/>
      </c>
      <c r="W1115" s="52" t="str">
        <f>IF(AND(OR(LEFT(TH!L1115,2)="15",LEFT(TH!M1115,2)="15"),'152-CT'!$J$8=TH!F1115),"x","")</f>
        <v/>
      </c>
      <c r="X1115" s="52" t="str">
        <f>IF(AND(OR(LEFT(TH!L1115,2)="15",LEFT(TH!M1115,2)="15"),TK!$E$7=TH!F1115),"x","")</f>
        <v/>
      </c>
      <c r="Y1115" s="52" t="str">
        <f>IF(AND(B1115&lt;=NKC!$N$8,B1115&gt;=NKC!$M$8),"x","")</f>
        <v/>
      </c>
      <c r="AA1115" s="587"/>
      <c r="AB1115" s="587"/>
    </row>
    <row r="1116" spans="1:28" s="208" customFormat="1" ht="15.75" customHeight="1">
      <c r="A1116" s="201" t="str">
        <f>IF(B1116&lt;&gt;"",IF(AND(B1116&gt;=_TM1,B1116&lt;=_TM2,OR(TH!L1116="1111",TH!M1116="1111")),TH!D1116,""),"")</f>
        <v/>
      </c>
      <c r="B1116" s="36">
        <f t="shared" si="54"/>
        <v>3</v>
      </c>
      <c r="C1116" s="188">
        <f t="shared" si="52"/>
        <v>41342</v>
      </c>
      <c r="D1116" s="188" t="s">
        <v>1260</v>
      </c>
      <c r="E1116" s="188">
        <v>41342</v>
      </c>
      <c r="F1116" s="189" t="s">
        <v>1236</v>
      </c>
      <c r="G1116" s="478" t="s">
        <v>739</v>
      </c>
      <c r="H1116" s="7" t="s">
        <v>1252</v>
      </c>
      <c r="I1116" s="720">
        <v>150</v>
      </c>
      <c r="J1116" s="715">
        <v>20776</v>
      </c>
      <c r="K1116" s="595">
        <f t="shared" si="53"/>
        <v>3116400</v>
      </c>
      <c r="L1116" s="39" t="s">
        <v>162</v>
      </c>
      <c r="M1116" s="596" t="s">
        <v>156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IF(OR(TH!L1116=TH!$U$7,M1116=TH!$U$7),"x","")</f>
        <v/>
      </c>
      <c r="V1116" s="52" t="str">
        <f>IF(AND(B1116&gt;='IN-NX'!$P$3,B1116&lt;='IN-NX'!$Q$3,'IN-NX'!$D$7=D1116,OR(LEFT(L1116,2)="15",AND(LEFT(M1116,2)&lt;&gt;"15",LEFT(M1116,2)&lt;&gt;"33"))),"x","")</f>
        <v/>
      </c>
      <c r="W1116" s="52" t="str">
        <f>IF(AND(OR(LEFT(TH!L1116,2)="15",LEFT(TH!M1116,2)="15"),'152-CT'!$J$8=TH!F1116),"x","")</f>
        <v/>
      </c>
      <c r="X1116" s="52" t="str">
        <f>IF(AND(OR(LEFT(TH!L1116,2)="15",LEFT(TH!M1116,2)="15"),TK!$E$7=TH!F1116),"x","")</f>
        <v/>
      </c>
      <c r="Y1116" s="52" t="str">
        <f>IF(AND(B1116&lt;=NKC!$N$8,B1116&gt;=NKC!$M$8),"x","")</f>
        <v/>
      </c>
      <c r="AA1116" s="587"/>
      <c r="AB1116" s="587"/>
    </row>
    <row r="1117" spans="1:28" s="208" customFormat="1" ht="15.75" customHeight="1">
      <c r="A1117" s="201" t="str">
        <f>IF(B1117&lt;&gt;"",IF(AND(B1117&gt;=_TM1,B1117&lt;=_TM2,OR(TH!L1117="1111",TH!M1117="1111")),TH!D1117,""),"")</f>
        <v/>
      </c>
      <c r="B1117" s="36">
        <f t="shared" si="54"/>
        <v>3</v>
      </c>
      <c r="C1117" s="188">
        <f t="shared" si="52"/>
        <v>41342</v>
      </c>
      <c r="D1117" s="188" t="s">
        <v>1260</v>
      </c>
      <c r="E1117" s="188">
        <v>41342</v>
      </c>
      <c r="F1117" s="189" t="s">
        <v>1191</v>
      </c>
      <c r="G1117" s="478" t="s">
        <v>741</v>
      </c>
      <c r="H1117" s="7" t="s">
        <v>1252</v>
      </c>
      <c r="I1117" s="720">
        <v>260</v>
      </c>
      <c r="J1117" s="715">
        <v>10775</v>
      </c>
      <c r="K1117" s="595">
        <f t="shared" si="53"/>
        <v>2801500</v>
      </c>
      <c r="L1117" s="39" t="s">
        <v>162</v>
      </c>
      <c r="M1117" s="596" t="s">
        <v>156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IF(OR(TH!L1117=TH!$U$7,M1117=TH!$U$7),"x","")</f>
        <v/>
      </c>
      <c r="V1117" s="52" t="str">
        <f>IF(AND(B1117&gt;='IN-NX'!$P$3,B1117&lt;='IN-NX'!$Q$3,'IN-NX'!$D$7=D1117,OR(LEFT(L1117,2)="15",AND(LEFT(M1117,2)&lt;&gt;"15",LEFT(M1117,2)&lt;&gt;"33"))),"x","")</f>
        <v/>
      </c>
      <c r="W1117" s="52" t="str">
        <f>IF(AND(OR(LEFT(TH!L1117,2)="15",LEFT(TH!M1117,2)="15"),'152-CT'!$J$8=TH!F1117),"x","")</f>
        <v/>
      </c>
      <c r="X1117" s="52" t="str">
        <f>IF(AND(OR(LEFT(TH!L1117,2)="15",LEFT(TH!M1117,2)="15"),TK!$E$7=TH!F1117),"x","")</f>
        <v/>
      </c>
      <c r="Y1117" s="52" t="str">
        <f>IF(AND(B1117&lt;=NKC!$N$8,B1117&gt;=NKC!$M$8),"x","")</f>
        <v/>
      </c>
      <c r="AB1117" s="587"/>
    </row>
    <row r="1118" spans="1:28" s="208" customFormat="1" ht="15.75" customHeight="1">
      <c r="A1118" s="201" t="str">
        <f>IF(B1118&lt;&gt;"",IF(AND(B1118&gt;=_TM1,B1118&lt;=_TM2,OR(TH!L1118="1111",TH!M1118="1111")),TH!D1118,""),"")</f>
        <v/>
      </c>
      <c r="B1118" s="36">
        <f t="shared" si="54"/>
        <v>3</v>
      </c>
      <c r="C1118" s="188">
        <f t="shared" si="52"/>
        <v>41342</v>
      </c>
      <c r="D1118" s="188" t="s">
        <v>1260</v>
      </c>
      <c r="E1118" s="188">
        <v>41342</v>
      </c>
      <c r="F1118" s="189" t="s">
        <v>1156</v>
      </c>
      <c r="G1118" s="478" t="s">
        <v>741</v>
      </c>
      <c r="H1118" s="7" t="s">
        <v>1252</v>
      </c>
      <c r="I1118" s="720">
        <v>150</v>
      </c>
      <c r="J1118" s="715">
        <v>15120</v>
      </c>
      <c r="K1118" s="595">
        <f t="shared" si="53"/>
        <v>2268000</v>
      </c>
      <c r="L1118" s="39" t="s">
        <v>162</v>
      </c>
      <c r="M1118" s="596" t="s">
        <v>156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IF(OR(TH!L1118=TH!$U$7,M1118=TH!$U$7),"x","")</f>
        <v/>
      </c>
      <c r="V1118" s="52" t="str">
        <f>IF(AND(B1118&gt;='IN-NX'!$P$3,B1118&lt;='IN-NX'!$Q$3,'IN-NX'!$D$7=D1118,OR(LEFT(L1118,2)="15",AND(LEFT(M1118,2)&lt;&gt;"15",LEFT(M1118,2)&lt;&gt;"33"))),"x","")</f>
        <v/>
      </c>
      <c r="W1118" s="52" t="str">
        <f>IF(AND(OR(LEFT(TH!L1118,2)="15",LEFT(TH!M1118,2)="15"),'152-CT'!$J$8=TH!F1118),"x","")</f>
        <v/>
      </c>
      <c r="X1118" s="52" t="str">
        <f>IF(AND(OR(LEFT(TH!L1118,2)="15",LEFT(TH!M1118,2)="15"),TK!$E$7=TH!F1118),"x","")</f>
        <v/>
      </c>
      <c r="Y1118" s="52" t="str">
        <f>IF(AND(B1118&lt;=NKC!$N$8,B1118&gt;=NKC!$M$8),"x","")</f>
        <v/>
      </c>
      <c r="AA1118" s="587"/>
      <c r="AB1118" s="587"/>
    </row>
    <row r="1119" spans="1:28" s="208" customFormat="1" ht="15.75" customHeight="1">
      <c r="A1119" s="201" t="str">
        <f>IF(B1119&lt;&gt;"",IF(AND(B1119&gt;=_TM1,B1119&lt;=_TM2,OR(TH!L1119="1111",TH!M1119="1111")),TH!D1119,""),"")</f>
        <v/>
      </c>
      <c r="B1119" s="36">
        <f t="shared" si="54"/>
        <v>3</v>
      </c>
      <c r="C1119" s="188">
        <f t="shared" si="52"/>
        <v>41343</v>
      </c>
      <c r="D1119" s="188" t="s">
        <v>1260</v>
      </c>
      <c r="E1119" s="188">
        <v>41343</v>
      </c>
      <c r="F1119" s="189" t="s">
        <v>1143</v>
      </c>
      <c r="G1119" s="478" t="s">
        <v>463</v>
      </c>
      <c r="H1119" s="7" t="s">
        <v>1252</v>
      </c>
      <c r="I1119" s="720">
        <v>517</v>
      </c>
      <c r="J1119" s="715">
        <v>19982</v>
      </c>
      <c r="K1119" s="595">
        <f t="shared" si="53"/>
        <v>10330694</v>
      </c>
      <c r="L1119" s="39" t="s">
        <v>162</v>
      </c>
      <c r="M1119" s="596" t="s">
        <v>156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IF(OR(TH!L1119=TH!$U$7,M1119=TH!$U$7),"x","")</f>
        <v/>
      </c>
      <c r="V1119" s="52" t="str">
        <f>IF(AND(B1119&gt;='IN-NX'!$P$3,B1119&lt;='IN-NX'!$Q$3,'IN-NX'!$D$7=D1119,OR(LEFT(L1119,2)="15",AND(LEFT(M1119,2)&lt;&gt;"15",LEFT(M1119,2)&lt;&gt;"33"))),"x","")</f>
        <v/>
      </c>
      <c r="W1119" s="52" t="str">
        <f>IF(AND(OR(LEFT(TH!L1119,2)="15",LEFT(TH!M1119,2)="15"),'152-CT'!$J$8=TH!F1119),"x","")</f>
        <v/>
      </c>
      <c r="X1119" s="52" t="str">
        <f>IF(AND(OR(LEFT(TH!L1119,2)="15",LEFT(TH!M1119,2)="15"),TK!$E$7=TH!F1119),"x","")</f>
        <v/>
      </c>
      <c r="Y1119" s="52" t="str">
        <f>IF(AND(B1119&lt;=NKC!$N$8,B1119&gt;=NKC!$M$8),"x","")</f>
        <v/>
      </c>
      <c r="AA1119" s="587"/>
      <c r="AB1119" s="587"/>
    </row>
    <row r="1120" spans="1:28" s="208" customFormat="1" ht="15.75" customHeight="1">
      <c r="A1120" s="201" t="str">
        <f>IF(B1120&lt;&gt;"",IF(AND(B1120&gt;=_TM1,B1120&lt;=_TM2,OR(TH!L1120="1111",TH!M1120="1111")),TH!D1120,""),"")</f>
        <v/>
      </c>
      <c r="B1120" s="36">
        <f t="shared" si="54"/>
        <v>3</v>
      </c>
      <c r="C1120" s="188">
        <f t="shared" si="52"/>
        <v>41343</v>
      </c>
      <c r="D1120" s="188" t="s">
        <v>1260</v>
      </c>
      <c r="E1120" s="37">
        <v>41343</v>
      </c>
      <c r="F1120" s="186" t="s">
        <v>1209</v>
      </c>
      <c r="G1120" s="597" t="s">
        <v>743</v>
      </c>
      <c r="H1120" s="7" t="s">
        <v>1252</v>
      </c>
      <c r="I1120" s="715">
        <v>250</v>
      </c>
      <c r="J1120" s="715">
        <v>19910.059505275905</v>
      </c>
      <c r="K1120" s="595">
        <f t="shared" si="53"/>
        <v>4977515</v>
      </c>
      <c r="L1120" s="39" t="s">
        <v>162</v>
      </c>
      <c r="M1120" s="596" t="s">
        <v>156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IF(OR(TH!L1120=TH!$U$7,M1120=TH!$U$7),"x","")</f>
        <v/>
      </c>
      <c r="V1120" s="52" t="str">
        <f>IF(AND(B1120&gt;='IN-NX'!$P$3,B1120&lt;='IN-NX'!$Q$3,'IN-NX'!$D$7=D1120,OR(LEFT(L1120,2)="15",AND(LEFT(M1120,2)&lt;&gt;"15",LEFT(M1120,2)&lt;&gt;"33"))),"x","")</f>
        <v/>
      </c>
      <c r="W1120" s="52" t="str">
        <f>IF(AND(OR(LEFT(TH!L1120,2)="15",LEFT(TH!M1120,2)="15"),'152-CT'!$J$8=TH!F1120),"x","")</f>
        <v/>
      </c>
      <c r="X1120" s="52" t="str">
        <f>IF(AND(OR(LEFT(TH!L1120,2)="15",LEFT(TH!M1120,2)="15"),TK!$E$7=TH!F1120),"x","")</f>
        <v/>
      </c>
      <c r="Y1120" s="52" t="str">
        <f>IF(AND(B1120&lt;=NKC!$N$8,B1120&gt;=NKC!$M$8),"x","")</f>
        <v/>
      </c>
      <c r="AA1120" s="587"/>
      <c r="AB1120" s="587"/>
    </row>
    <row r="1121" spans="1:28" s="208" customFormat="1" ht="15.75" customHeight="1">
      <c r="A1121" s="201" t="str">
        <f>IF(B1121&lt;&gt;"",IF(AND(B1121&gt;=_TM1,B1121&lt;=_TM2,OR(TH!L1121="1111",TH!M1121="1111")),TH!D1121,""),"")</f>
        <v/>
      </c>
      <c r="B1121" s="36">
        <f t="shared" si="54"/>
        <v>3</v>
      </c>
      <c r="C1121" s="188">
        <f t="shared" si="52"/>
        <v>41348</v>
      </c>
      <c r="D1121" s="188" t="s">
        <v>1260</v>
      </c>
      <c r="E1121" s="37">
        <v>41348</v>
      </c>
      <c r="F1121" s="186" t="s">
        <v>1219</v>
      </c>
      <c r="G1121" s="597" t="s">
        <v>746</v>
      </c>
      <c r="H1121" s="7" t="s">
        <v>1252</v>
      </c>
      <c r="I1121" s="715">
        <v>105</v>
      </c>
      <c r="J1121" s="715">
        <v>23028</v>
      </c>
      <c r="K1121" s="595">
        <f t="shared" si="53"/>
        <v>2417940</v>
      </c>
      <c r="L1121" s="39" t="s">
        <v>162</v>
      </c>
      <c r="M1121" s="596" t="s">
        <v>156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IF(OR(TH!L1121=TH!$U$7,M1121=TH!$U$7),"x","")</f>
        <v/>
      </c>
      <c r="V1121" s="52" t="str">
        <f>IF(AND(B1121&gt;='IN-NX'!$P$3,B1121&lt;='IN-NX'!$Q$3,'IN-NX'!$D$7=D1121,OR(LEFT(L1121,2)="15",AND(LEFT(M1121,2)&lt;&gt;"15",LEFT(M1121,2)&lt;&gt;"33"))),"x","")</f>
        <v/>
      </c>
      <c r="W1121" s="52" t="str">
        <f>IF(AND(OR(LEFT(TH!L1121,2)="15",LEFT(TH!M1121,2)="15"),'152-CT'!$J$8=TH!F1121),"x","")</f>
        <v/>
      </c>
      <c r="X1121" s="52" t="str">
        <f>IF(AND(OR(LEFT(TH!L1121,2)="15",LEFT(TH!M1121,2)="15"),TK!$E$7=TH!F1121),"x","")</f>
        <v/>
      </c>
      <c r="Y1121" s="52" t="str">
        <f>IF(AND(B1121&lt;=NKC!$N$8,B1121&gt;=NKC!$M$8),"x","")</f>
        <v/>
      </c>
      <c r="AA1121" s="587"/>
      <c r="AB1121" s="587"/>
    </row>
    <row r="1122" spans="1:28" s="208" customFormat="1" ht="15.75" customHeight="1">
      <c r="A1122" s="201" t="str">
        <f>IF(B1122&lt;&gt;"",IF(AND(B1122&gt;=_TM1,B1122&lt;=_TM2,OR(TH!L1122="1111",TH!M1122="1111")),TH!D1122,""),"")</f>
        <v/>
      </c>
      <c r="B1122" s="36">
        <f t="shared" si="54"/>
        <v>3</v>
      </c>
      <c r="C1122" s="188">
        <f t="shared" si="52"/>
        <v>41356</v>
      </c>
      <c r="D1122" s="188" t="s">
        <v>1260</v>
      </c>
      <c r="E1122" s="181">
        <v>41356</v>
      </c>
      <c r="F1122" s="189" t="s">
        <v>1140</v>
      </c>
      <c r="G1122" s="480" t="s">
        <v>748</v>
      </c>
      <c r="H1122" s="7" t="s">
        <v>1252</v>
      </c>
      <c r="I1122" s="715">
        <v>270</v>
      </c>
      <c r="J1122" s="715">
        <v>28350</v>
      </c>
      <c r="K1122" s="595">
        <f t="shared" si="53"/>
        <v>7654500</v>
      </c>
      <c r="L1122" s="39" t="s">
        <v>162</v>
      </c>
      <c r="M1122" s="596" t="s">
        <v>156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IF(OR(TH!L1122=TH!$U$7,M1122=TH!$U$7),"x","")</f>
        <v/>
      </c>
      <c r="V1122" s="52" t="str">
        <f>IF(AND(B1122&gt;='IN-NX'!$P$3,B1122&lt;='IN-NX'!$Q$3,'IN-NX'!$D$7=D1122,OR(LEFT(L1122,2)="15",AND(LEFT(M1122,2)&lt;&gt;"15",LEFT(M1122,2)&lt;&gt;"33"))),"x","")</f>
        <v/>
      </c>
      <c r="W1122" s="52" t="str">
        <f>IF(AND(OR(LEFT(TH!L1122,2)="15",LEFT(TH!M1122,2)="15"),'152-CT'!$J$8=TH!F1122),"x","")</f>
        <v/>
      </c>
      <c r="X1122" s="52" t="str">
        <f>IF(AND(OR(LEFT(TH!L1122,2)="15",LEFT(TH!M1122,2)="15"),TK!$E$7=TH!F1122),"x","")</f>
        <v/>
      </c>
      <c r="Y1122" s="52" t="str">
        <f>IF(AND(B1122&lt;=NKC!$N$8,B1122&gt;=NKC!$M$8),"x","")</f>
        <v/>
      </c>
    </row>
    <row r="1123" spans="1:28" s="208" customFormat="1" ht="15.75" customHeight="1">
      <c r="A1123" s="201" t="str">
        <f>IF(B1123&lt;&gt;"",IF(AND(B1123&gt;=_TM1,B1123&lt;=_TM2,OR(TH!L1123="1111",TH!M1123="1111")),TH!D1123,""),"")</f>
        <v/>
      </c>
      <c r="B1123" s="36">
        <f t="shared" si="54"/>
        <v>3</v>
      </c>
      <c r="C1123" s="188">
        <f t="shared" si="52"/>
        <v>41356</v>
      </c>
      <c r="D1123" s="188" t="s">
        <v>1260</v>
      </c>
      <c r="E1123" s="181">
        <v>41356</v>
      </c>
      <c r="F1123" s="189" t="s">
        <v>1165</v>
      </c>
      <c r="G1123" s="480" t="s">
        <v>748</v>
      </c>
      <c r="H1123" s="7" t="s">
        <v>1252</v>
      </c>
      <c r="I1123" s="715">
        <v>10</v>
      </c>
      <c r="J1123" s="715">
        <v>11227</v>
      </c>
      <c r="K1123" s="595">
        <f t="shared" si="53"/>
        <v>112270</v>
      </c>
      <c r="L1123" s="39" t="s">
        <v>162</v>
      </c>
      <c r="M1123" s="596" t="s">
        <v>156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IF(OR(TH!L1123=TH!$U$7,M1123=TH!$U$7),"x","")</f>
        <v/>
      </c>
      <c r="V1123" s="52" t="str">
        <f>IF(AND(B1123&gt;='IN-NX'!$P$3,B1123&lt;='IN-NX'!$Q$3,'IN-NX'!$D$7=D1123,OR(LEFT(L1123,2)="15",AND(LEFT(M1123,2)&lt;&gt;"15",LEFT(M1123,2)&lt;&gt;"33"))),"x","")</f>
        <v/>
      </c>
      <c r="W1123" s="52" t="str">
        <f>IF(AND(OR(LEFT(TH!L1123,2)="15",LEFT(TH!M1123,2)="15"),'152-CT'!$J$8=TH!F1123),"x","")</f>
        <v/>
      </c>
      <c r="X1123" s="52" t="str">
        <f>IF(AND(OR(LEFT(TH!L1123,2)="15",LEFT(TH!M1123,2)="15"),TK!$E$7=TH!F1123),"x","")</f>
        <v/>
      </c>
      <c r="Y1123" s="52" t="str">
        <f>IF(AND(B1123&lt;=NKC!$N$8,B1123&gt;=NKC!$M$8),"x","")</f>
        <v/>
      </c>
    </row>
    <row r="1124" spans="1:28" s="208" customFormat="1" ht="15.75" customHeight="1">
      <c r="A1124" s="201" t="str">
        <f>IF(B1124&lt;&gt;"",IF(AND(B1124&gt;=_TM1,B1124&lt;=_TM2,OR(TH!L1124="1111",TH!M1124="1111")),TH!D1124,""),"")</f>
        <v/>
      </c>
      <c r="B1124" s="36">
        <f t="shared" si="54"/>
        <v>3</v>
      </c>
      <c r="C1124" s="188">
        <f t="shared" si="52"/>
        <v>41358</v>
      </c>
      <c r="D1124" s="188" t="s">
        <v>1260</v>
      </c>
      <c r="E1124" s="181">
        <v>41358</v>
      </c>
      <c r="F1124" s="790" t="s">
        <v>1219</v>
      </c>
      <c r="G1124" s="480" t="s">
        <v>749</v>
      </c>
      <c r="H1124" s="7" t="s">
        <v>1252</v>
      </c>
      <c r="I1124" s="715">
        <v>60</v>
      </c>
      <c r="J1124" s="249">
        <v>23028</v>
      </c>
      <c r="K1124" s="595">
        <f t="shared" si="53"/>
        <v>1381680</v>
      </c>
      <c r="L1124" s="39" t="s">
        <v>162</v>
      </c>
      <c r="M1124" s="596" t="s">
        <v>156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IF(OR(TH!L1124=TH!$U$7,M1124=TH!$U$7),"x","")</f>
        <v/>
      </c>
      <c r="V1124" s="52" t="str">
        <f>IF(AND(B1124&gt;='IN-NX'!$P$3,B1124&lt;='IN-NX'!$Q$3,'IN-NX'!$D$7=D1124,OR(LEFT(L1124,2)="15",AND(LEFT(M1124,2)&lt;&gt;"15",LEFT(M1124,2)&lt;&gt;"33"))),"x","")</f>
        <v/>
      </c>
      <c r="W1124" s="52" t="str">
        <f>IF(AND(OR(LEFT(TH!L1124,2)="15",LEFT(TH!M1124,2)="15"),'152-CT'!$J$8=TH!F1124),"x","")</f>
        <v/>
      </c>
      <c r="X1124" s="52" t="str">
        <f>IF(AND(OR(LEFT(TH!L1124,2)="15",LEFT(TH!M1124,2)="15"),TK!$E$7=TH!F1124),"x","")</f>
        <v/>
      </c>
      <c r="Y1124" s="52" t="str">
        <f>IF(AND(B1124&lt;=NKC!$N$8,B1124&gt;=NKC!$M$8),"x","")</f>
        <v/>
      </c>
    </row>
    <row r="1125" spans="1:28" s="208" customFormat="1" ht="15.75" customHeight="1">
      <c r="A1125" s="201" t="str">
        <f>IF(B1125&lt;&gt;"",IF(AND(B1125&gt;=_TM1,B1125&lt;=_TM2,OR(TH!L1125="1111",TH!M1125="1111")),TH!D1125,""),"")</f>
        <v/>
      </c>
      <c r="B1125" s="36">
        <f t="shared" si="54"/>
        <v>3</v>
      </c>
      <c r="C1125" s="188">
        <f t="shared" si="52"/>
        <v>41358</v>
      </c>
      <c r="D1125" s="188" t="s">
        <v>1260</v>
      </c>
      <c r="E1125" s="181">
        <v>41358</v>
      </c>
      <c r="F1125" s="189" t="s">
        <v>1209</v>
      </c>
      <c r="G1125" s="480" t="s">
        <v>750</v>
      </c>
      <c r="H1125" s="7" t="s">
        <v>1252</v>
      </c>
      <c r="I1125" s="715">
        <v>253</v>
      </c>
      <c r="J1125" s="803">
        <v>19910.059505275905</v>
      </c>
      <c r="K1125" s="595">
        <f t="shared" si="53"/>
        <v>5037245</v>
      </c>
      <c r="L1125" s="39" t="s">
        <v>162</v>
      </c>
      <c r="M1125" s="596" t="s">
        <v>156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IF(OR(TH!L1125=TH!$U$7,M1125=TH!$U$7),"x","")</f>
        <v/>
      </c>
      <c r="V1125" s="52" t="str">
        <f>IF(AND(B1125&gt;='IN-NX'!$P$3,B1125&lt;='IN-NX'!$Q$3,'IN-NX'!$D$7=D1125,OR(LEFT(L1125,2)="15",AND(LEFT(M1125,2)&lt;&gt;"15",LEFT(M1125,2)&lt;&gt;"33"))),"x","")</f>
        <v/>
      </c>
      <c r="W1125" s="52" t="str">
        <f>IF(AND(OR(LEFT(TH!L1125,2)="15",LEFT(TH!M1125,2)="15"),'152-CT'!$J$8=TH!F1125),"x","")</f>
        <v/>
      </c>
      <c r="X1125" s="52" t="str">
        <f>IF(AND(OR(LEFT(TH!L1125,2)="15",LEFT(TH!M1125,2)="15"),TK!$E$7=TH!F1125),"x","")</f>
        <v/>
      </c>
      <c r="Y1125" s="52" t="str">
        <f>IF(AND(B1125&lt;=NKC!$N$8,B1125&gt;=NKC!$M$8),"x","")</f>
        <v/>
      </c>
    </row>
    <row r="1126" spans="1:28" s="208" customFormat="1" ht="15.75" customHeight="1">
      <c r="A1126" s="201" t="str">
        <f>IF(B1126&lt;&gt;"",IF(AND(B1126&gt;=_TM1,B1126&lt;=_TM2,OR(TH!L1126="1111",TH!M1126="1111")),TH!D1126,""),"")</f>
        <v/>
      </c>
      <c r="B1126" s="36">
        <f t="shared" si="54"/>
        <v>3</v>
      </c>
      <c r="C1126" s="188">
        <f t="shared" si="52"/>
        <v>41358</v>
      </c>
      <c r="D1126" s="188" t="s">
        <v>1260</v>
      </c>
      <c r="E1126" s="37">
        <v>41358</v>
      </c>
      <c r="F1126" s="290" t="s">
        <v>1191</v>
      </c>
      <c r="G1126" s="40" t="s">
        <v>750</v>
      </c>
      <c r="H1126" s="7" t="s">
        <v>1252</v>
      </c>
      <c r="I1126" s="298">
        <v>995</v>
      </c>
      <c r="J1126" s="763">
        <v>10775</v>
      </c>
      <c r="K1126" s="595">
        <f t="shared" si="53"/>
        <v>10721125</v>
      </c>
      <c r="L1126" s="39" t="s">
        <v>162</v>
      </c>
      <c r="M1126" s="596" t="s">
        <v>156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IF(OR(TH!L1126=TH!$U$7,M1126=TH!$U$7),"x","")</f>
        <v/>
      </c>
      <c r="V1126" s="52" t="str">
        <f>IF(AND(B1126&gt;='IN-NX'!$P$3,B1126&lt;='IN-NX'!$Q$3,'IN-NX'!$D$7=D1126,OR(LEFT(L1126,2)="15",AND(LEFT(M1126,2)&lt;&gt;"15",LEFT(M1126,2)&lt;&gt;"33"))),"x","")</f>
        <v/>
      </c>
      <c r="W1126" s="52" t="str">
        <f>IF(AND(OR(LEFT(TH!L1126,2)="15",LEFT(TH!M1126,2)="15"),'152-CT'!$J$8=TH!F1126),"x","")</f>
        <v/>
      </c>
      <c r="X1126" s="52" t="str">
        <f>IF(AND(OR(LEFT(TH!L1126,2)="15",LEFT(TH!M1126,2)="15"),TK!$E$7=TH!F1126),"x","")</f>
        <v/>
      </c>
      <c r="Y1126" s="52" t="str">
        <f>IF(AND(B1126&lt;=NKC!$N$8,B1126&gt;=NKC!$M$8),"x","")</f>
        <v/>
      </c>
    </row>
    <row r="1127" spans="1:28" s="208" customFormat="1" ht="15.75" customHeight="1">
      <c r="A1127" s="201" t="str">
        <f>IF(B1127&lt;&gt;"",IF(AND(B1127&gt;=_TM1,B1127&lt;=_TM2,OR(TH!L1127="1111",TH!M1127="1111")),TH!D1127,""),"")</f>
        <v/>
      </c>
      <c r="B1127" s="36">
        <f t="shared" si="54"/>
        <v>3</v>
      </c>
      <c r="C1127" s="188">
        <f t="shared" si="52"/>
        <v>41358</v>
      </c>
      <c r="D1127" s="188" t="s">
        <v>1260</v>
      </c>
      <c r="E1127" s="188">
        <v>41358</v>
      </c>
      <c r="F1127" s="186" t="s">
        <v>1188</v>
      </c>
      <c r="G1127" s="597" t="s">
        <v>750</v>
      </c>
      <c r="H1127" s="7" t="s">
        <v>1252</v>
      </c>
      <c r="I1127" s="249">
        <v>100</v>
      </c>
      <c r="J1127" s="249">
        <v>11730</v>
      </c>
      <c r="K1127" s="595">
        <f t="shared" si="53"/>
        <v>1173000</v>
      </c>
      <c r="L1127" s="39" t="s">
        <v>162</v>
      </c>
      <c r="M1127" s="596" t="s">
        <v>156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IF(OR(TH!L1127=TH!$U$7,M1127=TH!$U$7),"x","")</f>
        <v/>
      </c>
      <c r="V1127" s="52" t="str">
        <f>IF(AND(B1127&gt;='IN-NX'!$P$3,B1127&lt;='IN-NX'!$Q$3,'IN-NX'!$D$7=D1127,OR(LEFT(L1127,2)="15",AND(LEFT(M1127,2)&lt;&gt;"15",LEFT(M1127,2)&lt;&gt;"33"))),"x","")</f>
        <v/>
      </c>
      <c r="W1127" s="52" t="str">
        <f>IF(AND(OR(LEFT(TH!L1127,2)="15",LEFT(TH!M1127,2)="15"),'152-CT'!$J$8=TH!F1127),"x","")</f>
        <v/>
      </c>
      <c r="X1127" s="52" t="str">
        <f>IF(AND(OR(LEFT(TH!L1127,2)="15",LEFT(TH!M1127,2)="15"),TK!$E$7=TH!F1127),"x","")</f>
        <v/>
      </c>
      <c r="Y1127" s="52" t="str">
        <f>IF(AND(B1127&lt;=NKC!$N$8,B1127&gt;=NKC!$M$8),"x","")</f>
        <v/>
      </c>
    </row>
    <row r="1128" spans="1:28" s="208" customFormat="1" ht="15.75" customHeight="1">
      <c r="A1128" s="201" t="str">
        <f>IF(B1128&lt;&gt;"",IF(AND(B1128&gt;=_TM1,B1128&lt;=_TM2,OR(TH!L1128="1111",TH!M1128="1111")),TH!D1128,""),"")</f>
        <v/>
      </c>
      <c r="B1128" s="36">
        <f t="shared" si="54"/>
        <v>3</v>
      </c>
      <c r="C1128" s="188">
        <f t="shared" si="52"/>
        <v>41358</v>
      </c>
      <c r="D1128" s="188" t="s">
        <v>1260</v>
      </c>
      <c r="E1128" s="188">
        <v>41358</v>
      </c>
      <c r="F1128" s="186" t="s">
        <v>1149</v>
      </c>
      <c r="G1128" s="597" t="s">
        <v>750</v>
      </c>
      <c r="H1128" s="7" t="s">
        <v>1252</v>
      </c>
      <c r="I1128" s="249">
        <v>100</v>
      </c>
      <c r="J1128" s="249">
        <v>6413</v>
      </c>
      <c r="K1128" s="595">
        <f t="shared" si="53"/>
        <v>641300</v>
      </c>
      <c r="L1128" s="39" t="s">
        <v>162</v>
      </c>
      <c r="M1128" s="596" t="s">
        <v>156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IF(OR(TH!L1128=TH!$U$7,M1128=TH!$U$7),"x","")</f>
        <v/>
      </c>
      <c r="V1128" s="52" t="str">
        <f>IF(AND(B1128&gt;='IN-NX'!$P$3,B1128&lt;='IN-NX'!$Q$3,'IN-NX'!$D$7=D1128,OR(LEFT(L1128,2)="15",AND(LEFT(M1128,2)&lt;&gt;"15",LEFT(M1128,2)&lt;&gt;"33"))),"x","")</f>
        <v/>
      </c>
      <c r="W1128" s="52" t="str">
        <f>IF(AND(OR(LEFT(TH!L1128,2)="15",LEFT(TH!M1128,2)="15"),'152-CT'!$J$8=TH!F1128),"x","")</f>
        <v/>
      </c>
      <c r="X1128" s="52" t="str">
        <f>IF(AND(OR(LEFT(TH!L1128,2)="15",LEFT(TH!M1128,2)="15"),TK!$E$7=TH!F1128),"x","")</f>
        <v/>
      </c>
      <c r="Y1128" s="52" t="str">
        <f>IF(AND(B1128&lt;=NKC!$N$8,B1128&gt;=NKC!$M$8),"x","")</f>
        <v/>
      </c>
    </row>
    <row r="1129" spans="1:28" s="208" customFormat="1" ht="15.75" customHeight="1">
      <c r="A1129" s="201" t="str">
        <f>IF(B1129&lt;&gt;"",IF(AND(B1129&gt;=_TM1,B1129&lt;=_TM2,OR(TH!L1129="1111",TH!M1129="1111")),TH!D1129,""),"")</f>
        <v/>
      </c>
      <c r="B1129" s="36">
        <f t="shared" si="54"/>
        <v>3</v>
      </c>
      <c r="C1129" s="188">
        <f t="shared" si="52"/>
        <v>41358</v>
      </c>
      <c r="D1129" s="188" t="s">
        <v>1260</v>
      </c>
      <c r="E1129" s="37">
        <v>41358</v>
      </c>
      <c r="F1129" s="40" t="s">
        <v>1160</v>
      </c>
      <c r="G1129" s="40" t="s">
        <v>750</v>
      </c>
      <c r="H1129" s="7" t="s">
        <v>1252</v>
      </c>
      <c r="I1129" s="249">
        <v>500</v>
      </c>
      <c r="J1129" s="249">
        <v>9377</v>
      </c>
      <c r="K1129" s="595">
        <f t="shared" si="53"/>
        <v>4688500</v>
      </c>
      <c r="L1129" s="39" t="s">
        <v>162</v>
      </c>
      <c r="M1129" s="596" t="s">
        <v>156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IF(OR(TH!L1129=TH!$U$7,M1129=TH!$U$7),"x","")</f>
        <v/>
      </c>
      <c r="V1129" s="52" t="str">
        <f>IF(AND(B1129&gt;='IN-NX'!$P$3,B1129&lt;='IN-NX'!$Q$3,'IN-NX'!$D$7=D1129,OR(LEFT(L1129,2)="15",AND(LEFT(M1129,2)&lt;&gt;"15",LEFT(M1129,2)&lt;&gt;"33"))),"x","")</f>
        <v/>
      </c>
      <c r="W1129" s="52" t="str">
        <f>IF(AND(OR(LEFT(TH!L1129,2)="15",LEFT(TH!M1129,2)="15"),'152-CT'!$J$8=TH!F1129),"x","")</f>
        <v/>
      </c>
      <c r="X1129" s="52" t="str">
        <f>IF(AND(OR(LEFT(TH!L1129,2)="15",LEFT(TH!M1129,2)="15"),TK!$E$7=TH!F1129),"x","")</f>
        <v/>
      </c>
      <c r="Y1129" s="52" t="str">
        <f>IF(AND(B1129&lt;=NKC!$N$8,B1129&gt;=NKC!$M$8),"x","")</f>
        <v/>
      </c>
    </row>
    <row r="1130" spans="1:28" s="208" customFormat="1" ht="15.75" customHeight="1">
      <c r="A1130" s="201" t="str">
        <f>IF(B1130&lt;&gt;"",IF(AND(B1130&gt;=_TM1,B1130&lt;=_TM2,OR(TH!L1130="1111",TH!M1130="1111")),TH!D1130,""),"")</f>
        <v/>
      </c>
      <c r="B1130" s="36">
        <f t="shared" si="54"/>
        <v>3</v>
      </c>
      <c r="C1130" s="188">
        <f t="shared" si="52"/>
        <v>41360</v>
      </c>
      <c r="D1130" s="188" t="s">
        <v>1260</v>
      </c>
      <c r="E1130" s="37">
        <v>41360</v>
      </c>
      <c r="F1130" s="40" t="s">
        <v>1153</v>
      </c>
      <c r="G1130" s="40" t="s">
        <v>754</v>
      </c>
      <c r="H1130" s="7" t="s">
        <v>1252</v>
      </c>
      <c r="I1130" s="249">
        <v>360</v>
      </c>
      <c r="J1130" s="249">
        <v>13507</v>
      </c>
      <c r="K1130" s="595">
        <f t="shared" si="53"/>
        <v>4862520</v>
      </c>
      <c r="L1130" s="39" t="s">
        <v>162</v>
      </c>
      <c r="M1130" s="596" t="s">
        <v>156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IF(OR(TH!L1130=TH!$U$7,M1130=TH!$U$7),"x","")</f>
        <v/>
      </c>
      <c r="V1130" s="52" t="str">
        <f>IF(AND(B1130&gt;='IN-NX'!$P$3,B1130&lt;='IN-NX'!$Q$3,'IN-NX'!$D$7=D1130,OR(LEFT(L1130,2)="15",AND(LEFT(M1130,2)&lt;&gt;"15",LEFT(M1130,2)&lt;&gt;"33"))),"x","")</f>
        <v/>
      </c>
      <c r="W1130" s="52" t="str">
        <f>IF(AND(OR(LEFT(TH!L1130,2)="15",LEFT(TH!M1130,2)="15"),'152-CT'!$J$8=TH!F1130),"x","")</f>
        <v/>
      </c>
      <c r="X1130" s="52" t="str">
        <f>IF(AND(OR(LEFT(TH!L1130,2)="15",LEFT(TH!M1130,2)="15"),TK!$E$7=TH!F1130),"x","")</f>
        <v/>
      </c>
      <c r="Y1130" s="52" t="str">
        <f>IF(AND(B1130&lt;=NKC!$N$8,B1130&gt;=NKC!$M$8),"x","")</f>
        <v/>
      </c>
    </row>
    <row r="1131" spans="1:28" s="208" customFormat="1" ht="15.75" customHeight="1">
      <c r="A1131" s="201" t="str">
        <f>IF(B1131&lt;&gt;"",IF(AND(B1131&gt;=_TM1,B1131&lt;=_TM2,OR(TH!L1131="1111",TH!M1131="1111")),TH!D1131,""),"")</f>
        <v/>
      </c>
      <c r="B1131" s="36">
        <f t="shared" si="54"/>
        <v>3</v>
      </c>
      <c r="C1131" s="188">
        <f t="shared" si="52"/>
        <v>41360</v>
      </c>
      <c r="D1131" s="188" t="s">
        <v>1260</v>
      </c>
      <c r="E1131" s="37">
        <v>41360</v>
      </c>
      <c r="F1131" s="40" t="s">
        <v>1148</v>
      </c>
      <c r="G1131" s="40" t="s">
        <v>755</v>
      </c>
      <c r="H1131" s="7" t="s">
        <v>1252</v>
      </c>
      <c r="I1131" s="249">
        <v>600</v>
      </c>
      <c r="J1131" s="249">
        <v>9098</v>
      </c>
      <c r="K1131" s="595">
        <f t="shared" si="53"/>
        <v>5458800</v>
      </c>
      <c r="L1131" s="39" t="s">
        <v>162</v>
      </c>
      <c r="M1131" s="596" t="s">
        <v>156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IF(OR(TH!L1131=TH!$U$7,M1131=TH!$U$7),"x","")</f>
        <v/>
      </c>
      <c r="V1131" s="52" t="str">
        <f>IF(AND(B1131&gt;='IN-NX'!$P$3,B1131&lt;='IN-NX'!$Q$3,'IN-NX'!$D$7=D1131,OR(LEFT(L1131,2)="15",AND(LEFT(M1131,2)&lt;&gt;"15",LEFT(M1131,2)&lt;&gt;"33"))),"x","")</f>
        <v/>
      </c>
      <c r="W1131" s="52" t="str">
        <f>IF(AND(OR(LEFT(TH!L1131,2)="15",LEFT(TH!M1131,2)="15"),'152-CT'!$J$8=TH!F1131),"x","")</f>
        <v/>
      </c>
      <c r="X1131" s="52" t="str">
        <f>IF(AND(OR(LEFT(TH!L1131,2)="15",LEFT(TH!M1131,2)="15"),TK!$E$7=TH!F1131),"x","")</f>
        <v/>
      </c>
      <c r="Y1131" s="52" t="str">
        <f>IF(AND(B1131&lt;=NKC!$N$8,B1131&gt;=NKC!$M$8),"x","")</f>
        <v/>
      </c>
    </row>
    <row r="1132" spans="1:28" s="798" customFormat="1" ht="15.75" customHeight="1">
      <c r="A1132" s="201" t="str">
        <f>IF(B1132&lt;&gt;"",IF(AND(B1132&gt;=_TM1,B1132&lt;=_TM2,OR(TH!L1132="1111",TH!M1132="1111")),TH!D1132,""),"")</f>
        <v/>
      </c>
      <c r="B1132" s="796">
        <f t="shared" si="54"/>
        <v>3</v>
      </c>
      <c r="C1132" s="853">
        <f t="shared" si="52"/>
        <v>41364</v>
      </c>
      <c r="D1132" s="188" t="s">
        <v>1260</v>
      </c>
      <c r="E1132" s="853">
        <v>41364</v>
      </c>
      <c r="F1132" s="861" t="s">
        <v>678</v>
      </c>
      <c r="G1132" s="862" t="s">
        <v>756</v>
      </c>
      <c r="H1132" s="856" t="s">
        <v>1252</v>
      </c>
      <c r="I1132" s="863">
        <v>515</v>
      </c>
      <c r="J1132" s="863">
        <v>15000</v>
      </c>
      <c r="K1132" s="793">
        <f t="shared" si="53"/>
        <v>7725000</v>
      </c>
      <c r="L1132" s="786" t="s">
        <v>162</v>
      </c>
      <c r="M1132" s="859" t="s">
        <v>156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IF(OR(TH!L1132=TH!$U$7,M1132=TH!$U$7),"x","")</f>
        <v/>
      </c>
      <c r="V1132" s="52" t="str">
        <f>IF(AND(B1132&gt;='IN-NX'!$P$3,B1132&lt;='IN-NX'!$Q$3,'IN-NX'!$D$7=D1132,OR(LEFT(L1132,2)="15",AND(LEFT(M1132,2)&lt;&gt;"15",LEFT(M1132,2)&lt;&gt;"33"))),"x","")</f>
        <v/>
      </c>
      <c r="W1132" s="52" t="str">
        <f>IF(AND(OR(LEFT(TH!L1132,2)="15",LEFT(TH!M1132,2)="15"),'152-CT'!$J$8=TH!F1132),"x","")</f>
        <v/>
      </c>
      <c r="X1132" s="52" t="str">
        <f>IF(AND(OR(LEFT(TH!L1132,2)="15",LEFT(TH!M1132,2)="15"),TK!$E$7=TH!F1132),"x","")</f>
        <v/>
      </c>
      <c r="Y1132" s="52" t="str">
        <f>IF(AND(B1132&lt;=NKC!$N$8,B1132&gt;=NKC!$M$8),"x","")</f>
        <v/>
      </c>
    </row>
    <row r="1133" spans="1:28" s="208" customFormat="1" ht="15.75" customHeight="1">
      <c r="A1133" s="201" t="str">
        <f>IF(B1133&lt;&gt;"",IF(AND(B1133&gt;=_TM1,B1133&lt;=_TM2,OR(TH!L1133="1111",TH!M1133="1111")),TH!D1133,""),"")</f>
        <v/>
      </c>
      <c r="B1133" s="36">
        <f t="shared" si="54"/>
        <v>4</v>
      </c>
      <c r="C1133" s="188">
        <f t="shared" si="52"/>
        <v>41365</v>
      </c>
      <c r="D1133" s="188" t="s">
        <v>1260</v>
      </c>
      <c r="E1133" s="188">
        <v>41365</v>
      </c>
      <c r="F1133" s="290" t="s">
        <v>1195</v>
      </c>
      <c r="G1133" s="480" t="s">
        <v>758</v>
      </c>
      <c r="H1133" s="7" t="s">
        <v>1252</v>
      </c>
      <c r="I1133" s="249">
        <v>250</v>
      </c>
      <c r="J1133" s="249">
        <v>13999</v>
      </c>
      <c r="K1133" s="595">
        <f t="shared" si="53"/>
        <v>3499750</v>
      </c>
      <c r="L1133" s="39" t="s">
        <v>162</v>
      </c>
      <c r="M1133" s="596" t="s">
        <v>156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IF(OR(TH!L1133=TH!$U$7,M1133=TH!$U$7),"x","")</f>
        <v/>
      </c>
      <c r="V1133" s="52" t="str">
        <f>IF(AND(B1133&gt;='IN-NX'!$P$3,B1133&lt;='IN-NX'!$Q$3,'IN-NX'!$D$7=D1133,OR(LEFT(L1133,2)="15",AND(LEFT(M1133,2)&lt;&gt;"15",LEFT(M1133,2)&lt;&gt;"33"))),"x","")</f>
        <v/>
      </c>
      <c r="W1133" s="52" t="str">
        <f>IF(AND(OR(LEFT(TH!L1133,2)="15",LEFT(TH!M1133,2)="15"),'152-CT'!$J$8=TH!F1133),"x","")</f>
        <v/>
      </c>
      <c r="X1133" s="52" t="str">
        <f>IF(AND(OR(LEFT(TH!L1133,2)="15",LEFT(TH!M1133,2)="15"),TK!$E$7=TH!F1133),"x","")</f>
        <v/>
      </c>
      <c r="Y1133" s="52" t="str">
        <f>IF(AND(B1133&lt;=NKC!$N$8,B1133&gt;=NKC!$M$8),"x","")</f>
        <v/>
      </c>
    </row>
    <row r="1134" spans="1:28" s="208" customFormat="1" ht="15.75" customHeight="1">
      <c r="A1134" s="201" t="str">
        <f>IF(B1134&lt;&gt;"",IF(AND(B1134&gt;=_TM1,B1134&lt;=_TM2,OR(TH!L1134="1111",TH!M1134="1111")),TH!D1134,""),"")</f>
        <v/>
      </c>
      <c r="B1134" s="36">
        <f t="shared" si="54"/>
        <v>4</v>
      </c>
      <c r="C1134" s="188">
        <f t="shared" si="52"/>
        <v>41365</v>
      </c>
      <c r="D1134" s="188" t="s">
        <v>1260</v>
      </c>
      <c r="E1134" s="735">
        <v>41365</v>
      </c>
      <c r="F1134" s="290" t="s">
        <v>1138</v>
      </c>
      <c r="G1134" s="40" t="s">
        <v>759</v>
      </c>
      <c r="H1134" s="7" t="s">
        <v>1252</v>
      </c>
      <c r="I1134" s="249">
        <v>202</v>
      </c>
      <c r="J1134" s="249">
        <v>20992</v>
      </c>
      <c r="K1134" s="595">
        <f t="shared" si="53"/>
        <v>4240384</v>
      </c>
      <c r="L1134" s="39" t="s">
        <v>162</v>
      </c>
      <c r="M1134" s="596" t="s">
        <v>156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IF(OR(TH!L1134=TH!$U$7,M1134=TH!$U$7),"x","")</f>
        <v/>
      </c>
      <c r="V1134" s="52" t="str">
        <f>IF(AND(B1134&gt;='IN-NX'!$P$3,B1134&lt;='IN-NX'!$Q$3,'IN-NX'!$D$7=D1134,OR(LEFT(L1134,2)="15",AND(LEFT(M1134,2)&lt;&gt;"15",LEFT(M1134,2)&lt;&gt;"33"))),"x","")</f>
        <v/>
      </c>
      <c r="W1134" s="52" t="str">
        <f>IF(AND(OR(LEFT(TH!L1134,2)="15",LEFT(TH!M1134,2)="15"),'152-CT'!$J$8=TH!F1134),"x","")</f>
        <v/>
      </c>
      <c r="X1134" s="52" t="str">
        <f>IF(AND(OR(LEFT(TH!L1134,2)="15",LEFT(TH!M1134,2)="15"),TK!$E$7=TH!F1134),"x","")</f>
        <v/>
      </c>
      <c r="Y1134" s="52" t="str">
        <f>IF(AND(B1134&lt;=NKC!$N$8,B1134&gt;=NKC!$M$8),"x","")</f>
        <v/>
      </c>
    </row>
    <row r="1135" spans="1:28" s="208" customFormat="1" ht="15.75" customHeight="1">
      <c r="A1135" s="201" t="str">
        <f>IF(B1135&lt;&gt;"",IF(AND(B1135&gt;=_TM1,B1135&lt;=_TM2,OR(TH!L1135="1111",TH!M1135="1111")),TH!D1135,""),"")</f>
        <v/>
      </c>
      <c r="B1135" s="36">
        <f t="shared" si="54"/>
        <v>4</v>
      </c>
      <c r="C1135" s="188">
        <f t="shared" si="52"/>
        <v>41366</v>
      </c>
      <c r="D1135" s="188" t="s">
        <v>1260</v>
      </c>
      <c r="E1135" s="735">
        <v>41366</v>
      </c>
      <c r="F1135" s="40" t="s">
        <v>1214</v>
      </c>
      <c r="G1135" s="40" t="s">
        <v>546</v>
      </c>
      <c r="H1135" s="7" t="s">
        <v>1252</v>
      </c>
      <c r="I1135" s="249">
        <v>250</v>
      </c>
      <c r="J1135" s="249">
        <v>21023</v>
      </c>
      <c r="K1135" s="595">
        <f t="shared" si="53"/>
        <v>5255750</v>
      </c>
      <c r="L1135" s="39" t="s">
        <v>162</v>
      </c>
      <c r="M1135" s="596" t="s">
        <v>156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IF(OR(TH!L1135=TH!$U$7,M1135=TH!$U$7),"x","")</f>
        <v/>
      </c>
      <c r="V1135" s="52" t="str">
        <f>IF(AND(B1135&gt;='IN-NX'!$P$3,B1135&lt;='IN-NX'!$Q$3,'IN-NX'!$D$7=D1135,OR(LEFT(L1135,2)="15",AND(LEFT(M1135,2)&lt;&gt;"15",LEFT(M1135,2)&lt;&gt;"33"))),"x","")</f>
        <v/>
      </c>
      <c r="W1135" s="52" t="str">
        <f>IF(AND(OR(LEFT(TH!L1135,2)="15",LEFT(TH!M1135,2)="15"),'152-CT'!$J$8=TH!F1135),"x","")</f>
        <v/>
      </c>
      <c r="X1135" s="52" t="str">
        <f>IF(AND(OR(LEFT(TH!L1135,2)="15",LEFT(TH!M1135,2)="15"),TK!$E$7=TH!F1135),"x","")</f>
        <v/>
      </c>
      <c r="Y1135" s="52" t="str">
        <f>IF(AND(B1135&lt;=NKC!$N$8,B1135&gt;=NKC!$M$8),"x","")</f>
        <v/>
      </c>
    </row>
    <row r="1136" spans="1:28" s="208" customFormat="1" ht="15.75" customHeight="1">
      <c r="A1136" s="201" t="str">
        <f>IF(B1136&lt;&gt;"",IF(AND(B1136&gt;=_TM1,B1136&lt;=_TM2,OR(TH!L1136="1111",TH!M1136="1111")),TH!D1136,""),"")</f>
        <v/>
      </c>
      <c r="B1136" s="36">
        <f t="shared" si="54"/>
        <v>4</v>
      </c>
      <c r="C1136" s="188">
        <f t="shared" si="52"/>
        <v>41366</v>
      </c>
      <c r="D1136" s="188" t="s">
        <v>1260</v>
      </c>
      <c r="E1136" s="735">
        <v>41366</v>
      </c>
      <c r="F1136" s="40" t="s">
        <v>1142</v>
      </c>
      <c r="G1136" s="40" t="s">
        <v>763</v>
      </c>
      <c r="H1136" s="7" t="s">
        <v>1252</v>
      </c>
      <c r="I1136" s="772">
        <v>508</v>
      </c>
      <c r="J1136" s="249">
        <v>22663</v>
      </c>
      <c r="K1136" s="595">
        <f t="shared" si="53"/>
        <v>11512804</v>
      </c>
      <c r="L1136" s="39" t="s">
        <v>162</v>
      </c>
      <c r="M1136" s="596" t="s">
        <v>156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IF(OR(TH!L1136=TH!$U$7,M1136=TH!$U$7),"x","")</f>
        <v/>
      </c>
      <c r="V1136" s="52" t="str">
        <f>IF(AND(B1136&gt;='IN-NX'!$P$3,B1136&lt;='IN-NX'!$Q$3,'IN-NX'!$D$7=D1136,OR(LEFT(L1136,2)="15",AND(LEFT(M1136,2)&lt;&gt;"15",LEFT(M1136,2)&lt;&gt;"33"))),"x","")</f>
        <v/>
      </c>
      <c r="W1136" s="52" t="str">
        <f>IF(AND(OR(LEFT(TH!L1136,2)="15",LEFT(TH!M1136,2)="15"),'152-CT'!$J$8=TH!F1136),"x","")</f>
        <v/>
      </c>
      <c r="X1136" s="52" t="str">
        <f>IF(AND(OR(LEFT(TH!L1136,2)="15",LEFT(TH!M1136,2)="15"),TK!$E$7=TH!F1136),"x","")</f>
        <v/>
      </c>
      <c r="Y1136" s="52" t="str">
        <f>IF(AND(B1136&lt;=NKC!$N$8,B1136&gt;=NKC!$M$8),"x","")</f>
        <v/>
      </c>
    </row>
    <row r="1137" spans="1:25" s="208" customFormat="1" ht="15.75" customHeight="1">
      <c r="A1137" s="201" t="str">
        <f>IF(B1137&lt;&gt;"",IF(AND(B1137&gt;=_TM1,B1137&lt;=_TM2,OR(TH!L1137="1111",TH!M1137="1111")),TH!D1137,""),"")</f>
        <v/>
      </c>
      <c r="B1137" s="36">
        <f t="shared" si="54"/>
        <v>4</v>
      </c>
      <c r="C1137" s="188">
        <f t="shared" si="52"/>
        <v>41367</v>
      </c>
      <c r="D1137" s="188" t="s">
        <v>1260</v>
      </c>
      <c r="E1137" s="735">
        <v>41367</v>
      </c>
      <c r="F1137" s="186" t="s">
        <v>1142</v>
      </c>
      <c r="G1137" s="40" t="s">
        <v>765</v>
      </c>
      <c r="H1137" s="7" t="s">
        <v>1252</v>
      </c>
      <c r="I1137" s="772">
        <v>250</v>
      </c>
      <c r="J1137" s="249">
        <v>22663</v>
      </c>
      <c r="K1137" s="595">
        <f t="shared" si="53"/>
        <v>5665750</v>
      </c>
      <c r="L1137" s="39" t="s">
        <v>162</v>
      </c>
      <c r="M1137" s="596" t="s">
        <v>156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IF(OR(TH!L1137=TH!$U$7,M1137=TH!$U$7),"x","")</f>
        <v/>
      </c>
      <c r="V1137" s="52" t="str">
        <f>IF(AND(B1137&gt;='IN-NX'!$P$3,B1137&lt;='IN-NX'!$Q$3,'IN-NX'!$D$7=D1137,OR(LEFT(L1137,2)="15",AND(LEFT(M1137,2)&lt;&gt;"15",LEFT(M1137,2)&lt;&gt;"33"))),"x","")</f>
        <v/>
      </c>
      <c r="W1137" s="52" t="str">
        <f>IF(AND(OR(LEFT(TH!L1137,2)="15",LEFT(TH!M1137,2)="15"),'152-CT'!$J$8=TH!F1137),"x","")</f>
        <v/>
      </c>
      <c r="X1137" s="52" t="str">
        <f>IF(AND(OR(LEFT(TH!L1137,2)="15",LEFT(TH!M1137,2)="15"),TK!$E$7=TH!F1137),"x","")</f>
        <v/>
      </c>
      <c r="Y1137" s="52" t="str">
        <f>IF(AND(B1137&lt;=NKC!$N$8,B1137&gt;=NKC!$M$8),"x","")</f>
        <v/>
      </c>
    </row>
    <row r="1138" spans="1:25" s="208" customFormat="1" ht="15.75" customHeight="1">
      <c r="A1138" s="201" t="str">
        <f>IF(B1138&lt;&gt;"",IF(AND(B1138&gt;=_TM1,B1138&lt;=_TM2,OR(TH!L1138="1111",TH!M1138="1111")),TH!D1138,""),"")</f>
        <v/>
      </c>
      <c r="B1138" s="36">
        <f t="shared" si="54"/>
        <v>4</v>
      </c>
      <c r="C1138" s="188">
        <f t="shared" si="52"/>
        <v>41367</v>
      </c>
      <c r="D1138" s="188" t="s">
        <v>1260</v>
      </c>
      <c r="E1138" s="735">
        <v>41367</v>
      </c>
      <c r="F1138" s="186" t="s">
        <v>1142</v>
      </c>
      <c r="G1138" s="40" t="s">
        <v>765</v>
      </c>
      <c r="H1138" s="7" t="s">
        <v>1252</v>
      </c>
      <c r="I1138" s="772">
        <v>50</v>
      </c>
      <c r="J1138" s="249">
        <v>22663</v>
      </c>
      <c r="K1138" s="595">
        <f t="shared" si="53"/>
        <v>1133150</v>
      </c>
      <c r="L1138" s="39" t="s">
        <v>162</v>
      </c>
      <c r="M1138" s="596" t="s">
        <v>156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IF(OR(TH!L1138=TH!$U$7,M1138=TH!$U$7),"x","")</f>
        <v/>
      </c>
      <c r="V1138" s="52" t="str">
        <f>IF(AND(B1138&gt;='IN-NX'!$P$3,B1138&lt;='IN-NX'!$Q$3,'IN-NX'!$D$7=D1138,OR(LEFT(L1138,2)="15",AND(LEFT(M1138,2)&lt;&gt;"15",LEFT(M1138,2)&lt;&gt;"33"))),"x","")</f>
        <v/>
      </c>
      <c r="W1138" s="52" t="str">
        <f>IF(AND(OR(LEFT(TH!L1138,2)="15",LEFT(TH!M1138,2)="15"),'152-CT'!$J$8=TH!F1138),"x","")</f>
        <v/>
      </c>
      <c r="X1138" s="52" t="str">
        <f>IF(AND(OR(LEFT(TH!L1138,2)="15",LEFT(TH!M1138,2)="15"),TK!$E$7=TH!F1138),"x","")</f>
        <v/>
      </c>
      <c r="Y1138" s="52" t="str">
        <f>IF(AND(B1138&lt;=NKC!$N$8,B1138&gt;=NKC!$M$8),"x","")</f>
        <v/>
      </c>
    </row>
    <row r="1139" spans="1:25" s="208" customFormat="1" ht="15.75" customHeight="1">
      <c r="A1139" s="201" t="str">
        <f>IF(B1139&lt;&gt;"",IF(AND(B1139&gt;=_TM1,B1139&lt;=_TM2,OR(TH!L1139="1111",TH!M1139="1111")),TH!D1139,""),"")</f>
        <v/>
      </c>
      <c r="B1139" s="36">
        <f t="shared" si="54"/>
        <v>4</v>
      </c>
      <c r="C1139" s="188">
        <f t="shared" si="52"/>
        <v>41372</v>
      </c>
      <c r="D1139" s="188" t="s">
        <v>1260</v>
      </c>
      <c r="E1139" s="735">
        <v>41372</v>
      </c>
      <c r="F1139" s="290" t="s">
        <v>1208</v>
      </c>
      <c r="G1139" s="40" t="s">
        <v>766</v>
      </c>
      <c r="H1139" s="7" t="s">
        <v>1252</v>
      </c>
      <c r="I1139" s="249">
        <v>1000</v>
      </c>
      <c r="J1139" s="249">
        <v>17625</v>
      </c>
      <c r="K1139" s="595">
        <f t="shared" si="53"/>
        <v>17625000</v>
      </c>
      <c r="L1139" s="39" t="s">
        <v>162</v>
      </c>
      <c r="M1139" s="596" t="s">
        <v>156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IF(OR(TH!L1139=TH!$U$7,M1139=TH!$U$7),"x","")</f>
        <v/>
      </c>
      <c r="V1139" s="52" t="str">
        <f>IF(AND(B1139&gt;='IN-NX'!$P$3,B1139&lt;='IN-NX'!$Q$3,'IN-NX'!$D$7=D1139,OR(LEFT(L1139,2)="15",AND(LEFT(M1139,2)&lt;&gt;"15",LEFT(M1139,2)&lt;&gt;"33"))),"x","")</f>
        <v/>
      </c>
      <c r="W1139" s="52" t="str">
        <f>IF(AND(OR(LEFT(TH!L1139,2)="15",LEFT(TH!M1139,2)="15"),'152-CT'!$J$8=TH!F1139),"x","")</f>
        <v/>
      </c>
      <c r="X1139" s="52" t="str">
        <f>IF(AND(OR(LEFT(TH!L1139,2)="15",LEFT(TH!M1139,2)="15"),TK!$E$7=TH!F1139),"x","")</f>
        <v/>
      </c>
      <c r="Y1139" s="52" t="str">
        <f>IF(AND(B1139&lt;=NKC!$N$8,B1139&gt;=NKC!$M$8),"x","")</f>
        <v/>
      </c>
    </row>
    <row r="1140" spans="1:25" s="208" customFormat="1" ht="15.75" customHeight="1">
      <c r="A1140" s="201" t="str">
        <f>IF(B1140&lt;&gt;"",IF(AND(B1140&gt;=_TM1,B1140&lt;=_TM2,OR(TH!L1140="1111",TH!M1140="1111")),TH!D1140,""),"")</f>
        <v/>
      </c>
      <c r="B1140" s="36">
        <f t="shared" si="54"/>
        <v>4</v>
      </c>
      <c r="C1140" s="188">
        <f t="shared" si="52"/>
        <v>41372</v>
      </c>
      <c r="D1140" s="188" t="s">
        <v>1260</v>
      </c>
      <c r="E1140" s="735">
        <v>41372</v>
      </c>
      <c r="F1140" s="186" t="s">
        <v>1209</v>
      </c>
      <c r="G1140" s="40" t="s">
        <v>766</v>
      </c>
      <c r="H1140" s="7" t="s">
        <v>1252</v>
      </c>
      <c r="I1140" s="772">
        <v>691</v>
      </c>
      <c r="J1140" s="249">
        <v>19910.059520224833</v>
      </c>
      <c r="K1140" s="595">
        <f t="shared" si="53"/>
        <v>13757851</v>
      </c>
      <c r="L1140" s="39" t="s">
        <v>162</v>
      </c>
      <c r="M1140" s="596" t="s">
        <v>156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IF(OR(TH!L1140=TH!$U$7,M1140=TH!$U$7),"x","")</f>
        <v/>
      </c>
      <c r="V1140" s="52" t="str">
        <f>IF(AND(B1140&gt;='IN-NX'!$P$3,B1140&lt;='IN-NX'!$Q$3,'IN-NX'!$D$7=D1140,OR(LEFT(L1140,2)="15",AND(LEFT(M1140,2)&lt;&gt;"15",LEFT(M1140,2)&lt;&gt;"33"))),"x","")</f>
        <v/>
      </c>
      <c r="W1140" s="52" t="str">
        <f>IF(AND(OR(LEFT(TH!L1140,2)="15",LEFT(TH!M1140,2)="15"),'152-CT'!$J$8=TH!F1140),"x","")</f>
        <v/>
      </c>
      <c r="X1140" s="52" t="str">
        <f>IF(AND(OR(LEFT(TH!L1140,2)="15",LEFT(TH!M1140,2)="15"),TK!$E$7=TH!F1140),"x","")</f>
        <v/>
      </c>
      <c r="Y1140" s="52" t="str">
        <f>IF(AND(B1140&lt;=NKC!$N$8,B1140&gt;=NKC!$M$8),"x","")</f>
        <v/>
      </c>
    </row>
    <row r="1141" spans="1:25" s="208" customFormat="1" ht="15.75" customHeight="1">
      <c r="A1141" s="201" t="str">
        <f>IF(B1141&lt;&gt;"",IF(AND(B1141&gt;=_TM1,B1141&lt;=_TM2,OR(TH!L1141="1111",TH!M1141="1111")),TH!D1141,""),"")</f>
        <v/>
      </c>
      <c r="B1141" s="36">
        <f t="shared" si="54"/>
        <v>4</v>
      </c>
      <c r="C1141" s="188">
        <f t="shared" si="52"/>
        <v>41372</v>
      </c>
      <c r="D1141" s="188" t="s">
        <v>1260</v>
      </c>
      <c r="E1141" s="735">
        <v>41372</v>
      </c>
      <c r="F1141" s="186" t="s">
        <v>1174</v>
      </c>
      <c r="G1141" s="40" t="s">
        <v>767</v>
      </c>
      <c r="H1141" s="7" t="s">
        <v>1252</v>
      </c>
      <c r="I1141" s="772">
        <v>103</v>
      </c>
      <c r="J1141" s="249">
        <v>16278</v>
      </c>
      <c r="K1141" s="595">
        <f t="shared" si="53"/>
        <v>1676634</v>
      </c>
      <c r="L1141" s="39" t="s">
        <v>162</v>
      </c>
      <c r="M1141" s="596" t="s">
        <v>156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IF(OR(TH!L1141=TH!$U$7,M1141=TH!$U$7),"x","")</f>
        <v/>
      </c>
      <c r="V1141" s="52" t="str">
        <f>IF(AND(B1141&gt;='IN-NX'!$P$3,B1141&lt;='IN-NX'!$Q$3,'IN-NX'!$D$7=D1141,OR(LEFT(L1141,2)="15",AND(LEFT(M1141,2)&lt;&gt;"15",LEFT(M1141,2)&lt;&gt;"33"))),"x","")</f>
        <v/>
      </c>
      <c r="W1141" s="52" t="str">
        <f>IF(AND(OR(LEFT(TH!L1141,2)="15",LEFT(TH!M1141,2)="15"),'152-CT'!$J$8=TH!F1141),"x","")</f>
        <v/>
      </c>
      <c r="X1141" s="52" t="str">
        <f>IF(AND(OR(LEFT(TH!L1141,2)="15",LEFT(TH!M1141,2)="15"),TK!$E$7=TH!F1141),"x","")</f>
        <v/>
      </c>
      <c r="Y1141" s="52" t="str">
        <f>IF(AND(B1141&lt;=NKC!$N$8,B1141&gt;=NKC!$M$8),"x","")</f>
        <v/>
      </c>
    </row>
    <row r="1142" spans="1:25" s="208" customFormat="1" ht="15.75" customHeight="1">
      <c r="A1142" s="201" t="str">
        <f>IF(B1142&lt;&gt;"",IF(AND(B1142&gt;=_TM1,B1142&lt;=_TM2,OR(TH!L1142="1111",TH!M1142="1111")),TH!D1142,""),"")</f>
        <v/>
      </c>
      <c r="B1142" s="36">
        <f t="shared" si="54"/>
        <v>4</v>
      </c>
      <c r="C1142" s="188">
        <f t="shared" si="52"/>
        <v>41372</v>
      </c>
      <c r="D1142" s="188" t="s">
        <v>1260</v>
      </c>
      <c r="E1142" s="735">
        <v>41372</v>
      </c>
      <c r="F1142" s="40" t="s">
        <v>1158</v>
      </c>
      <c r="G1142" s="40" t="s">
        <v>767</v>
      </c>
      <c r="H1142" s="7" t="s">
        <v>1252</v>
      </c>
      <c r="I1142" s="249">
        <v>10</v>
      </c>
      <c r="J1142" s="249">
        <v>9324</v>
      </c>
      <c r="K1142" s="595">
        <f t="shared" si="53"/>
        <v>93240</v>
      </c>
      <c r="L1142" s="39" t="s">
        <v>162</v>
      </c>
      <c r="M1142" s="596" t="s">
        <v>156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IF(OR(TH!L1142=TH!$U$7,M1142=TH!$U$7),"x","")</f>
        <v/>
      </c>
      <c r="V1142" s="52" t="str">
        <f>IF(AND(B1142&gt;='IN-NX'!$P$3,B1142&lt;='IN-NX'!$Q$3,'IN-NX'!$D$7=D1142,OR(LEFT(L1142,2)="15",AND(LEFT(M1142,2)&lt;&gt;"15",LEFT(M1142,2)&lt;&gt;"33"))),"x","")</f>
        <v/>
      </c>
      <c r="W1142" s="52" t="str">
        <f>IF(AND(OR(LEFT(TH!L1142,2)="15",LEFT(TH!M1142,2)="15"),'152-CT'!$J$8=TH!F1142),"x","")</f>
        <v/>
      </c>
      <c r="X1142" s="52" t="str">
        <f>IF(AND(OR(LEFT(TH!L1142,2)="15",LEFT(TH!M1142,2)="15"),TK!$E$7=TH!F1142),"x","")</f>
        <v/>
      </c>
      <c r="Y1142" s="52" t="str">
        <f>IF(AND(B1142&lt;=NKC!$N$8,B1142&gt;=NKC!$M$8),"x","")</f>
        <v/>
      </c>
    </row>
    <row r="1143" spans="1:25" s="208" customFormat="1" ht="15.75" customHeight="1">
      <c r="A1143" s="201" t="str">
        <f>IF(B1143&lt;&gt;"",IF(AND(B1143&gt;=_TM1,B1143&lt;=_TM2,OR(TH!L1143="1111",TH!M1143="1111")),TH!D1143,""),"")</f>
        <v/>
      </c>
      <c r="B1143" s="36">
        <f t="shared" si="54"/>
        <v>4</v>
      </c>
      <c r="C1143" s="188">
        <f t="shared" si="52"/>
        <v>41372</v>
      </c>
      <c r="D1143" s="188" t="s">
        <v>1260</v>
      </c>
      <c r="E1143" s="735">
        <v>41372</v>
      </c>
      <c r="F1143" s="186" t="s">
        <v>1237</v>
      </c>
      <c r="G1143" s="40" t="s">
        <v>767</v>
      </c>
      <c r="H1143" s="7" t="s">
        <v>1252</v>
      </c>
      <c r="I1143" s="249">
        <v>205</v>
      </c>
      <c r="J1143" s="249">
        <v>21119</v>
      </c>
      <c r="K1143" s="595">
        <f t="shared" si="53"/>
        <v>4329395</v>
      </c>
      <c r="L1143" s="39" t="s">
        <v>162</v>
      </c>
      <c r="M1143" s="596" t="s">
        <v>156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IF(OR(TH!L1143=TH!$U$7,M1143=TH!$U$7),"x","")</f>
        <v/>
      </c>
      <c r="V1143" s="52" t="str">
        <f>IF(AND(B1143&gt;='IN-NX'!$P$3,B1143&lt;='IN-NX'!$Q$3,'IN-NX'!$D$7=D1143,OR(LEFT(L1143,2)="15",AND(LEFT(M1143,2)&lt;&gt;"15",LEFT(M1143,2)&lt;&gt;"33"))),"x","")</f>
        <v/>
      </c>
      <c r="W1143" s="52" t="str">
        <f>IF(AND(OR(LEFT(TH!L1143,2)="15",LEFT(TH!M1143,2)="15"),'152-CT'!$J$8=TH!F1143),"x","")</f>
        <v/>
      </c>
      <c r="X1143" s="52" t="str">
        <f>IF(AND(OR(LEFT(TH!L1143,2)="15",LEFT(TH!M1143,2)="15"),TK!$E$7=TH!F1143),"x","")</f>
        <v/>
      </c>
      <c r="Y1143" s="52" t="str">
        <f>IF(AND(B1143&lt;=NKC!$N$8,B1143&gt;=NKC!$M$8),"x","")</f>
        <v/>
      </c>
    </row>
    <row r="1144" spans="1:25" s="208" customFormat="1" ht="15.75" customHeight="1">
      <c r="A1144" s="201" t="str">
        <f>IF(B1144&lt;&gt;"",IF(AND(B1144&gt;=_TM1,B1144&lt;=_TM2,OR(TH!L1144="1111",TH!M1144="1111")),TH!D1144,""),"")</f>
        <v/>
      </c>
      <c r="B1144" s="36">
        <f t="shared" si="54"/>
        <v>4</v>
      </c>
      <c r="C1144" s="188">
        <f t="shared" si="52"/>
        <v>41373</v>
      </c>
      <c r="D1144" s="188" t="s">
        <v>1260</v>
      </c>
      <c r="E1144" s="735">
        <v>41373</v>
      </c>
      <c r="F1144" s="40" t="s">
        <v>1220</v>
      </c>
      <c r="G1144" s="40" t="s">
        <v>769</v>
      </c>
      <c r="H1144" s="7" t="s">
        <v>1252</v>
      </c>
      <c r="I1144" s="249">
        <v>580</v>
      </c>
      <c r="J1144" s="249">
        <v>23149</v>
      </c>
      <c r="K1144" s="595">
        <f t="shared" si="53"/>
        <v>13426420</v>
      </c>
      <c r="L1144" s="39" t="s">
        <v>162</v>
      </c>
      <c r="M1144" s="596" t="s">
        <v>156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IF(OR(TH!L1144=TH!$U$7,M1144=TH!$U$7),"x","")</f>
        <v/>
      </c>
      <c r="V1144" s="52" t="str">
        <f>IF(AND(B1144&gt;='IN-NX'!$P$3,B1144&lt;='IN-NX'!$Q$3,'IN-NX'!$D$7=D1144,OR(LEFT(L1144,2)="15",AND(LEFT(M1144,2)&lt;&gt;"15",LEFT(M1144,2)&lt;&gt;"33"))),"x","")</f>
        <v/>
      </c>
      <c r="W1144" s="52" t="str">
        <f>IF(AND(OR(LEFT(TH!L1144,2)="15",LEFT(TH!M1144,2)="15"),'152-CT'!$J$8=TH!F1144),"x","")</f>
        <v/>
      </c>
      <c r="X1144" s="52" t="str">
        <f>IF(AND(OR(LEFT(TH!L1144,2)="15",LEFT(TH!M1144,2)="15"),TK!$E$7=TH!F1144),"x","")</f>
        <v/>
      </c>
      <c r="Y1144" s="52" t="str">
        <f>IF(AND(B1144&lt;=NKC!$N$8,B1144&gt;=NKC!$M$8),"x","")</f>
        <v/>
      </c>
    </row>
    <row r="1145" spans="1:25" s="208" customFormat="1" ht="15.75" customHeight="1">
      <c r="A1145" s="201" t="str">
        <f>IF(B1145&lt;&gt;"",IF(AND(B1145&gt;=_TM1,B1145&lt;=_TM2,OR(TH!L1145="1111",TH!M1145="1111")),TH!D1145,""),"")</f>
        <v/>
      </c>
      <c r="B1145" s="36">
        <f t="shared" si="54"/>
        <v>4</v>
      </c>
      <c r="C1145" s="188">
        <f t="shared" si="52"/>
        <v>41373</v>
      </c>
      <c r="D1145" s="188" t="s">
        <v>1260</v>
      </c>
      <c r="E1145" s="735">
        <v>41373</v>
      </c>
      <c r="F1145" s="186" t="s">
        <v>1142</v>
      </c>
      <c r="G1145" s="40" t="s">
        <v>769</v>
      </c>
      <c r="H1145" s="7" t="s">
        <v>1252</v>
      </c>
      <c r="I1145" s="249">
        <v>180</v>
      </c>
      <c r="J1145" s="249">
        <v>22663</v>
      </c>
      <c r="K1145" s="595">
        <f t="shared" si="53"/>
        <v>4079340</v>
      </c>
      <c r="L1145" s="39" t="s">
        <v>162</v>
      </c>
      <c r="M1145" s="596" t="s">
        <v>156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IF(OR(TH!L1145=TH!$U$7,M1145=TH!$U$7),"x","")</f>
        <v/>
      </c>
      <c r="V1145" s="52" t="str">
        <f>IF(AND(B1145&gt;='IN-NX'!$P$3,B1145&lt;='IN-NX'!$Q$3,'IN-NX'!$D$7=D1145,OR(LEFT(L1145,2)="15",AND(LEFT(M1145,2)&lt;&gt;"15",LEFT(M1145,2)&lt;&gt;"33"))),"x","")</f>
        <v/>
      </c>
      <c r="W1145" s="52" t="str">
        <f>IF(AND(OR(LEFT(TH!L1145,2)="15",LEFT(TH!M1145,2)="15"),'152-CT'!$J$8=TH!F1145),"x","")</f>
        <v/>
      </c>
      <c r="X1145" s="52" t="str">
        <f>IF(AND(OR(LEFT(TH!L1145,2)="15",LEFT(TH!M1145,2)="15"),TK!$E$7=TH!F1145),"x","")</f>
        <v/>
      </c>
      <c r="Y1145" s="52" t="str">
        <f>IF(AND(B1145&lt;=NKC!$N$8,B1145&gt;=NKC!$M$8),"x","")</f>
        <v/>
      </c>
    </row>
    <row r="1146" spans="1:25" s="208" customFormat="1" ht="15.75" customHeight="1">
      <c r="A1146" s="201" t="str">
        <f>IF(B1146&lt;&gt;"",IF(AND(B1146&gt;=_TM1,B1146&lt;=_TM2,OR(TH!L1146="1111",TH!M1146="1111")),TH!D1146,""),"")</f>
        <v/>
      </c>
      <c r="B1146" s="36">
        <f t="shared" si="54"/>
        <v>4</v>
      </c>
      <c r="C1146" s="188">
        <f t="shared" si="52"/>
        <v>41377</v>
      </c>
      <c r="D1146" s="188" t="s">
        <v>1260</v>
      </c>
      <c r="E1146" s="735">
        <v>41377</v>
      </c>
      <c r="F1146" s="186" t="s">
        <v>1209</v>
      </c>
      <c r="G1146" s="40" t="s">
        <v>770</v>
      </c>
      <c r="H1146" s="7" t="s">
        <v>1252</v>
      </c>
      <c r="I1146" s="249">
        <v>983</v>
      </c>
      <c r="J1146" s="249">
        <v>19910.059520224833</v>
      </c>
      <c r="K1146" s="595">
        <f t="shared" si="53"/>
        <v>19571589</v>
      </c>
      <c r="L1146" s="39" t="s">
        <v>162</v>
      </c>
      <c r="M1146" s="596" t="s">
        <v>156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IF(OR(TH!L1146=TH!$U$7,M1146=TH!$U$7),"x","")</f>
        <v/>
      </c>
      <c r="V1146" s="52" t="str">
        <f>IF(AND(B1146&gt;='IN-NX'!$P$3,B1146&lt;='IN-NX'!$Q$3,'IN-NX'!$D$7=D1146,OR(LEFT(L1146,2)="15",AND(LEFT(M1146,2)&lt;&gt;"15",LEFT(M1146,2)&lt;&gt;"33"))),"x","")</f>
        <v/>
      </c>
      <c r="W1146" s="52" t="str">
        <f>IF(AND(OR(LEFT(TH!L1146,2)="15",LEFT(TH!M1146,2)="15"),'152-CT'!$J$8=TH!F1146),"x","")</f>
        <v/>
      </c>
      <c r="X1146" s="52" t="str">
        <f>IF(AND(OR(LEFT(TH!L1146,2)="15",LEFT(TH!M1146,2)="15"),TK!$E$7=TH!F1146),"x","")</f>
        <v/>
      </c>
      <c r="Y1146" s="52" t="str">
        <f>IF(AND(B1146&lt;=NKC!$N$8,B1146&gt;=NKC!$M$8),"x","")</f>
        <v/>
      </c>
    </row>
    <row r="1147" spans="1:25" s="208" customFormat="1" ht="15.75" customHeight="1">
      <c r="A1147" s="201" t="str">
        <f>IF(B1147&lt;&gt;"",IF(AND(B1147&gt;=_TM1,B1147&lt;=_TM2,OR(TH!L1147="1111",TH!M1147="1111")),TH!D1147,""),"")</f>
        <v/>
      </c>
      <c r="B1147" s="36">
        <f t="shared" si="54"/>
        <v>4</v>
      </c>
      <c r="C1147" s="188">
        <f t="shared" si="52"/>
        <v>41377</v>
      </c>
      <c r="D1147" s="188" t="s">
        <v>1260</v>
      </c>
      <c r="E1147" s="735">
        <v>41377</v>
      </c>
      <c r="F1147" s="40" t="s">
        <v>1228</v>
      </c>
      <c r="G1147" s="40" t="s">
        <v>771</v>
      </c>
      <c r="H1147" s="7" t="s">
        <v>1252</v>
      </c>
      <c r="I1147" s="249">
        <v>250</v>
      </c>
      <c r="J1147" s="249">
        <v>22887</v>
      </c>
      <c r="K1147" s="595">
        <f t="shared" si="53"/>
        <v>5721750</v>
      </c>
      <c r="L1147" s="39" t="s">
        <v>162</v>
      </c>
      <c r="M1147" s="596" t="s">
        <v>156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IF(OR(TH!L1147=TH!$U$7,M1147=TH!$U$7),"x","")</f>
        <v/>
      </c>
      <c r="V1147" s="52" t="str">
        <f>IF(AND(B1147&gt;='IN-NX'!$P$3,B1147&lt;='IN-NX'!$Q$3,'IN-NX'!$D$7=D1147,OR(LEFT(L1147,2)="15",AND(LEFT(M1147,2)&lt;&gt;"15",LEFT(M1147,2)&lt;&gt;"33"))),"x","")</f>
        <v/>
      </c>
      <c r="W1147" s="52" t="str">
        <f>IF(AND(OR(LEFT(TH!L1147,2)="15",LEFT(TH!M1147,2)="15"),'152-CT'!$J$8=TH!F1147),"x","")</f>
        <v/>
      </c>
      <c r="X1147" s="52" t="str">
        <f>IF(AND(OR(LEFT(TH!L1147,2)="15",LEFT(TH!M1147,2)="15"),TK!$E$7=TH!F1147),"x","")</f>
        <v/>
      </c>
      <c r="Y1147" s="52" t="str">
        <f>IF(AND(B1147&lt;=NKC!$N$8,B1147&gt;=NKC!$M$8),"x","")</f>
        <v/>
      </c>
    </row>
    <row r="1148" spans="1:25" s="208" customFormat="1" ht="15.75" customHeight="1">
      <c r="A1148" s="201" t="str">
        <f>IF(B1148&lt;&gt;"",IF(AND(B1148&gt;=_TM1,B1148&lt;=_TM2,OR(TH!L1148="1111",TH!M1148="1111")),TH!D1148,""),"")</f>
        <v/>
      </c>
      <c r="B1148" s="36">
        <f t="shared" si="54"/>
        <v>4</v>
      </c>
      <c r="C1148" s="188">
        <f t="shared" ref="C1148:C1211" si="55">E1148</f>
        <v>41378</v>
      </c>
      <c r="D1148" s="188" t="s">
        <v>1260</v>
      </c>
      <c r="E1148" s="735">
        <v>41378</v>
      </c>
      <c r="F1148" s="186" t="s">
        <v>1176</v>
      </c>
      <c r="G1148" s="40" t="s">
        <v>452</v>
      </c>
      <c r="H1148" s="7" t="s">
        <v>1252</v>
      </c>
      <c r="I1148" s="249">
        <v>260</v>
      </c>
      <c r="J1148" s="249">
        <v>17722</v>
      </c>
      <c r="K1148" s="595">
        <f t="shared" ref="K1148:K1211" si="56">ROUND(I1148*J1148,0)</f>
        <v>4607720</v>
      </c>
      <c r="L1148" s="39" t="s">
        <v>162</v>
      </c>
      <c r="M1148" s="596" t="s">
        <v>156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IF(OR(TH!L1148=TH!$U$7,M1148=TH!$U$7),"x","")</f>
        <v/>
      </c>
      <c r="V1148" s="52" t="str">
        <f>IF(AND(B1148&gt;='IN-NX'!$P$3,B1148&lt;='IN-NX'!$Q$3,'IN-NX'!$D$7=D1148,OR(LEFT(L1148,2)="15",AND(LEFT(M1148,2)&lt;&gt;"15",LEFT(M1148,2)&lt;&gt;"33"))),"x","")</f>
        <v/>
      </c>
      <c r="W1148" s="52" t="str">
        <f>IF(AND(OR(LEFT(TH!L1148,2)="15",LEFT(TH!M1148,2)="15"),'152-CT'!$J$8=TH!F1148),"x","")</f>
        <v/>
      </c>
      <c r="X1148" s="52" t="str">
        <f>IF(AND(OR(LEFT(TH!L1148,2)="15",LEFT(TH!M1148,2)="15"),TK!$E$7=TH!F1148),"x","")</f>
        <v/>
      </c>
      <c r="Y1148" s="52" t="str">
        <f>IF(AND(B1148&lt;=NKC!$N$8,B1148&gt;=NKC!$M$8),"x","")</f>
        <v/>
      </c>
    </row>
    <row r="1149" spans="1:25" s="208" customFormat="1" ht="15.75" customHeight="1">
      <c r="A1149" s="201" t="str">
        <f>IF(B1149&lt;&gt;"",IF(AND(B1149&gt;=_TM1,B1149&lt;=_TM2,OR(TH!L1149="1111",TH!M1149="1111")),TH!D1149,""),"")</f>
        <v/>
      </c>
      <c r="B1149" s="36">
        <f t="shared" si="54"/>
        <v>4</v>
      </c>
      <c r="C1149" s="188">
        <f t="shared" si="55"/>
        <v>41384</v>
      </c>
      <c r="D1149" s="188" t="s">
        <v>1260</v>
      </c>
      <c r="E1149" s="735">
        <v>41384</v>
      </c>
      <c r="F1149" s="186" t="s">
        <v>1195</v>
      </c>
      <c r="G1149" s="40" t="s">
        <v>773</v>
      </c>
      <c r="H1149" s="7" t="s">
        <v>1252</v>
      </c>
      <c r="I1149" s="249">
        <v>260</v>
      </c>
      <c r="J1149" s="249">
        <v>13999</v>
      </c>
      <c r="K1149" s="595">
        <f t="shared" si="56"/>
        <v>3639740</v>
      </c>
      <c r="L1149" s="39" t="s">
        <v>162</v>
      </c>
      <c r="M1149" s="596" t="s">
        <v>156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IF(OR(TH!L1149=TH!$U$7,M1149=TH!$U$7),"x","")</f>
        <v/>
      </c>
      <c r="V1149" s="52" t="str">
        <f>IF(AND(B1149&gt;='IN-NX'!$P$3,B1149&lt;='IN-NX'!$Q$3,'IN-NX'!$D$7=D1149,OR(LEFT(L1149,2)="15",AND(LEFT(M1149,2)&lt;&gt;"15",LEFT(M1149,2)&lt;&gt;"33"))),"x","")</f>
        <v/>
      </c>
      <c r="W1149" s="52" t="str">
        <f>IF(AND(OR(LEFT(TH!L1149,2)="15",LEFT(TH!M1149,2)="15"),'152-CT'!$J$8=TH!F1149),"x","")</f>
        <v/>
      </c>
      <c r="X1149" s="52" t="str">
        <f>IF(AND(OR(LEFT(TH!L1149,2)="15",LEFT(TH!M1149,2)="15"),TK!$E$7=TH!F1149),"x","")</f>
        <v/>
      </c>
      <c r="Y1149" s="52" t="str">
        <f>IF(AND(B1149&lt;=NKC!$N$8,B1149&gt;=NKC!$M$8),"x","")</f>
        <v/>
      </c>
    </row>
    <row r="1150" spans="1:25" s="208" customFormat="1" ht="15.75" customHeight="1">
      <c r="A1150" s="201" t="str">
        <f>IF(B1150&lt;&gt;"",IF(AND(B1150&gt;=_TM1,B1150&lt;=_TM2,OR(TH!L1150="1111",TH!M1150="1111")),TH!D1150,""),"")</f>
        <v/>
      </c>
      <c r="B1150" s="36">
        <f t="shared" si="54"/>
        <v>4</v>
      </c>
      <c r="C1150" s="188">
        <f t="shared" si="55"/>
        <v>41384</v>
      </c>
      <c r="D1150" s="188" t="s">
        <v>1260</v>
      </c>
      <c r="E1150" s="181">
        <v>41384</v>
      </c>
      <c r="F1150" s="186" t="s">
        <v>1174</v>
      </c>
      <c r="G1150" s="597" t="s">
        <v>773</v>
      </c>
      <c r="H1150" s="7" t="s">
        <v>1252</v>
      </c>
      <c r="I1150" s="249">
        <v>257</v>
      </c>
      <c r="J1150" s="249">
        <v>16278</v>
      </c>
      <c r="K1150" s="595">
        <f t="shared" si="56"/>
        <v>4183446</v>
      </c>
      <c r="L1150" s="39" t="s">
        <v>162</v>
      </c>
      <c r="M1150" s="596" t="s">
        <v>156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IF(OR(TH!L1150=TH!$U$7,M1150=TH!$U$7),"x","")</f>
        <v/>
      </c>
      <c r="V1150" s="52" t="str">
        <f>IF(AND(B1150&gt;='IN-NX'!$P$3,B1150&lt;='IN-NX'!$Q$3,'IN-NX'!$D$7=D1150,OR(LEFT(L1150,2)="15",AND(LEFT(M1150,2)&lt;&gt;"15",LEFT(M1150,2)&lt;&gt;"33"))),"x","")</f>
        <v/>
      </c>
      <c r="W1150" s="52" t="str">
        <f>IF(AND(OR(LEFT(TH!L1150,2)="15",LEFT(TH!M1150,2)="15"),'152-CT'!$J$8=TH!F1150),"x","")</f>
        <v/>
      </c>
      <c r="X1150" s="52" t="str">
        <f>IF(AND(OR(LEFT(TH!L1150,2)="15",LEFT(TH!M1150,2)="15"),TK!$E$7=TH!F1150),"x","")</f>
        <v/>
      </c>
      <c r="Y1150" s="52" t="str">
        <f>IF(AND(B1150&lt;=NKC!$N$8,B1150&gt;=NKC!$M$8),"x","")</f>
        <v/>
      </c>
    </row>
    <row r="1151" spans="1:25" s="208" customFormat="1" ht="15.75" customHeight="1">
      <c r="A1151" s="201" t="str">
        <f>IF(B1151&lt;&gt;"",IF(AND(B1151&gt;=_TM1,B1151&lt;=_TM2,OR(TH!L1151="1111",TH!M1151="1111")),TH!D1151,""),"")</f>
        <v/>
      </c>
      <c r="B1151" s="36">
        <f t="shared" si="54"/>
        <v>4</v>
      </c>
      <c r="C1151" s="188">
        <f t="shared" si="55"/>
        <v>41385</v>
      </c>
      <c r="D1151" s="188" t="s">
        <v>1260</v>
      </c>
      <c r="E1151" s="181">
        <v>41385</v>
      </c>
      <c r="F1151" s="186" t="s">
        <v>1162</v>
      </c>
      <c r="G1151" s="597" t="s">
        <v>776</v>
      </c>
      <c r="H1151" s="7" t="s">
        <v>1252</v>
      </c>
      <c r="I1151" s="249">
        <v>100</v>
      </c>
      <c r="J1151" s="249">
        <v>15544</v>
      </c>
      <c r="K1151" s="595">
        <f t="shared" si="56"/>
        <v>1554400</v>
      </c>
      <c r="L1151" s="39" t="s">
        <v>162</v>
      </c>
      <c r="M1151" s="596" t="s">
        <v>156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IF(OR(TH!L1151=TH!$U$7,M1151=TH!$U$7),"x","")</f>
        <v/>
      </c>
      <c r="V1151" s="52" t="str">
        <f>IF(AND(B1151&gt;='IN-NX'!$P$3,B1151&lt;='IN-NX'!$Q$3,'IN-NX'!$D$7=D1151,OR(LEFT(L1151,2)="15",AND(LEFT(M1151,2)&lt;&gt;"15",LEFT(M1151,2)&lt;&gt;"33"))),"x","")</f>
        <v/>
      </c>
      <c r="W1151" s="52" t="str">
        <f>IF(AND(OR(LEFT(TH!L1151,2)="15",LEFT(TH!M1151,2)="15"),'152-CT'!$J$8=TH!F1151),"x","")</f>
        <v/>
      </c>
      <c r="X1151" s="52" t="str">
        <f>IF(AND(OR(LEFT(TH!L1151,2)="15",LEFT(TH!M1151,2)="15"),TK!$E$7=TH!F1151),"x","")</f>
        <v/>
      </c>
      <c r="Y1151" s="52" t="str">
        <f>IF(AND(B1151&lt;=NKC!$N$8,B1151&gt;=NKC!$M$8),"x","")</f>
        <v/>
      </c>
    </row>
    <row r="1152" spans="1:25" s="208" customFormat="1" ht="15.75" customHeight="1">
      <c r="A1152" s="201" t="str">
        <f>IF(B1152&lt;&gt;"",IF(AND(B1152&gt;=_TM1,B1152&lt;=_TM2,OR(TH!L1152="1111",TH!M1152="1111")),TH!D1152,""),"")</f>
        <v/>
      </c>
      <c r="B1152" s="36">
        <f t="shared" si="54"/>
        <v>4</v>
      </c>
      <c r="C1152" s="188">
        <f t="shared" si="55"/>
        <v>41385</v>
      </c>
      <c r="D1152" s="188" t="s">
        <v>1260</v>
      </c>
      <c r="E1152" s="181">
        <v>41385</v>
      </c>
      <c r="F1152" s="186" t="s">
        <v>1194</v>
      </c>
      <c r="G1152" s="597" t="s">
        <v>776</v>
      </c>
      <c r="H1152" s="7" t="s">
        <v>1252</v>
      </c>
      <c r="I1152" s="249">
        <v>99</v>
      </c>
      <c r="J1152" s="249">
        <v>13971</v>
      </c>
      <c r="K1152" s="595">
        <f t="shared" si="56"/>
        <v>1383129</v>
      </c>
      <c r="L1152" s="39" t="s">
        <v>162</v>
      </c>
      <c r="M1152" s="596" t="s">
        <v>156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IF(OR(TH!L1152=TH!$U$7,M1152=TH!$U$7),"x","")</f>
        <v/>
      </c>
      <c r="V1152" s="52" t="str">
        <f>IF(AND(B1152&gt;='IN-NX'!$P$3,B1152&lt;='IN-NX'!$Q$3,'IN-NX'!$D$7=D1152,OR(LEFT(L1152,2)="15",AND(LEFT(M1152,2)&lt;&gt;"15",LEFT(M1152,2)&lt;&gt;"33"))),"x","")</f>
        <v/>
      </c>
      <c r="W1152" s="52" t="str">
        <f>IF(AND(OR(LEFT(TH!L1152,2)="15",LEFT(TH!M1152,2)="15"),'152-CT'!$J$8=TH!F1152),"x","")</f>
        <v/>
      </c>
      <c r="X1152" s="52" t="str">
        <f>IF(AND(OR(LEFT(TH!L1152,2)="15",LEFT(TH!M1152,2)="15"),TK!$E$7=TH!F1152),"x","")</f>
        <v/>
      </c>
      <c r="Y1152" s="52" t="str">
        <f>IF(AND(B1152&lt;=NKC!$N$8,B1152&gt;=NKC!$M$8),"x","")</f>
        <v/>
      </c>
    </row>
    <row r="1153" spans="1:25" s="208" customFormat="1" ht="15.75" customHeight="1">
      <c r="A1153" s="201" t="str">
        <f>IF(B1153&lt;&gt;"",IF(AND(B1153&gt;=_TM1,B1153&lt;=_TM2,OR(TH!L1153="1111",TH!M1153="1111")),TH!D1153,""),"")</f>
        <v/>
      </c>
      <c r="B1153" s="36">
        <f t="shared" si="54"/>
        <v>4</v>
      </c>
      <c r="C1153" s="188">
        <f t="shared" si="55"/>
        <v>41385</v>
      </c>
      <c r="D1153" s="188" t="s">
        <v>1260</v>
      </c>
      <c r="E1153" s="181">
        <v>41385</v>
      </c>
      <c r="F1153" s="186" t="s">
        <v>1204</v>
      </c>
      <c r="G1153" s="597" t="s">
        <v>778</v>
      </c>
      <c r="H1153" s="7" t="s">
        <v>1252</v>
      </c>
      <c r="I1153" s="249">
        <v>64</v>
      </c>
      <c r="J1153" s="249">
        <v>15825</v>
      </c>
      <c r="K1153" s="595">
        <f t="shared" si="56"/>
        <v>1012800</v>
      </c>
      <c r="L1153" s="39" t="s">
        <v>162</v>
      </c>
      <c r="M1153" s="596" t="s">
        <v>156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IF(OR(TH!L1153=TH!$U$7,M1153=TH!$U$7),"x","")</f>
        <v/>
      </c>
      <c r="V1153" s="52" t="str">
        <f>IF(AND(B1153&gt;='IN-NX'!$P$3,B1153&lt;='IN-NX'!$Q$3,'IN-NX'!$D$7=D1153,OR(LEFT(L1153,2)="15",AND(LEFT(M1153,2)&lt;&gt;"15",LEFT(M1153,2)&lt;&gt;"33"))),"x","")</f>
        <v/>
      </c>
      <c r="W1153" s="52" t="str">
        <f>IF(AND(OR(LEFT(TH!L1153,2)="15",LEFT(TH!M1153,2)="15"),'152-CT'!$J$8=TH!F1153),"x","")</f>
        <v/>
      </c>
      <c r="X1153" s="52" t="str">
        <f>IF(AND(OR(LEFT(TH!L1153,2)="15",LEFT(TH!M1153,2)="15"),TK!$E$7=TH!F1153),"x","")</f>
        <v/>
      </c>
      <c r="Y1153" s="52" t="str">
        <f>IF(AND(B1153&lt;=NKC!$N$8,B1153&gt;=NKC!$M$8),"x","")</f>
        <v/>
      </c>
    </row>
    <row r="1154" spans="1:25" s="208" customFormat="1" ht="15.75" customHeight="1">
      <c r="A1154" s="201" t="str">
        <f>IF(B1154&lt;&gt;"",IF(AND(B1154&gt;=_TM1,B1154&lt;=_TM2,OR(TH!L1154="1111",TH!M1154="1111")),TH!D1154,""),"")</f>
        <v/>
      </c>
      <c r="B1154" s="36">
        <f t="shared" si="54"/>
        <v>4</v>
      </c>
      <c r="C1154" s="188">
        <f t="shared" si="55"/>
        <v>41385</v>
      </c>
      <c r="D1154" s="188" t="s">
        <v>1260</v>
      </c>
      <c r="E1154" s="181">
        <v>41385</v>
      </c>
      <c r="F1154" s="186" t="s">
        <v>1190</v>
      </c>
      <c r="G1154" s="597" t="s">
        <v>778</v>
      </c>
      <c r="H1154" s="7" t="s">
        <v>1252</v>
      </c>
      <c r="I1154" s="249">
        <v>70</v>
      </c>
      <c r="J1154" s="249">
        <v>12073.76551724138</v>
      </c>
      <c r="K1154" s="595">
        <f t="shared" si="56"/>
        <v>845164</v>
      </c>
      <c r="L1154" s="39" t="s">
        <v>162</v>
      </c>
      <c r="M1154" s="596" t="s">
        <v>156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IF(OR(TH!L1154=TH!$U$7,M1154=TH!$U$7),"x","")</f>
        <v/>
      </c>
      <c r="V1154" s="52" t="str">
        <f>IF(AND(B1154&gt;='IN-NX'!$P$3,B1154&lt;='IN-NX'!$Q$3,'IN-NX'!$D$7=D1154,OR(LEFT(L1154,2)="15",AND(LEFT(M1154,2)&lt;&gt;"15",LEFT(M1154,2)&lt;&gt;"33"))),"x","")</f>
        <v/>
      </c>
      <c r="W1154" s="52" t="str">
        <f>IF(AND(OR(LEFT(TH!L1154,2)="15",LEFT(TH!M1154,2)="15"),'152-CT'!$J$8=TH!F1154),"x","")</f>
        <v/>
      </c>
      <c r="X1154" s="52" t="str">
        <f>IF(AND(OR(LEFT(TH!L1154,2)="15",LEFT(TH!M1154,2)="15"),TK!$E$7=TH!F1154),"x","")</f>
        <v/>
      </c>
      <c r="Y1154" s="52" t="str">
        <f>IF(AND(B1154&lt;=NKC!$N$8,B1154&gt;=NKC!$M$8),"x","")</f>
        <v/>
      </c>
    </row>
    <row r="1155" spans="1:25" s="208" customFormat="1" ht="15.75" customHeight="1">
      <c r="A1155" s="201" t="str">
        <f>IF(B1155&lt;&gt;"",IF(AND(B1155&gt;=_TM1,B1155&lt;=_TM2,OR(TH!L1155="1111",TH!M1155="1111")),TH!D1155,""),"")</f>
        <v/>
      </c>
      <c r="B1155" s="36">
        <f t="shared" si="54"/>
        <v>4</v>
      </c>
      <c r="C1155" s="188">
        <f t="shared" si="55"/>
        <v>41386</v>
      </c>
      <c r="D1155" s="188" t="s">
        <v>1260</v>
      </c>
      <c r="E1155" s="181">
        <v>41386</v>
      </c>
      <c r="F1155" s="186" t="s">
        <v>1209</v>
      </c>
      <c r="G1155" s="597" t="s">
        <v>780</v>
      </c>
      <c r="H1155" s="7" t="s">
        <v>1252</v>
      </c>
      <c r="I1155" s="249">
        <v>1020</v>
      </c>
      <c r="J1155" s="249">
        <v>19910.059520224833</v>
      </c>
      <c r="K1155" s="595">
        <f t="shared" si="56"/>
        <v>20308261</v>
      </c>
      <c r="L1155" s="39" t="s">
        <v>162</v>
      </c>
      <c r="M1155" s="596" t="s">
        <v>156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IF(OR(TH!L1155=TH!$U$7,M1155=TH!$U$7),"x","")</f>
        <v/>
      </c>
      <c r="V1155" s="52" t="str">
        <f>IF(AND(B1155&gt;='IN-NX'!$P$3,B1155&lt;='IN-NX'!$Q$3,'IN-NX'!$D$7=D1155,OR(LEFT(L1155,2)="15",AND(LEFT(M1155,2)&lt;&gt;"15",LEFT(M1155,2)&lt;&gt;"33"))),"x","")</f>
        <v/>
      </c>
      <c r="W1155" s="52" t="str">
        <f>IF(AND(OR(LEFT(TH!L1155,2)="15",LEFT(TH!M1155,2)="15"),'152-CT'!$J$8=TH!F1155),"x","")</f>
        <v/>
      </c>
      <c r="X1155" s="52" t="str">
        <f>IF(AND(OR(LEFT(TH!L1155,2)="15",LEFT(TH!M1155,2)="15"),TK!$E$7=TH!F1155),"x","")</f>
        <v/>
      </c>
      <c r="Y1155" s="52" t="str">
        <f>IF(AND(B1155&lt;=NKC!$N$8,B1155&gt;=NKC!$M$8),"x","")</f>
        <v/>
      </c>
    </row>
    <row r="1156" spans="1:25" s="208" customFormat="1" ht="15.75" customHeight="1">
      <c r="A1156" s="201" t="str">
        <f>IF(B1156&lt;&gt;"",IF(AND(B1156&gt;=_TM1,B1156&lt;=_TM2,OR(TH!L1156="1111",TH!M1156="1111")),TH!D1156,""),"")</f>
        <v/>
      </c>
      <c r="B1156" s="36">
        <f t="shared" si="54"/>
        <v>4</v>
      </c>
      <c r="C1156" s="188">
        <f t="shared" si="55"/>
        <v>41388</v>
      </c>
      <c r="D1156" s="188" t="s">
        <v>1260</v>
      </c>
      <c r="E1156" s="181">
        <v>41388</v>
      </c>
      <c r="F1156" s="186" t="s">
        <v>1167</v>
      </c>
      <c r="G1156" s="597" t="s">
        <v>782</v>
      </c>
      <c r="H1156" s="7" t="s">
        <v>1252</v>
      </c>
      <c r="I1156" s="249">
        <v>160</v>
      </c>
      <c r="J1156" s="249">
        <v>17716</v>
      </c>
      <c r="K1156" s="595">
        <f t="shared" si="56"/>
        <v>2834560</v>
      </c>
      <c r="L1156" s="39" t="s">
        <v>162</v>
      </c>
      <c r="M1156" s="596" t="s">
        <v>156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IF(OR(TH!L1156=TH!$U$7,M1156=TH!$U$7),"x","")</f>
        <v/>
      </c>
      <c r="V1156" s="52" t="str">
        <f>IF(AND(B1156&gt;='IN-NX'!$P$3,B1156&lt;='IN-NX'!$Q$3,'IN-NX'!$D$7=D1156,OR(LEFT(L1156,2)="15",AND(LEFT(M1156,2)&lt;&gt;"15",LEFT(M1156,2)&lt;&gt;"33"))),"x","")</f>
        <v/>
      </c>
      <c r="W1156" s="52" t="str">
        <f>IF(AND(OR(LEFT(TH!L1156,2)="15",LEFT(TH!M1156,2)="15"),'152-CT'!$J$8=TH!F1156),"x","")</f>
        <v/>
      </c>
      <c r="X1156" s="52" t="str">
        <f>IF(AND(OR(LEFT(TH!L1156,2)="15",LEFT(TH!M1156,2)="15"),TK!$E$7=TH!F1156),"x","")</f>
        <v/>
      </c>
      <c r="Y1156" s="52" t="str">
        <f>IF(AND(B1156&lt;=NKC!$N$8,B1156&gt;=NKC!$M$8),"x","")</f>
        <v/>
      </c>
    </row>
    <row r="1157" spans="1:25" s="208" customFormat="1" ht="15.75" customHeight="1">
      <c r="A1157" s="201" t="str">
        <f>IF(B1157&lt;&gt;"",IF(AND(B1157&gt;=_TM1,B1157&lt;=_TM2,OR(TH!L1157="1111",TH!M1157="1111")),TH!D1157,""),"")</f>
        <v/>
      </c>
      <c r="B1157" s="36">
        <f t="shared" si="54"/>
        <v>4</v>
      </c>
      <c r="C1157" s="188">
        <f t="shared" si="55"/>
        <v>41388</v>
      </c>
      <c r="D1157" s="188" t="s">
        <v>1260</v>
      </c>
      <c r="E1157" s="735">
        <v>41388</v>
      </c>
      <c r="F1157" s="186" t="s">
        <v>1195</v>
      </c>
      <c r="G1157" s="40" t="s">
        <v>782</v>
      </c>
      <c r="H1157" s="7" t="s">
        <v>1252</v>
      </c>
      <c r="I1157" s="249">
        <v>114</v>
      </c>
      <c r="J1157" s="249">
        <v>13999</v>
      </c>
      <c r="K1157" s="595">
        <f t="shared" si="56"/>
        <v>1595886</v>
      </c>
      <c r="L1157" s="39" t="s">
        <v>162</v>
      </c>
      <c r="M1157" s="596" t="s">
        <v>156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IF(OR(TH!L1157=TH!$U$7,M1157=TH!$U$7),"x","")</f>
        <v/>
      </c>
      <c r="V1157" s="52" t="str">
        <f>IF(AND(B1157&gt;='IN-NX'!$P$3,B1157&lt;='IN-NX'!$Q$3,'IN-NX'!$D$7=D1157,OR(LEFT(L1157,2)="15",AND(LEFT(M1157,2)&lt;&gt;"15",LEFT(M1157,2)&lt;&gt;"33"))),"x","")</f>
        <v/>
      </c>
      <c r="W1157" s="52" t="str">
        <f>IF(AND(OR(LEFT(TH!L1157,2)="15",LEFT(TH!M1157,2)="15"),'152-CT'!$J$8=TH!F1157),"x","")</f>
        <v/>
      </c>
      <c r="X1157" s="52" t="str">
        <f>IF(AND(OR(LEFT(TH!L1157,2)="15",LEFT(TH!M1157,2)="15"),TK!$E$7=TH!F1157),"x","")</f>
        <v/>
      </c>
      <c r="Y1157" s="52" t="str">
        <f>IF(AND(B1157&lt;=NKC!$N$8,B1157&gt;=NKC!$M$8),"x","")</f>
        <v/>
      </c>
    </row>
    <row r="1158" spans="1:25" s="208" customFormat="1" ht="15.75" customHeight="1">
      <c r="A1158" s="201" t="str">
        <f>IF(B1158&lt;&gt;"",IF(AND(B1158&gt;=_TM1,B1158&lt;=_TM2,OR(TH!L1158="1111",TH!M1158="1111")),TH!D1158,""),"")</f>
        <v/>
      </c>
      <c r="B1158" s="36">
        <f t="shared" si="54"/>
        <v>5</v>
      </c>
      <c r="C1158" s="188">
        <f t="shared" si="55"/>
        <v>41397</v>
      </c>
      <c r="D1158" s="188" t="s">
        <v>1260</v>
      </c>
      <c r="E1158" s="735">
        <v>41397</v>
      </c>
      <c r="F1158" s="186" t="s">
        <v>1215</v>
      </c>
      <c r="G1158" s="40" t="s">
        <v>785</v>
      </c>
      <c r="H1158" s="7" t="s">
        <v>1252</v>
      </c>
      <c r="I1158" s="249">
        <v>257</v>
      </c>
      <c r="J1158" s="249">
        <v>32321.481412639405</v>
      </c>
      <c r="K1158" s="595">
        <f t="shared" si="56"/>
        <v>8306621</v>
      </c>
      <c r="L1158" s="39" t="s">
        <v>162</v>
      </c>
      <c r="M1158" s="596" t="s">
        <v>156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IF(OR(TH!L1158=TH!$U$7,M1158=TH!$U$7),"x","")</f>
        <v/>
      </c>
      <c r="V1158" s="52" t="str">
        <f>IF(AND(B1158&gt;='IN-NX'!$P$3,B1158&lt;='IN-NX'!$Q$3,'IN-NX'!$D$7=D1158,OR(LEFT(L1158,2)="15",AND(LEFT(M1158,2)&lt;&gt;"15",LEFT(M1158,2)&lt;&gt;"33"))),"x","")</f>
        <v/>
      </c>
      <c r="W1158" s="52" t="str">
        <f>IF(AND(OR(LEFT(TH!L1158,2)="15",LEFT(TH!M1158,2)="15"),'152-CT'!$J$8=TH!F1158),"x","")</f>
        <v/>
      </c>
      <c r="X1158" s="52" t="str">
        <f>IF(AND(OR(LEFT(TH!L1158,2)="15",LEFT(TH!M1158,2)="15"),TK!$E$7=TH!F1158),"x","")</f>
        <v/>
      </c>
      <c r="Y1158" s="52" t="str">
        <f>IF(AND(B1158&lt;=NKC!$N$8,B1158&gt;=NKC!$M$8),"x","")</f>
        <v/>
      </c>
    </row>
    <row r="1159" spans="1:25" s="208" customFormat="1" ht="15.75" customHeight="1">
      <c r="A1159" s="201" t="str">
        <f>IF(B1159&lt;&gt;"",IF(AND(B1159&gt;=_TM1,B1159&lt;=_TM2,OR(TH!L1159="1111",TH!M1159="1111")),TH!D1159,""),"")</f>
        <v/>
      </c>
      <c r="B1159" s="36">
        <f t="shared" si="54"/>
        <v>5</v>
      </c>
      <c r="C1159" s="188">
        <f t="shared" si="55"/>
        <v>41397</v>
      </c>
      <c r="D1159" s="188" t="s">
        <v>1260</v>
      </c>
      <c r="E1159" s="735">
        <v>41397</v>
      </c>
      <c r="F1159" s="186" t="s">
        <v>1152</v>
      </c>
      <c r="G1159" s="40" t="s">
        <v>785</v>
      </c>
      <c r="H1159" s="7" t="s">
        <v>1252</v>
      </c>
      <c r="I1159" s="772">
        <v>11</v>
      </c>
      <c r="J1159" s="249">
        <v>14456</v>
      </c>
      <c r="K1159" s="595">
        <f t="shared" si="56"/>
        <v>159016</v>
      </c>
      <c r="L1159" s="39" t="s">
        <v>162</v>
      </c>
      <c r="M1159" s="596" t="s">
        <v>156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IF(OR(TH!L1159=TH!$U$7,M1159=TH!$U$7),"x","")</f>
        <v/>
      </c>
      <c r="V1159" s="52" t="str">
        <f>IF(AND(B1159&gt;='IN-NX'!$P$3,B1159&lt;='IN-NX'!$Q$3,'IN-NX'!$D$7=D1159,OR(LEFT(L1159,2)="15",AND(LEFT(M1159,2)&lt;&gt;"15",LEFT(M1159,2)&lt;&gt;"33"))),"x","")</f>
        <v/>
      </c>
      <c r="W1159" s="52" t="str">
        <f>IF(AND(OR(LEFT(TH!L1159,2)="15",LEFT(TH!M1159,2)="15"),'152-CT'!$J$8=TH!F1159),"x","")</f>
        <v/>
      </c>
      <c r="X1159" s="52" t="str">
        <f>IF(AND(OR(LEFT(TH!L1159,2)="15",LEFT(TH!M1159,2)="15"),TK!$E$7=TH!F1159),"x","")</f>
        <v/>
      </c>
      <c r="Y1159" s="52" t="str">
        <f>IF(AND(B1159&lt;=NKC!$N$8,B1159&gt;=NKC!$M$8),"x","")</f>
        <v/>
      </c>
    </row>
    <row r="1160" spans="1:25" s="208" customFormat="1" ht="15.75" customHeight="1">
      <c r="A1160" s="201" t="str">
        <f>IF(B1160&lt;&gt;"",IF(AND(B1160&gt;=_TM1,B1160&lt;=_TM2,OR(TH!L1160="1111",TH!M1160="1111")),TH!D1160,""),"")</f>
        <v/>
      </c>
      <c r="B1160" s="36">
        <f t="shared" si="54"/>
        <v>5</v>
      </c>
      <c r="C1160" s="188">
        <f t="shared" si="55"/>
        <v>41398</v>
      </c>
      <c r="D1160" s="188" t="s">
        <v>1260</v>
      </c>
      <c r="E1160" s="735">
        <v>41398</v>
      </c>
      <c r="F1160" s="186" t="s">
        <v>1211</v>
      </c>
      <c r="G1160" s="40" t="s">
        <v>788</v>
      </c>
      <c r="H1160" s="7" t="s">
        <v>1252</v>
      </c>
      <c r="I1160" s="772">
        <v>250</v>
      </c>
      <c r="J1160" s="249">
        <v>14726</v>
      </c>
      <c r="K1160" s="595">
        <f t="shared" si="56"/>
        <v>3681500</v>
      </c>
      <c r="L1160" s="39" t="s">
        <v>162</v>
      </c>
      <c r="M1160" s="596" t="s">
        <v>156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IF(OR(TH!L1160=TH!$U$7,M1160=TH!$U$7),"x","")</f>
        <v/>
      </c>
      <c r="V1160" s="52" t="str">
        <f>IF(AND(B1160&gt;='IN-NX'!$P$3,B1160&lt;='IN-NX'!$Q$3,'IN-NX'!$D$7=D1160,OR(LEFT(L1160,2)="15",AND(LEFT(M1160,2)&lt;&gt;"15",LEFT(M1160,2)&lt;&gt;"33"))),"x","")</f>
        <v/>
      </c>
      <c r="W1160" s="52" t="str">
        <f>IF(AND(OR(LEFT(TH!L1160,2)="15",LEFT(TH!M1160,2)="15"),'152-CT'!$J$8=TH!F1160),"x","")</f>
        <v/>
      </c>
      <c r="X1160" s="52" t="str">
        <f>IF(AND(OR(LEFT(TH!L1160,2)="15",LEFT(TH!M1160,2)="15"),TK!$E$7=TH!F1160),"x","")</f>
        <v/>
      </c>
      <c r="Y1160" s="52" t="str">
        <f>IF(AND(B1160&lt;=NKC!$N$8,B1160&gt;=NKC!$M$8),"x","")</f>
        <v/>
      </c>
    </row>
    <row r="1161" spans="1:25" s="208" customFormat="1" ht="15.75" customHeight="1">
      <c r="A1161" s="201" t="str">
        <f>IF(B1161&lt;&gt;"",IF(AND(B1161&gt;=_TM1,B1161&lt;=_TM2,OR(TH!L1161="1111",TH!M1161="1111")),TH!D1161,""),"")</f>
        <v/>
      </c>
      <c r="B1161" s="36">
        <f t="shared" si="54"/>
        <v>5</v>
      </c>
      <c r="C1161" s="188">
        <f t="shared" si="55"/>
        <v>41406</v>
      </c>
      <c r="D1161" s="188" t="s">
        <v>1260</v>
      </c>
      <c r="E1161" s="735">
        <v>41406</v>
      </c>
      <c r="F1161" s="186" t="s">
        <v>1167</v>
      </c>
      <c r="G1161" s="40" t="s">
        <v>789</v>
      </c>
      <c r="H1161" s="7" t="s">
        <v>1252</v>
      </c>
      <c r="I1161" s="249">
        <v>60</v>
      </c>
      <c r="J1161" s="249">
        <v>17716</v>
      </c>
      <c r="K1161" s="595">
        <f t="shared" si="56"/>
        <v>1062960</v>
      </c>
      <c r="L1161" s="39" t="s">
        <v>162</v>
      </c>
      <c r="M1161" s="596" t="s">
        <v>156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IF(OR(TH!L1161=TH!$U$7,M1161=TH!$U$7),"x","")</f>
        <v/>
      </c>
      <c r="V1161" s="52" t="str">
        <f>IF(AND(B1161&gt;='IN-NX'!$P$3,B1161&lt;='IN-NX'!$Q$3,'IN-NX'!$D$7=D1161,OR(LEFT(L1161,2)="15",AND(LEFT(M1161,2)&lt;&gt;"15",LEFT(M1161,2)&lt;&gt;"33"))),"x","")</f>
        <v/>
      </c>
      <c r="W1161" s="52" t="str">
        <f>IF(AND(OR(LEFT(TH!L1161,2)="15",LEFT(TH!M1161,2)="15"),'152-CT'!$J$8=TH!F1161),"x","")</f>
        <v/>
      </c>
      <c r="X1161" s="52" t="str">
        <f>IF(AND(OR(LEFT(TH!L1161,2)="15",LEFT(TH!M1161,2)="15"),TK!$E$7=TH!F1161),"x","")</f>
        <v/>
      </c>
      <c r="Y1161" s="52" t="str">
        <f>IF(AND(B1161&lt;=NKC!$N$8,B1161&gt;=NKC!$M$8),"x","")</f>
        <v/>
      </c>
    </row>
    <row r="1162" spans="1:25" s="208" customFormat="1" ht="15.75" customHeight="1">
      <c r="A1162" s="201" t="str">
        <f>IF(B1162&lt;&gt;"",IF(AND(B1162&gt;=_TM1,B1162&lt;=_TM2,OR(TH!L1162="1111",TH!M1162="1111")),TH!D1162,""),"")</f>
        <v/>
      </c>
      <c r="B1162" s="36">
        <f t="shared" si="54"/>
        <v>5</v>
      </c>
      <c r="C1162" s="188">
        <f t="shared" si="55"/>
        <v>41406</v>
      </c>
      <c r="D1162" s="188" t="s">
        <v>1260</v>
      </c>
      <c r="E1162" s="735">
        <v>41406</v>
      </c>
      <c r="F1162" s="186" t="s">
        <v>1181</v>
      </c>
      <c r="G1162" s="40" t="s">
        <v>789</v>
      </c>
      <c r="H1162" s="7" t="s">
        <v>1252</v>
      </c>
      <c r="I1162" s="772">
        <v>50</v>
      </c>
      <c r="J1162" s="249">
        <v>21762</v>
      </c>
      <c r="K1162" s="595">
        <f t="shared" si="56"/>
        <v>1088100</v>
      </c>
      <c r="L1162" s="39" t="s">
        <v>162</v>
      </c>
      <c r="M1162" s="596" t="s">
        <v>156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IF(OR(TH!L1162=TH!$U$7,M1162=TH!$U$7),"x","")</f>
        <v/>
      </c>
      <c r="V1162" s="52" t="str">
        <f>IF(AND(B1162&gt;='IN-NX'!$P$3,B1162&lt;='IN-NX'!$Q$3,'IN-NX'!$D$7=D1162,OR(LEFT(L1162,2)="15",AND(LEFT(M1162,2)&lt;&gt;"15",LEFT(M1162,2)&lt;&gt;"33"))),"x","")</f>
        <v/>
      </c>
      <c r="W1162" s="52" t="str">
        <f>IF(AND(OR(LEFT(TH!L1162,2)="15",LEFT(TH!M1162,2)="15"),'152-CT'!$J$8=TH!F1162),"x","")</f>
        <v/>
      </c>
      <c r="X1162" s="52" t="str">
        <f>IF(AND(OR(LEFT(TH!L1162,2)="15",LEFT(TH!M1162,2)="15"),TK!$E$7=TH!F1162),"x","")</f>
        <v/>
      </c>
      <c r="Y1162" s="52" t="str">
        <f>IF(AND(B1162&lt;=NKC!$N$8,B1162&gt;=NKC!$M$8),"x","")</f>
        <v/>
      </c>
    </row>
    <row r="1163" spans="1:25" s="208" customFormat="1" ht="15.75" customHeight="1">
      <c r="A1163" s="201" t="str">
        <f>IF(B1163&lt;&gt;"",IF(AND(B1163&gt;=_TM1,B1163&lt;=_TM2,OR(TH!L1163="1111",TH!M1163="1111")),TH!D1163,""),"")</f>
        <v/>
      </c>
      <c r="B1163" s="36">
        <f t="shared" si="54"/>
        <v>5</v>
      </c>
      <c r="C1163" s="188">
        <f t="shared" si="55"/>
        <v>41406</v>
      </c>
      <c r="D1163" s="188" t="s">
        <v>1260</v>
      </c>
      <c r="E1163" s="735">
        <v>41406</v>
      </c>
      <c r="F1163" s="290" t="s">
        <v>1190</v>
      </c>
      <c r="G1163" s="40" t="s">
        <v>789</v>
      </c>
      <c r="H1163" s="7" t="s">
        <v>1252</v>
      </c>
      <c r="I1163" s="249">
        <v>110</v>
      </c>
      <c r="J1163" s="249">
        <v>12073.76551724138</v>
      </c>
      <c r="K1163" s="595">
        <f t="shared" si="56"/>
        <v>1328114</v>
      </c>
      <c r="L1163" s="39" t="s">
        <v>162</v>
      </c>
      <c r="M1163" s="596" t="s">
        <v>156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IF(OR(TH!L1163=TH!$U$7,M1163=TH!$U$7),"x","")</f>
        <v/>
      </c>
      <c r="V1163" s="52" t="str">
        <f>IF(AND(B1163&gt;='IN-NX'!$P$3,B1163&lt;='IN-NX'!$Q$3,'IN-NX'!$D$7=D1163,OR(LEFT(L1163,2)="15",AND(LEFT(M1163,2)&lt;&gt;"15",LEFT(M1163,2)&lt;&gt;"33"))),"x","")</f>
        <v/>
      </c>
      <c r="W1163" s="52" t="str">
        <f>IF(AND(OR(LEFT(TH!L1163,2)="15",LEFT(TH!M1163,2)="15"),'152-CT'!$J$8=TH!F1163),"x","")</f>
        <v/>
      </c>
      <c r="X1163" s="52" t="str">
        <f>IF(AND(OR(LEFT(TH!L1163,2)="15",LEFT(TH!M1163,2)="15"),TK!$E$7=TH!F1163),"x","")</f>
        <v/>
      </c>
      <c r="Y1163" s="52" t="str">
        <f>IF(AND(B1163&lt;=NKC!$N$8,B1163&gt;=NKC!$M$8),"x","")</f>
        <v/>
      </c>
    </row>
    <row r="1164" spans="1:25" s="208" customFormat="1" ht="15.75" customHeight="1">
      <c r="A1164" s="201" t="str">
        <f>IF(B1164&lt;&gt;"",IF(AND(B1164&gt;=_TM1,B1164&lt;=_TM2,OR(TH!L1164="1111",TH!M1164="1111")),TH!D1164,""),"")</f>
        <v/>
      </c>
      <c r="B1164" s="36">
        <f t="shared" si="54"/>
        <v>5</v>
      </c>
      <c r="C1164" s="188">
        <f t="shared" si="55"/>
        <v>41406</v>
      </c>
      <c r="D1164" s="188" t="s">
        <v>1260</v>
      </c>
      <c r="E1164" s="735">
        <v>41406</v>
      </c>
      <c r="F1164" s="40" t="s">
        <v>1195</v>
      </c>
      <c r="G1164" s="40" t="s">
        <v>789</v>
      </c>
      <c r="H1164" s="7" t="s">
        <v>1252</v>
      </c>
      <c r="I1164" s="249">
        <v>106</v>
      </c>
      <c r="J1164" s="249">
        <v>13999</v>
      </c>
      <c r="K1164" s="595">
        <f t="shared" si="56"/>
        <v>1483894</v>
      </c>
      <c r="L1164" s="39" t="s">
        <v>162</v>
      </c>
      <c r="M1164" s="596" t="s">
        <v>156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IF(OR(TH!L1164=TH!$U$7,M1164=TH!$U$7),"x","")</f>
        <v/>
      </c>
      <c r="V1164" s="52" t="str">
        <f>IF(AND(B1164&gt;='IN-NX'!$P$3,B1164&lt;='IN-NX'!$Q$3,'IN-NX'!$D$7=D1164,OR(LEFT(L1164,2)="15",AND(LEFT(M1164,2)&lt;&gt;"15",LEFT(M1164,2)&lt;&gt;"33"))),"x","")</f>
        <v/>
      </c>
      <c r="W1164" s="52" t="str">
        <f>IF(AND(OR(LEFT(TH!L1164,2)="15",LEFT(TH!M1164,2)="15"),'152-CT'!$J$8=TH!F1164),"x","")</f>
        <v/>
      </c>
      <c r="X1164" s="52" t="str">
        <f>IF(AND(OR(LEFT(TH!L1164,2)="15",LEFT(TH!M1164,2)="15"),TK!$E$7=TH!F1164),"x","")</f>
        <v/>
      </c>
      <c r="Y1164" s="52" t="str">
        <f>IF(AND(B1164&lt;=NKC!$N$8,B1164&gt;=NKC!$M$8),"x","")</f>
        <v/>
      </c>
    </row>
    <row r="1165" spans="1:25" s="208" customFormat="1" ht="15.75" customHeight="1">
      <c r="A1165" s="201" t="str">
        <f>IF(B1165&lt;&gt;"",IF(AND(B1165&gt;=_TM1,B1165&lt;=_TM2,OR(TH!L1165="1111",TH!M1165="1111")),TH!D1165,""),"")</f>
        <v/>
      </c>
      <c r="B1165" s="36">
        <f t="shared" si="54"/>
        <v>5</v>
      </c>
      <c r="C1165" s="188">
        <f t="shared" si="55"/>
        <v>41406</v>
      </c>
      <c r="D1165" s="188" t="s">
        <v>1260</v>
      </c>
      <c r="E1165" s="188">
        <v>41406</v>
      </c>
      <c r="F1165" s="189" t="s">
        <v>1139</v>
      </c>
      <c r="G1165" s="480" t="s">
        <v>790</v>
      </c>
      <c r="H1165" s="7" t="s">
        <v>1252</v>
      </c>
      <c r="I1165" s="251">
        <v>760</v>
      </c>
      <c r="J1165" s="251">
        <v>20815</v>
      </c>
      <c r="K1165" s="595">
        <f t="shared" si="56"/>
        <v>15819400</v>
      </c>
      <c r="L1165" s="39" t="s">
        <v>162</v>
      </c>
      <c r="M1165" s="596" t="s">
        <v>156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IF(OR(TH!L1165=TH!$U$7,M1165=TH!$U$7),"x","")</f>
        <v/>
      </c>
      <c r="V1165" s="52" t="str">
        <f>IF(AND(B1165&gt;='IN-NX'!$P$3,B1165&lt;='IN-NX'!$Q$3,'IN-NX'!$D$7=D1165,OR(LEFT(L1165,2)="15",AND(LEFT(M1165,2)&lt;&gt;"15",LEFT(M1165,2)&lt;&gt;"33"))),"x","")</f>
        <v/>
      </c>
      <c r="W1165" s="52" t="str">
        <f>IF(AND(OR(LEFT(TH!L1165,2)="15",LEFT(TH!M1165,2)="15"),'152-CT'!$J$8=TH!F1165),"x","")</f>
        <v/>
      </c>
      <c r="X1165" s="52" t="str">
        <f>IF(AND(OR(LEFT(TH!L1165,2)="15",LEFT(TH!M1165,2)="15"),TK!$E$7=TH!F1165),"x","")</f>
        <v/>
      </c>
      <c r="Y1165" s="52" t="str">
        <f>IF(AND(B1165&lt;=NKC!$N$8,B1165&gt;=NKC!$M$8),"x","")</f>
        <v/>
      </c>
    </row>
    <row r="1166" spans="1:25" s="208" customFormat="1" ht="15.75" customHeight="1">
      <c r="A1166" s="201" t="str">
        <f>IF(B1166&lt;&gt;"",IF(AND(B1166&gt;=_TM1,B1166&lt;=_TM2,OR(TH!L1166="1111",TH!M1166="1111")),TH!D1166,""),"")</f>
        <v/>
      </c>
      <c r="B1166" s="36">
        <f t="shared" si="54"/>
        <v>5</v>
      </c>
      <c r="C1166" s="188">
        <f t="shared" si="55"/>
        <v>41407</v>
      </c>
      <c r="D1166" s="188" t="s">
        <v>1260</v>
      </c>
      <c r="E1166" s="188">
        <v>41407</v>
      </c>
      <c r="F1166" s="189" t="s">
        <v>1220</v>
      </c>
      <c r="G1166" s="480" t="s">
        <v>792</v>
      </c>
      <c r="H1166" s="7" t="s">
        <v>1252</v>
      </c>
      <c r="I1166" s="251">
        <v>625</v>
      </c>
      <c r="J1166" s="251">
        <v>23149</v>
      </c>
      <c r="K1166" s="595">
        <f t="shared" si="56"/>
        <v>14468125</v>
      </c>
      <c r="L1166" s="39" t="s">
        <v>162</v>
      </c>
      <c r="M1166" s="596" t="s">
        <v>156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IF(OR(TH!L1166=TH!$U$7,M1166=TH!$U$7),"x","")</f>
        <v/>
      </c>
      <c r="V1166" s="52" t="str">
        <f>IF(AND(B1166&gt;='IN-NX'!$P$3,B1166&lt;='IN-NX'!$Q$3,'IN-NX'!$D$7=D1166,OR(LEFT(L1166,2)="15",AND(LEFT(M1166,2)&lt;&gt;"15",LEFT(M1166,2)&lt;&gt;"33"))),"x","")</f>
        <v/>
      </c>
      <c r="W1166" s="52" t="str">
        <f>IF(AND(OR(LEFT(TH!L1166,2)="15",LEFT(TH!M1166,2)="15"),'152-CT'!$J$8=TH!F1166),"x","")</f>
        <v/>
      </c>
      <c r="X1166" s="52" t="str">
        <f>IF(AND(OR(LEFT(TH!L1166,2)="15",LEFT(TH!M1166,2)="15"),TK!$E$7=TH!F1166),"x","")</f>
        <v/>
      </c>
      <c r="Y1166" s="52" t="str">
        <f>IF(AND(B1166&lt;=NKC!$N$8,B1166&gt;=NKC!$M$8),"x","")</f>
        <v/>
      </c>
    </row>
    <row r="1167" spans="1:25" s="208" customFormat="1" ht="15.75" customHeight="1">
      <c r="A1167" s="201" t="str">
        <f>IF(B1167&lt;&gt;"",IF(AND(B1167&gt;=_TM1,B1167&lt;=_TM2,OR(TH!L1167="1111",TH!M1167="1111")),TH!D1167,""),"")</f>
        <v/>
      </c>
      <c r="B1167" s="36">
        <f t="shared" si="54"/>
        <v>5</v>
      </c>
      <c r="C1167" s="188">
        <f t="shared" si="55"/>
        <v>41407</v>
      </c>
      <c r="D1167" s="188" t="s">
        <v>1260</v>
      </c>
      <c r="E1167" s="181">
        <v>41407</v>
      </c>
      <c r="F1167" s="186" t="s">
        <v>1195</v>
      </c>
      <c r="G1167" s="597" t="s">
        <v>793</v>
      </c>
      <c r="H1167" s="7" t="s">
        <v>1252</v>
      </c>
      <c r="I1167" s="249">
        <v>520</v>
      </c>
      <c r="J1167" s="249">
        <v>13999</v>
      </c>
      <c r="K1167" s="595">
        <f t="shared" si="56"/>
        <v>7279480</v>
      </c>
      <c r="L1167" s="39" t="s">
        <v>162</v>
      </c>
      <c r="M1167" s="596" t="s">
        <v>156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IF(OR(TH!L1167=TH!$U$7,M1167=TH!$U$7),"x","")</f>
        <v/>
      </c>
      <c r="V1167" s="52" t="str">
        <f>IF(AND(B1167&gt;='IN-NX'!$P$3,B1167&lt;='IN-NX'!$Q$3,'IN-NX'!$D$7=D1167,OR(LEFT(L1167,2)="15",AND(LEFT(M1167,2)&lt;&gt;"15",LEFT(M1167,2)&lt;&gt;"33"))),"x","")</f>
        <v/>
      </c>
      <c r="W1167" s="52" t="str">
        <f>IF(AND(OR(LEFT(TH!L1167,2)="15",LEFT(TH!M1167,2)="15"),'152-CT'!$J$8=TH!F1167),"x","")</f>
        <v/>
      </c>
      <c r="X1167" s="52" t="str">
        <f>IF(AND(OR(LEFT(TH!L1167,2)="15",LEFT(TH!M1167,2)="15"),TK!$E$7=TH!F1167),"x","")</f>
        <v/>
      </c>
      <c r="Y1167" s="52" t="str">
        <f>IF(AND(B1167&lt;=NKC!$N$8,B1167&gt;=NKC!$M$8),"x","")</f>
        <v/>
      </c>
    </row>
    <row r="1168" spans="1:25" s="208" customFormat="1" ht="15.75" customHeight="1">
      <c r="A1168" s="201" t="str">
        <f>IF(B1168&lt;&gt;"",IF(AND(B1168&gt;=_TM1,B1168&lt;=_TM2,OR(TH!L1168="1111",TH!M1168="1111")),TH!D1168,""),"")</f>
        <v/>
      </c>
      <c r="B1168" s="36">
        <f t="shared" si="54"/>
        <v>5</v>
      </c>
      <c r="C1168" s="188">
        <f t="shared" si="55"/>
        <v>41407</v>
      </c>
      <c r="D1168" s="188" t="s">
        <v>1260</v>
      </c>
      <c r="E1168" s="181">
        <v>41407</v>
      </c>
      <c r="F1168" s="186" t="s">
        <v>1204</v>
      </c>
      <c r="G1168" s="597" t="s">
        <v>795</v>
      </c>
      <c r="H1168" s="7" t="s">
        <v>1252</v>
      </c>
      <c r="I1168" s="249">
        <v>277</v>
      </c>
      <c r="J1168" s="249">
        <v>15825</v>
      </c>
      <c r="K1168" s="595">
        <f t="shared" si="56"/>
        <v>4383525</v>
      </c>
      <c r="L1168" s="39" t="s">
        <v>162</v>
      </c>
      <c r="M1168" s="596" t="s">
        <v>156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IF(OR(TH!L1168=TH!$U$7,M1168=TH!$U$7),"x","")</f>
        <v/>
      </c>
      <c r="V1168" s="52" t="str">
        <f>IF(AND(B1168&gt;='IN-NX'!$P$3,B1168&lt;='IN-NX'!$Q$3,'IN-NX'!$D$7=D1168,OR(LEFT(L1168,2)="15",AND(LEFT(M1168,2)&lt;&gt;"15",LEFT(M1168,2)&lt;&gt;"33"))),"x","")</f>
        <v/>
      </c>
      <c r="W1168" s="52" t="str">
        <f>IF(AND(OR(LEFT(TH!L1168,2)="15",LEFT(TH!M1168,2)="15"),'152-CT'!$J$8=TH!F1168),"x","")</f>
        <v/>
      </c>
      <c r="X1168" s="52" t="str">
        <f>IF(AND(OR(LEFT(TH!L1168,2)="15",LEFT(TH!M1168,2)="15"),TK!$E$7=TH!F1168),"x","")</f>
        <v/>
      </c>
      <c r="Y1168" s="52" t="str">
        <f>IF(AND(B1168&lt;=NKC!$N$8,B1168&gt;=NKC!$M$8),"x","")</f>
        <v/>
      </c>
    </row>
    <row r="1169" spans="1:25" s="208" customFormat="1" ht="15.75" customHeight="1">
      <c r="A1169" s="201" t="str">
        <f>IF(B1169&lt;&gt;"",IF(AND(B1169&gt;=_TM1,B1169&lt;=_TM2,OR(TH!L1169="1111",TH!M1169="1111")),TH!D1169,""),"")</f>
        <v/>
      </c>
      <c r="B1169" s="36">
        <f t="shared" si="54"/>
        <v>5</v>
      </c>
      <c r="C1169" s="188">
        <f t="shared" si="55"/>
        <v>41408</v>
      </c>
      <c r="D1169" s="188" t="s">
        <v>1260</v>
      </c>
      <c r="E1169" s="188">
        <v>41408</v>
      </c>
      <c r="F1169" s="189" t="s">
        <v>1204</v>
      </c>
      <c r="G1169" s="480" t="s">
        <v>797</v>
      </c>
      <c r="H1169" s="7" t="s">
        <v>1252</v>
      </c>
      <c r="I1169" s="249">
        <v>149</v>
      </c>
      <c r="J1169" s="249">
        <v>15825</v>
      </c>
      <c r="K1169" s="595">
        <f t="shared" si="56"/>
        <v>2357925</v>
      </c>
      <c r="L1169" s="39" t="s">
        <v>162</v>
      </c>
      <c r="M1169" s="596" t="s">
        <v>156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IF(OR(TH!L1169=TH!$U$7,M1169=TH!$U$7),"x","")</f>
        <v/>
      </c>
      <c r="V1169" s="52" t="str">
        <f>IF(AND(B1169&gt;='IN-NX'!$P$3,B1169&lt;='IN-NX'!$Q$3,'IN-NX'!$D$7=D1169,OR(LEFT(L1169,2)="15",AND(LEFT(M1169,2)&lt;&gt;"15",LEFT(M1169,2)&lt;&gt;"33"))),"x","")</f>
        <v/>
      </c>
      <c r="W1169" s="52" t="str">
        <f>IF(AND(OR(LEFT(TH!L1169,2)="15",LEFT(TH!M1169,2)="15"),'152-CT'!$J$8=TH!F1169),"x","")</f>
        <v/>
      </c>
      <c r="X1169" s="52" t="str">
        <f>IF(AND(OR(LEFT(TH!L1169,2)="15",LEFT(TH!M1169,2)="15"),TK!$E$7=TH!F1169),"x","")</f>
        <v/>
      </c>
      <c r="Y1169" s="52" t="str">
        <f>IF(AND(B1169&lt;=NKC!$N$8,B1169&gt;=NKC!$M$8),"x","")</f>
        <v/>
      </c>
    </row>
    <row r="1170" spans="1:25" s="208" customFormat="1" ht="15.75" customHeight="1">
      <c r="A1170" s="201" t="str">
        <f>IF(B1170&lt;&gt;"",IF(AND(B1170&gt;=_TM1,B1170&lt;=_TM2,OR(TH!L1170="1111",TH!M1170="1111")),TH!D1170,""),"")</f>
        <v/>
      </c>
      <c r="B1170" s="36">
        <f t="shared" si="54"/>
        <v>5</v>
      </c>
      <c r="C1170" s="188">
        <f t="shared" si="55"/>
        <v>41412</v>
      </c>
      <c r="D1170" s="188" t="s">
        <v>1260</v>
      </c>
      <c r="E1170" s="188">
        <v>41412</v>
      </c>
      <c r="F1170" s="189" t="s">
        <v>1239</v>
      </c>
      <c r="G1170" s="480" t="s">
        <v>799</v>
      </c>
      <c r="H1170" s="7" t="s">
        <v>1252</v>
      </c>
      <c r="I1170" s="249">
        <v>52</v>
      </c>
      <c r="J1170" s="249">
        <v>22853</v>
      </c>
      <c r="K1170" s="595">
        <f t="shared" si="56"/>
        <v>1188356</v>
      </c>
      <c r="L1170" s="39" t="s">
        <v>162</v>
      </c>
      <c r="M1170" s="596" t="s">
        <v>156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IF(OR(TH!L1170=TH!$U$7,M1170=TH!$U$7),"x","")</f>
        <v/>
      </c>
      <c r="V1170" s="52" t="str">
        <f>IF(AND(B1170&gt;='IN-NX'!$P$3,B1170&lt;='IN-NX'!$Q$3,'IN-NX'!$D$7=D1170,OR(LEFT(L1170,2)="15",AND(LEFT(M1170,2)&lt;&gt;"15",LEFT(M1170,2)&lt;&gt;"33"))),"x","")</f>
        <v/>
      </c>
      <c r="W1170" s="52" t="str">
        <f>IF(AND(OR(LEFT(TH!L1170,2)="15",LEFT(TH!M1170,2)="15"),'152-CT'!$J$8=TH!F1170),"x","")</f>
        <v/>
      </c>
      <c r="X1170" s="52" t="str">
        <f>IF(AND(OR(LEFT(TH!L1170,2)="15",LEFT(TH!M1170,2)="15"),TK!$E$7=TH!F1170),"x","")</f>
        <v/>
      </c>
      <c r="Y1170" s="52" t="str">
        <f>IF(AND(B1170&lt;=NKC!$N$8,B1170&gt;=NKC!$M$8),"x","")</f>
        <v/>
      </c>
    </row>
    <row r="1171" spans="1:25" s="208" customFormat="1" ht="15.75" customHeight="1">
      <c r="A1171" s="201" t="str">
        <f>IF(B1171&lt;&gt;"",IF(AND(B1171&gt;=_TM1,B1171&lt;=_TM2,OR(TH!L1171="1111",TH!M1171="1111")),TH!D1171,""),"")</f>
        <v/>
      </c>
      <c r="B1171" s="36">
        <f t="shared" si="54"/>
        <v>5</v>
      </c>
      <c r="C1171" s="188">
        <f t="shared" si="55"/>
        <v>41412</v>
      </c>
      <c r="D1171" s="188" t="s">
        <v>1260</v>
      </c>
      <c r="E1171" s="188">
        <v>41412</v>
      </c>
      <c r="F1171" s="189" t="s">
        <v>1194</v>
      </c>
      <c r="G1171" s="480" t="s">
        <v>799</v>
      </c>
      <c r="H1171" s="7" t="s">
        <v>1252</v>
      </c>
      <c r="I1171" s="249">
        <v>11</v>
      </c>
      <c r="J1171" s="249">
        <v>13971</v>
      </c>
      <c r="K1171" s="595">
        <f t="shared" si="56"/>
        <v>153681</v>
      </c>
      <c r="L1171" s="39" t="s">
        <v>162</v>
      </c>
      <c r="M1171" s="596" t="s">
        <v>156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IF(OR(TH!L1171=TH!$U$7,M1171=TH!$U$7),"x","")</f>
        <v/>
      </c>
      <c r="V1171" s="52" t="str">
        <f>IF(AND(B1171&gt;='IN-NX'!$P$3,B1171&lt;='IN-NX'!$Q$3,'IN-NX'!$D$7=D1171,OR(LEFT(L1171,2)="15",AND(LEFT(M1171,2)&lt;&gt;"15",LEFT(M1171,2)&lt;&gt;"33"))),"x","")</f>
        <v/>
      </c>
      <c r="W1171" s="52" t="str">
        <f>IF(AND(OR(LEFT(TH!L1171,2)="15",LEFT(TH!M1171,2)="15"),'152-CT'!$J$8=TH!F1171),"x","")</f>
        <v/>
      </c>
      <c r="X1171" s="52" t="str">
        <f>IF(AND(OR(LEFT(TH!L1171,2)="15",LEFT(TH!M1171,2)="15"),TK!$E$7=TH!F1171),"x","")</f>
        <v/>
      </c>
      <c r="Y1171" s="52" t="str">
        <f>IF(AND(B1171&lt;=NKC!$N$8,B1171&gt;=NKC!$M$8),"x","")</f>
        <v/>
      </c>
    </row>
    <row r="1172" spans="1:25" s="208" customFormat="1" ht="15.75" customHeight="1">
      <c r="A1172" s="201" t="str">
        <f>IF(B1172&lt;&gt;"",IF(AND(B1172&gt;=_TM1,B1172&lt;=_TM2,OR(TH!L1172="1111",TH!M1172="1111")),TH!D1172,""),"")</f>
        <v/>
      </c>
      <c r="B1172" s="36">
        <f t="shared" si="54"/>
        <v>5</v>
      </c>
      <c r="C1172" s="188">
        <f t="shared" si="55"/>
        <v>41412</v>
      </c>
      <c r="D1172" s="188" t="s">
        <v>1260</v>
      </c>
      <c r="E1172" s="188">
        <v>41412</v>
      </c>
      <c r="F1172" s="189" t="s">
        <v>1207</v>
      </c>
      <c r="G1172" s="480" t="s">
        <v>799</v>
      </c>
      <c r="H1172" s="7" t="s">
        <v>1252</v>
      </c>
      <c r="I1172" s="249">
        <v>28</v>
      </c>
      <c r="J1172" s="249">
        <v>13619</v>
      </c>
      <c r="K1172" s="595">
        <f t="shared" si="56"/>
        <v>381332</v>
      </c>
      <c r="L1172" s="39" t="s">
        <v>162</v>
      </c>
      <c r="M1172" s="596" t="s">
        <v>156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IF(OR(TH!L1172=TH!$U$7,M1172=TH!$U$7),"x","")</f>
        <v/>
      </c>
      <c r="V1172" s="52" t="str">
        <f>IF(AND(B1172&gt;='IN-NX'!$P$3,B1172&lt;='IN-NX'!$Q$3,'IN-NX'!$D$7=D1172,OR(LEFT(L1172,2)="15",AND(LEFT(M1172,2)&lt;&gt;"15",LEFT(M1172,2)&lt;&gt;"33"))),"x","")</f>
        <v/>
      </c>
      <c r="W1172" s="52" t="str">
        <f>IF(AND(OR(LEFT(TH!L1172,2)="15",LEFT(TH!M1172,2)="15"),'152-CT'!$J$8=TH!F1172),"x","")</f>
        <v/>
      </c>
      <c r="X1172" s="52" t="str">
        <f>IF(AND(OR(LEFT(TH!L1172,2)="15",LEFT(TH!M1172,2)="15"),TK!$E$7=TH!F1172),"x","")</f>
        <v/>
      </c>
      <c r="Y1172" s="52" t="str">
        <f>IF(AND(B1172&lt;=NKC!$N$8,B1172&gt;=NKC!$M$8),"x","")</f>
        <v/>
      </c>
    </row>
    <row r="1173" spans="1:25" s="208" customFormat="1" ht="15.75" customHeight="1">
      <c r="A1173" s="201" t="str">
        <f>IF(B1173&lt;&gt;"",IF(AND(B1173&gt;=_TM1,B1173&lt;=_TM2,OR(TH!L1173="1111",TH!M1173="1111")),TH!D1173,""),"")</f>
        <v/>
      </c>
      <c r="B1173" s="36">
        <f t="shared" si="54"/>
        <v>5</v>
      </c>
      <c r="C1173" s="188">
        <f t="shared" si="55"/>
        <v>41412</v>
      </c>
      <c r="D1173" s="188" t="s">
        <v>1260</v>
      </c>
      <c r="E1173" s="188">
        <v>41412</v>
      </c>
      <c r="F1173" s="189" t="s">
        <v>1199</v>
      </c>
      <c r="G1173" s="480" t="s">
        <v>799</v>
      </c>
      <c r="H1173" s="7" t="s">
        <v>1252</v>
      </c>
      <c r="I1173" s="252">
        <v>90</v>
      </c>
      <c r="J1173" s="252">
        <v>11150</v>
      </c>
      <c r="K1173" s="595">
        <f t="shared" si="56"/>
        <v>1003500</v>
      </c>
      <c r="L1173" s="39" t="s">
        <v>162</v>
      </c>
      <c r="M1173" s="596" t="s">
        <v>156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IF(OR(TH!L1173=TH!$U$7,M1173=TH!$U$7),"x","")</f>
        <v/>
      </c>
      <c r="V1173" s="52" t="str">
        <f>IF(AND(B1173&gt;='IN-NX'!$P$3,B1173&lt;='IN-NX'!$Q$3,'IN-NX'!$D$7=D1173,OR(LEFT(L1173,2)="15",AND(LEFT(M1173,2)&lt;&gt;"15",LEFT(M1173,2)&lt;&gt;"33"))),"x","")</f>
        <v/>
      </c>
      <c r="W1173" s="52" t="str">
        <f>IF(AND(OR(LEFT(TH!L1173,2)="15",LEFT(TH!M1173,2)="15"),'152-CT'!$J$8=TH!F1173),"x","")</f>
        <v/>
      </c>
      <c r="X1173" s="52" t="str">
        <f>IF(AND(OR(LEFT(TH!L1173,2)="15",LEFT(TH!M1173,2)="15"),TK!$E$7=TH!F1173),"x","")</f>
        <v/>
      </c>
      <c r="Y1173" s="52" t="str">
        <f>IF(AND(B1173&lt;=NKC!$N$8,B1173&gt;=NKC!$M$8),"x","")</f>
        <v/>
      </c>
    </row>
    <row r="1174" spans="1:25" s="208" customFormat="1" ht="15.75" customHeight="1">
      <c r="A1174" s="201" t="str">
        <f>IF(B1174&lt;&gt;"",IF(AND(B1174&gt;=_TM1,B1174&lt;=_TM2,OR(TH!L1174="1111",TH!M1174="1111")),TH!D1174,""),"")</f>
        <v/>
      </c>
      <c r="B1174" s="36">
        <f t="shared" ref="B1174:B1237" si="57">IF(C1174&lt;&gt;"",MONTH(C1174),"")</f>
        <v>5</v>
      </c>
      <c r="C1174" s="188">
        <f t="shared" si="55"/>
        <v>41412</v>
      </c>
      <c r="D1174" s="188" t="s">
        <v>1260</v>
      </c>
      <c r="E1174" s="188">
        <v>41412</v>
      </c>
      <c r="F1174" s="189" t="s">
        <v>1216</v>
      </c>
      <c r="G1174" s="480" t="s">
        <v>799</v>
      </c>
      <c r="H1174" s="7" t="s">
        <v>1252</v>
      </c>
      <c r="I1174" s="252">
        <v>100</v>
      </c>
      <c r="J1174" s="252">
        <v>15976</v>
      </c>
      <c r="K1174" s="595">
        <f t="shared" si="56"/>
        <v>1597600</v>
      </c>
      <c r="L1174" s="39" t="s">
        <v>162</v>
      </c>
      <c r="M1174" s="596" t="s">
        <v>156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IF(OR(TH!L1174=TH!$U$7,M1174=TH!$U$7),"x","")</f>
        <v/>
      </c>
      <c r="V1174" s="52" t="str">
        <f>IF(AND(B1174&gt;='IN-NX'!$P$3,B1174&lt;='IN-NX'!$Q$3,'IN-NX'!$D$7=D1174,OR(LEFT(L1174,2)="15",AND(LEFT(M1174,2)&lt;&gt;"15",LEFT(M1174,2)&lt;&gt;"33"))),"x","")</f>
        <v/>
      </c>
      <c r="W1174" s="52" t="str">
        <f>IF(AND(OR(LEFT(TH!L1174,2)="15",LEFT(TH!M1174,2)="15"),'152-CT'!$J$8=TH!F1174),"x","")</f>
        <v/>
      </c>
      <c r="X1174" s="52" t="str">
        <f>IF(AND(OR(LEFT(TH!L1174,2)="15",LEFT(TH!M1174,2)="15"),TK!$E$7=TH!F1174),"x","")</f>
        <v/>
      </c>
      <c r="Y1174" s="52" t="str">
        <f>IF(AND(B1174&lt;=NKC!$N$8,B1174&gt;=NKC!$M$8),"x","")</f>
        <v/>
      </c>
    </row>
    <row r="1175" spans="1:25" s="208" customFormat="1" ht="15.75" customHeight="1">
      <c r="A1175" s="201" t="str">
        <f>IF(B1175&lt;&gt;"",IF(AND(B1175&gt;=_TM1,B1175&lt;=_TM2,OR(TH!L1175="1111",TH!M1175="1111")),TH!D1175,""),"")</f>
        <v/>
      </c>
      <c r="B1175" s="36">
        <f t="shared" si="57"/>
        <v>5</v>
      </c>
      <c r="C1175" s="188">
        <f t="shared" si="55"/>
        <v>41415</v>
      </c>
      <c r="D1175" s="188" t="s">
        <v>1260</v>
      </c>
      <c r="E1175" s="188">
        <v>41415</v>
      </c>
      <c r="F1175" s="189" t="s">
        <v>1168</v>
      </c>
      <c r="G1175" s="480" t="s">
        <v>803</v>
      </c>
      <c r="H1175" s="7" t="s">
        <v>1252</v>
      </c>
      <c r="I1175" s="249">
        <v>470</v>
      </c>
      <c r="J1175" s="249">
        <v>11113</v>
      </c>
      <c r="K1175" s="595">
        <f t="shared" si="56"/>
        <v>5223110</v>
      </c>
      <c r="L1175" s="39" t="s">
        <v>162</v>
      </c>
      <c r="M1175" s="596" t="s">
        <v>156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IF(OR(TH!L1175=TH!$U$7,M1175=TH!$U$7),"x","")</f>
        <v/>
      </c>
      <c r="V1175" s="52" t="str">
        <f>IF(AND(B1175&gt;='IN-NX'!$P$3,B1175&lt;='IN-NX'!$Q$3,'IN-NX'!$D$7=D1175,OR(LEFT(L1175,2)="15",AND(LEFT(M1175,2)&lt;&gt;"15",LEFT(M1175,2)&lt;&gt;"33"))),"x","")</f>
        <v/>
      </c>
      <c r="W1175" s="52" t="str">
        <f>IF(AND(OR(LEFT(TH!L1175,2)="15",LEFT(TH!M1175,2)="15"),'152-CT'!$J$8=TH!F1175),"x","")</f>
        <v/>
      </c>
      <c r="X1175" s="52" t="str">
        <f>IF(AND(OR(LEFT(TH!L1175,2)="15",LEFT(TH!M1175,2)="15"),TK!$E$7=TH!F1175),"x","")</f>
        <v/>
      </c>
      <c r="Y1175" s="52" t="str">
        <f>IF(AND(B1175&lt;=NKC!$N$8,B1175&gt;=NKC!$M$8),"x","")</f>
        <v/>
      </c>
    </row>
    <row r="1176" spans="1:25" s="208" customFormat="1" ht="15.75" customHeight="1">
      <c r="A1176" s="201" t="str">
        <f>IF(B1176&lt;&gt;"",IF(AND(B1176&gt;=_TM1,B1176&lt;=_TM2,OR(TH!L1176="1111",TH!M1176="1111")),TH!D1176,""),"")</f>
        <v/>
      </c>
      <c r="B1176" s="36">
        <f t="shared" si="57"/>
        <v>6</v>
      </c>
      <c r="C1176" s="188">
        <f t="shared" si="55"/>
        <v>41426</v>
      </c>
      <c r="D1176" s="188" t="s">
        <v>1260</v>
      </c>
      <c r="E1176" s="188">
        <v>41426</v>
      </c>
      <c r="F1176" s="189" t="s">
        <v>1194</v>
      </c>
      <c r="G1176" s="480" t="s">
        <v>804</v>
      </c>
      <c r="H1176" s="7" t="s">
        <v>1252</v>
      </c>
      <c r="I1176" s="250">
        <v>296</v>
      </c>
      <c r="J1176" s="250">
        <v>13971</v>
      </c>
      <c r="K1176" s="595">
        <f t="shared" si="56"/>
        <v>4135416</v>
      </c>
      <c r="L1176" s="39" t="s">
        <v>162</v>
      </c>
      <c r="M1176" s="596" t="s">
        <v>156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IF(OR(TH!L1176=TH!$U$7,M1176=TH!$U$7),"x","")</f>
        <v/>
      </c>
      <c r="V1176" s="52" t="str">
        <f>IF(AND(B1176&gt;='IN-NX'!$P$3,B1176&lt;='IN-NX'!$Q$3,'IN-NX'!$D$7=D1176,OR(LEFT(L1176,2)="15",AND(LEFT(M1176,2)&lt;&gt;"15",LEFT(M1176,2)&lt;&gt;"33"))),"x","")</f>
        <v/>
      </c>
      <c r="W1176" s="52" t="str">
        <f>IF(AND(OR(LEFT(TH!L1176,2)="15",LEFT(TH!M1176,2)="15"),'152-CT'!$J$8=TH!F1176),"x","")</f>
        <v/>
      </c>
      <c r="X1176" s="52" t="str">
        <f>IF(AND(OR(LEFT(TH!L1176,2)="15",LEFT(TH!M1176,2)="15"),TK!$E$7=TH!F1176),"x","")</f>
        <v/>
      </c>
      <c r="Y1176" s="52" t="str">
        <f>IF(AND(B1176&lt;=NKC!$N$8,B1176&gt;=NKC!$M$8),"x","")</f>
        <v/>
      </c>
    </row>
    <row r="1177" spans="1:25" s="208" customFormat="1" ht="15.75" customHeight="1">
      <c r="A1177" s="201" t="str">
        <f>IF(B1177&lt;&gt;"",IF(AND(B1177&gt;=_TM1,B1177&lt;=_TM2,OR(TH!L1177="1111",TH!M1177="1111")),TH!D1177,""),"")</f>
        <v/>
      </c>
      <c r="B1177" s="36">
        <f t="shared" si="57"/>
        <v>6</v>
      </c>
      <c r="C1177" s="188">
        <f t="shared" si="55"/>
        <v>41426</v>
      </c>
      <c r="D1177" s="188" t="s">
        <v>1260</v>
      </c>
      <c r="E1177" s="188">
        <v>41426</v>
      </c>
      <c r="F1177" s="189" t="s">
        <v>1209</v>
      </c>
      <c r="G1177" s="480" t="s">
        <v>806</v>
      </c>
      <c r="H1177" s="7" t="s">
        <v>1252</v>
      </c>
      <c r="I1177" s="249">
        <v>425</v>
      </c>
      <c r="J1177" s="249">
        <v>19910.059499050549</v>
      </c>
      <c r="K1177" s="595">
        <f t="shared" si="56"/>
        <v>8461775</v>
      </c>
      <c r="L1177" s="39" t="s">
        <v>162</v>
      </c>
      <c r="M1177" s="596" t="s">
        <v>156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IF(OR(TH!L1177=TH!$U$7,M1177=TH!$U$7),"x","")</f>
        <v/>
      </c>
      <c r="V1177" s="52" t="str">
        <f>IF(AND(B1177&gt;='IN-NX'!$P$3,B1177&lt;='IN-NX'!$Q$3,'IN-NX'!$D$7=D1177,OR(LEFT(L1177,2)="15",AND(LEFT(M1177,2)&lt;&gt;"15",LEFT(M1177,2)&lt;&gt;"33"))),"x","")</f>
        <v/>
      </c>
      <c r="W1177" s="52" t="str">
        <f>IF(AND(OR(LEFT(TH!L1177,2)="15",LEFT(TH!M1177,2)="15"),'152-CT'!$J$8=TH!F1177),"x","")</f>
        <v/>
      </c>
      <c r="X1177" s="52" t="str">
        <f>IF(AND(OR(LEFT(TH!L1177,2)="15",LEFT(TH!M1177,2)="15"),TK!$E$7=TH!F1177),"x","")</f>
        <v/>
      </c>
      <c r="Y1177" s="52" t="str">
        <f>IF(AND(B1177&lt;=NKC!$N$8,B1177&gt;=NKC!$M$8),"x","")</f>
        <v/>
      </c>
    </row>
    <row r="1178" spans="1:25" s="208" customFormat="1" ht="15.75" customHeight="1">
      <c r="A1178" s="201" t="str">
        <f>IF(B1178&lt;&gt;"",IF(AND(B1178&gt;=_TM1,B1178&lt;=_TM2,OR(TH!L1178="1111",TH!M1178="1111")),TH!D1178,""),"")</f>
        <v/>
      </c>
      <c r="B1178" s="36">
        <f t="shared" si="57"/>
        <v>6</v>
      </c>
      <c r="C1178" s="188">
        <f t="shared" si="55"/>
        <v>41427</v>
      </c>
      <c r="D1178" s="188" t="s">
        <v>1260</v>
      </c>
      <c r="E1178" s="735">
        <v>41427</v>
      </c>
      <c r="F1178" s="40" t="s">
        <v>1209</v>
      </c>
      <c r="G1178" s="40" t="s">
        <v>808</v>
      </c>
      <c r="H1178" s="7" t="s">
        <v>1252</v>
      </c>
      <c r="I1178" s="249">
        <v>600</v>
      </c>
      <c r="J1178" s="249">
        <v>19910.059547477042</v>
      </c>
      <c r="K1178" s="595">
        <f t="shared" si="56"/>
        <v>11946036</v>
      </c>
      <c r="L1178" s="39" t="s">
        <v>162</v>
      </c>
      <c r="M1178" s="596" t="s">
        <v>156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IF(OR(TH!L1178=TH!$U$7,M1178=TH!$U$7),"x","")</f>
        <v/>
      </c>
      <c r="V1178" s="52" t="str">
        <f>IF(AND(B1178&gt;='IN-NX'!$P$3,B1178&lt;='IN-NX'!$Q$3,'IN-NX'!$D$7=D1178,OR(LEFT(L1178,2)="15",AND(LEFT(M1178,2)&lt;&gt;"15",LEFT(M1178,2)&lt;&gt;"33"))),"x","")</f>
        <v/>
      </c>
      <c r="W1178" s="52" t="str">
        <f>IF(AND(OR(LEFT(TH!L1178,2)="15",LEFT(TH!M1178,2)="15"),'152-CT'!$J$8=TH!F1178),"x","")</f>
        <v/>
      </c>
      <c r="X1178" s="52" t="str">
        <f>IF(AND(OR(LEFT(TH!L1178,2)="15",LEFT(TH!M1178,2)="15"),TK!$E$7=TH!F1178),"x","")</f>
        <v/>
      </c>
      <c r="Y1178" s="52" t="str">
        <f>IF(AND(B1178&lt;=NKC!$N$8,B1178&gt;=NKC!$M$8),"x","")</f>
        <v/>
      </c>
    </row>
    <row r="1179" spans="1:25" s="208" customFormat="1" ht="15.75" customHeight="1">
      <c r="A1179" s="201" t="str">
        <f>IF(B1179&lt;&gt;"",IF(AND(B1179&gt;=_TM1,B1179&lt;=_TM2,OR(TH!L1179="1111",TH!M1179="1111")),TH!D1179,""),"")</f>
        <v/>
      </c>
      <c r="B1179" s="36">
        <f t="shared" si="57"/>
        <v>6</v>
      </c>
      <c r="C1179" s="188">
        <f t="shared" si="55"/>
        <v>41427</v>
      </c>
      <c r="D1179" s="188" t="s">
        <v>1260</v>
      </c>
      <c r="E1179" s="735">
        <v>41427</v>
      </c>
      <c r="F1179" s="40" t="s">
        <v>1214</v>
      </c>
      <c r="G1179" s="40" t="s">
        <v>808</v>
      </c>
      <c r="H1179" s="7" t="s">
        <v>1252</v>
      </c>
      <c r="I1179" s="249">
        <v>698</v>
      </c>
      <c r="J1179" s="249">
        <v>21023</v>
      </c>
      <c r="K1179" s="595">
        <f t="shared" si="56"/>
        <v>14674054</v>
      </c>
      <c r="L1179" s="39" t="s">
        <v>162</v>
      </c>
      <c r="M1179" s="596" t="s">
        <v>156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IF(OR(TH!L1179=TH!$U$7,M1179=TH!$U$7),"x","")</f>
        <v/>
      </c>
      <c r="V1179" s="52" t="str">
        <f>IF(AND(B1179&gt;='IN-NX'!$P$3,B1179&lt;='IN-NX'!$Q$3,'IN-NX'!$D$7=D1179,OR(LEFT(L1179,2)="15",AND(LEFT(M1179,2)&lt;&gt;"15",LEFT(M1179,2)&lt;&gt;"33"))),"x","")</f>
        <v/>
      </c>
      <c r="W1179" s="52" t="str">
        <f>IF(AND(OR(LEFT(TH!L1179,2)="15",LEFT(TH!M1179,2)="15"),'152-CT'!$J$8=TH!F1179),"x","")</f>
        <v/>
      </c>
      <c r="X1179" s="52" t="str">
        <f>IF(AND(OR(LEFT(TH!L1179,2)="15",LEFT(TH!M1179,2)="15"),TK!$E$7=TH!F1179),"x","")</f>
        <v/>
      </c>
      <c r="Y1179" s="52" t="str">
        <f>IF(AND(B1179&lt;=NKC!$N$8,B1179&gt;=NKC!$M$8),"x","")</f>
        <v/>
      </c>
    </row>
    <row r="1180" spans="1:25" s="208" customFormat="1" ht="15.75" customHeight="1">
      <c r="A1180" s="201" t="str">
        <f>IF(B1180&lt;&gt;"",IF(AND(B1180&gt;=_TM1,B1180&lt;=_TM2,OR(TH!L1180="1111",TH!M1180="1111")),TH!D1180,""),"")</f>
        <v/>
      </c>
      <c r="B1180" s="36">
        <f t="shared" si="57"/>
        <v>6</v>
      </c>
      <c r="C1180" s="188">
        <f t="shared" si="55"/>
        <v>41429</v>
      </c>
      <c r="D1180" s="188" t="s">
        <v>1260</v>
      </c>
      <c r="E1180" s="735">
        <v>41429</v>
      </c>
      <c r="F1180" s="186" t="s">
        <v>1190</v>
      </c>
      <c r="G1180" s="40" t="s">
        <v>809</v>
      </c>
      <c r="H1180" s="7" t="s">
        <v>1252</v>
      </c>
      <c r="I1180" s="249">
        <v>110</v>
      </c>
      <c r="J1180" s="249">
        <v>12073.76551724138</v>
      </c>
      <c r="K1180" s="595">
        <f t="shared" si="56"/>
        <v>1328114</v>
      </c>
      <c r="L1180" s="39" t="s">
        <v>162</v>
      </c>
      <c r="M1180" s="596" t="s">
        <v>156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IF(OR(TH!L1180=TH!$U$7,M1180=TH!$U$7),"x","")</f>
        <v/>
      </c>
      <c r="V1180" s="52" t="str">
        <f>IF(AND(B1180&gt;='IN-NX'!$P$3,B1180&lt;='IN-NX'!$Q$3,'IN-NX'!$D$7=D1180,OR(LEFT(L1180,2)="15",AND(LEFT(M1180,2)&lt;&gt;"15",LEFT(M1180,2)&lt;&gt;"33"))),"x","")</f>
        <v/>
      </c>
      <c r="W1180" s="52" t="str">
        <f>IF(AND(OR(LEFT(TH!L1180,2)="15",LEFT(TH!M1180,2)="15"),'152-CT'!$J$8=TH!F1180),"x","")</f>
        <v/>
      </c>
      <c r="X1180" s="52" t="str">
        <f>IF(AND(OR(LEFT(TH!L1180,2)="15",LEFT(TH!M1180,2)="15"),TK!$E$7=TH!F1180),"x","")</f>
        <v/>
      </c>
      <c r="Y1180" s="52" t="str">
        <f>IF(AND(B1180&lt;=NKC!$N$8,B1180&gt;=NKC!$M$8),"x","")</f>
        <v/>
      </c>
    </row>
    <row r="1181" spans="1:25" s="208" customFormat="1" ht="15.75" customHeight="1">
      <c r="A1181" s="201" t="str">
        <f>IF(B1181&lt;&gt;"",IF(AND(B1181&gt;=_TM1,B1181&lt;=_TM2,OR(TH!L1181="1111",TH!M1181="1111")),TH!D1181,""),"")</f>
        <v/>
      </c>
      <c r="B1181" s="36">
        <f t="shared" si="57"/>
        <v>6</v>
      </c>
      <c r="C1181" s="188">
        <f t="shared" si="55"/>
        <v>41429</v>
      </c>
      <c r="D1181" s="188" t="s">
        <v>1260</v>
      </c>
      <c r="E1181" s="735">
        <v>41429</v>
      </c>
      <c r="F1181" s="40" t="s">
        <v>1196</v>
      </c>
      <c r="G1181" s="40" t="s">
        <v>809</v>
      </c>
      <c r="H1181" s="7" t="s">
        <v>1252</v>
      </c>
      <c r="I1181" s="249">
        <v>100</v>
      </c>
      <c r="J1181" s="249">
        <v>16665</v>
      </c>
      <c r="K1181" s="595">
        <f t="shared" si="56"/>
        <v>1666500</v>
      </c>
      <c r="L1181" s="39" t="s">
        <v>162</v>
      </c>
      <c r="M1181" s="596" t="s">
        <v>156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IF(OR(TH!L1181=TH!$U$7,M1181=TH!$U$7),"x","")</f>
        <v/>
      </c>
      <c r="V1181" s="52" t="str">
        <f>IF(AND(B1181&gt;='IN-NX'!$P$3,B1181&lt;='IN-NX'!$Q$3,'IN-NX'!$D$7=D1181,OR(LEFT(L1181,2)="15",AND(LEFT(M1181,2)&lt;&gt;"15",LEFT(M1181,2)&lt;&gt;"33"))),"x","")</f>
        <v/>
      </c>
      <c r="W1181" s="52" t="str">
        <f>IF(AND(OR(LEFT(TH!L1181,2)="15",LEFT(TH!M1181,2)="15"),'152-CT'!$J$8=TH!F1181),"x","")</f>
        <v/>
      </c>
      <c r="X1181" s="52" t="str">
        <f>IF(AND(OR(LEFT(TH!L1181,2)="15",LEFT(TH!M1181,2)="15"),TK!$E$7=TH!F1181),"x","")</f>
        <v/>
      </c>
      <c r="Y1181" s="52" t="str">
        <f>IF(AND(B1181&lt;=NKC!$N$8,B1181&gt;=NKC!$M$8),"x","")</f>
        <v/>
      </c>
    </row>
    <row r="1182" spans="1:25" s="208" customFormat="1" ht="15.75" customHeight="1">
      <c r="A1182" s="201" t="str">
        <f>IF(B1182&lt;&gt;"",IF(AND(B1182&gt;=_TM1,B1182&lt;=_TM2,OR(TH!L1182="1111",TH!M1182="1111")),TH!D1182,""),"")</f>
        <v/>
      </c>
      <c r="B1182" s="36">
        <f t="shared" si="57"/>
        <v>6</v>
      </c>
      <c r="C1182" s="188">
        <f t="shared" si="55"/>
        <v>41429</v>
      </c>
      <c r="D1182" s="188" t="s">
        <v>1260</v>
      </c>
      <c r="E1182" s="735">
        <v>41429</v>
      </c>
      <c r="F1182" s="186" t="s">
        <v>1214</v>
      </c>
      <c r="G1182" s="40" t="s">
        <v>809</v>
      </c>
      <c r="H1182" s="7" t="s">
        <v>1252</v>
      </c>
      <c r="I1182" s="249">
        <v>52</v>
      </c>
      <c r="J1182" s="249">
        <v>21023</v>
      </c>
      <c r="K1182" s="595">
        <f t="shared" si="56"/>
        <v>1093196</v>
      </c>
      <c r="L1182" s="39" t="s">
        <v>162</v>
      </c>
      <c r="M1182" s="596" t="s">
        <v>156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IF(OR(TH!L1182=TH!$U$7,M1182=TH!$U$7),"x","")</f>
        <v/>
      </c>
      <c r="V1182" s="52" t="str">
        <f>IF(AND(B1182&gt;='IN-NX'!$P$3,B1182&lt;='IN-NX'!$Q$3,'IN-NX'!$D$7=D1182,OR(LEFT(L1182,2)="15",AND(LEFT(M1182,2)&lt;&gt;"15",LEFT(M1182,2)&lt;&gt;"33"))),"x","")</f>
        <v/>
      </c>
      <c r="W1182" s="52" t="str">
        <f>IF(AND(OR(LEFT(TH!L1182,2)="15",LEFT(TH!M1182,2)="15"),'152-CT'!$J$8=TH!F1182),"x","")</f>
        <v/>
      </c>
      <c r="X1182" s="52" t="str">
        <f>IF(AND(OR(LEFT(TH!L1182,2)="15",LEFT(TH!M1182,2)="15"),TK!$E$7=TH!F1182),"x","")</f>
        <v/>
      </c>
      <c r="Y1182" s="52" t="str">
        <f>IF(AND(B1182&lt;=NKC!$N$8,B1182&gt;=NKC!$M$8),"x","")</f>
        <v/>
      </c>
    </row>
    <row r="1183" spans="1:25" s="208" customFormat="1" ht="15.75" customHeight="1">
      <c r="A1183" s="201" t="str">
        <f>IF(B1183&lt;&gt;"",IF(AND(B1183&gt;=_TM1,B1183&lt;=_TM2,OR(TH!L1183="1111",TH!M1183="1111")),TH!D1183,""),"")</f>
        <v/>
      </c>
      <c r="B1183" s="36">
        <f t="shared" si="57"/>
        <v>6</v>
      </c>
      <c r="C1183" s="188">
        <f t="shared" si="55"/>
        <v>41429</v>
      </c>
      <c r="D1183" s="188" t="s">
        <v>1260</v>
      </c>
      <c r="E1183" s="735">
        <v>41429</v>
      </c>
      <c r="F1183" s="40" t="s">
        <v>1209</v>
      </c>
      <c r="G1183" s="40" t="s">
        <v>809</v>
      </c>
      <c r="H1183" s="7" t="s">
        <v>1252</v>
      </c>
      <c r="I1183" s="249">
        <v>71</v>
      </c>
      <c r="J1183" s="249">
        <v>19910.059499050549</v>
      </c>
      <c r="K1183" s="595">
        <f t="shared" si="56"/>
        <v>1413614</v>
      </c>
      <c r="L1183" s="39" t="s">
        <v>162</v>
      </c>
      <c r="M1183" s="596" t="s">
        <v>156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IF(OR(TH!L1183=TH!$U$7,M1183=TH!$U$7),"x","")</f>
        <v/>
      </c>
      <c r="V1183" s="52" t="str">
        <f>IF(AND(B1183&gt;='IN-NX'!$P$3,B1183&lt;='IN-NX'!$Q$3,'IN-NX'!$D$7=D1183,OR(LEFT(L1183,2)="15",AND(LEFT(M1183,2)&lt;&gt;"15",LEFT(M1183,2)&lt;&gt;"33"))),"x","")</f>
        <v/>
      </c>
      <c r="W1183" s="52" t="str">
        <f>IF(AND(OR(LEFT(TH!L1183,2)="15",LEFT(TH!M1183,2)="15"),'152-CT'!$J$8=TH!F1183),"x","")</f>
        <v/>
      </c>
      <c r="X1183" s="52" t="str">
        <f>IF(AND(OR(LEFT(TH!L1183,2)="15",LEFT(TH!M1183,2)="15"),TK!$E$7=TH!F1183),"x","")</f>
        <v/>
      </c>
      <c r="Y1183" s="52" t="str">
        <f>IF(AND(B1183&lt;=NKC!$N$8,B1183&gt;=NKC!$M$8),"x","")</f>
        <v/>
      </c>
    </row>
    <row r="1184" spans="1:25" s="208" customFormat="1" ht="15.75" customHeight="1">
      <c r="A1184" s="201" t="str">
        <f>IF(B1184&lt;&gt;"",IF(AND(B1184&gt;=_TM1,B1184&lt;=_TM2,OR(TH!L1184="1111",TH!M1184="1111")),TH!D1184,""),"")</f>
        <v/>
      </c>
      <c r="B1184" s="36">
        <f t="shared" si="57"/>
        <v>6</v>
      </c>
      <c r="C1184" s="188">
        <f t="shared" si="55"/>
        <v>41429</v>
      </c>
      <c r="D1184" s="188" t="s">
        <v>1260</v>
      </c>
      <c r="E1184" s="735">
        <v>41429</v>
      </c>
      <c r="F1184" s="40" t="s">
        <v>1182</v>
      </c>
      <c r="G1184" s="40" t="s">
        <v>812</v>
      </c>
      <c r="H1184" s="7" t="s">
        <v>1252</v>
      </c>
      <c r="I1184" s="249">
        <v>100</v>
      </c>
      <c r="J1184" s="249">
        <v>12757</v>
      </c>
      <c r="K1184" s="595">
        <f t="shared" si="56"/>
        <v>1275700</v>
      </c>
      <c r="L1184" s="39" t="s">
        <v>162</v>
      </c>
      <c r="M1184" s="596" t="s">
        <v>156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IF(OR(TH!L1184=TH!$U$7,M1184=TH!$U$7),"x","")</f>
        <v/>
      </c>
      <c r="V1184" s="52" t="str">
        <f>IF(AND(B1184&gt;='IN-NX'!$P$3,B1184&lt;='IN-NX'!$Q$3,'IN-NX'!$D$7=D1184,OR(LEFT(L1184,2)="15",AND(LEFT(M1184,2)&lt;&gt;"15",LEFT(M1184,2)&lt;&gt;"33"))),"x","")</f>
        <v/>
      </c>
      <c r="W1184" s="52" t="str">
        <f>IF(AND(OR(LEFT(TH!L1184,2)="15",LEFT(TH!M1184,2)="15"),'152-CT'!$J$8=TH!F1184),"x","")</f>
        <v/>
      </c>
      <c r="X1184" s="52" t="str">
        <f>IF(AND(OR(LEFT(TH!L1184,2)="15",LEFT(TH!M1184,2)="15"),TK!$E$7=TH!F1184),"x","")</f>
        <v/>
      </c>
      <c r="Y1184" s="52" t="str">
        <f>IF(AND(B1184&lt;=NKC!$N$8,B1184&gt;=NKC!$M$8),"x","")</f>
        <v/>
      </c>
    </row>
    <row r="1185" spans="1:25" s="208" customFormat="1" ht="15.75" customHeight="1">
      <c r="A1185" s="201" t="str">
        <f>IF(B1185&lt;&gt;"",IF(AND(B1185&gt;=_TM1,B1185&lt;=_TM2,OR(TH!L1185="1111",TH!M1185="1111")),TH!D1185,""),"")</f>
        <v/>
      </c>
      <c r="B1185" s="36">
        <f t="shared" si="57"/>
        <v>6</v>
      </c>
      <c r="C1185" s="188">
        <f t="shared" si="55"/>
        <v>41429</v>
      </c>
      <c r="D1185" s="188" t="s">
        <v>1260</v>
      </c>
      <c r="E1185" s="735">
        <v>41429</v>
      </c>
      <c r="F1185" s="186" t="s">
        <v>1247</v>
      </c>
      <c r="G1185" s="40" t="s">
        <v>812</v>
      </c>
      <c r="H1185" s="7" t="s">
        <v>1252</v>
      </c>
      <c r="I1185" s="249">
        <v>120</v>
      </c>
      <c r="J1185" s="249">
        <v>14061</v>
      </c>
      <c r="K1185" s="595">
        <f t="shared" si="56"/>
        <v>1687320</v>
      </c>
      <c r="L1185" s="39" t="s">
        <v>162</v>
      </c>
      <c r="M1185" s="596" t="s">
        <v>156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IF(OR(TH!L1185=TH!$U$7,M1185=TH!$U$7),"x","")</f>
        <v/>
      </c>
      <c r="V1185" s="52" t="str">
        <f>IF(AND(B1185&gt;='IN-NX'!$P$3,B1185&lt;='IN-NX'!$Q$3,'IN-NX'!$D$7=D1185,OR(LEFT(L1185,2)="15",AND(LEFT(M1185,2)&lt;&gt;"15",LEFT(M1185,2)&lt;&gt;"33"))),"x","")</f>
        <v/>
      </c>
      <c r="W1185" s="52" t="str">
        <f>IF(AND(OR(LEFT(TH!L1185,2)="15",LEFT(TH!M1185,2)="15"),'152-CT'!$J$8=TH!F1185),"x","")</f>
        <v/>
      </c>
      <c r="X1185" s="52" t="str">
        <f>IF(AND(OR(LEFT(TH!L1185,2)="15",LEFT(TH!M1185,2)="15"),TK!$E$7=TH!F1185),"x","")</f>
        <v/>
      </c>
      <c r="Y1185" s="52" t="str">
        <f>IF(AND(B1185&lt;=NKC!$N$8,B1185&gt;=NKC!$M$8),"x","")</f>
        <v/>
      </c>
    </row>
    <row r="1186" spans="1:25" s="208" customFormat="1" ht="15.75" customHeight="1">
      <c r="A1186" s="201" t="str">
        <f>IF(B1186&lt;&gt;"",IF(AND(B1186&gt;=_TM1,B1186&lt;=_TM2,OR(TH!L1186="1111",TH!M1186="1111")),TH!D1186,""),"")</f>
        <v/>
      </c>
      <c r="B1186" s="36">
        <f t="shared" si="57"/>
        <v>6</v>
      </c>
      <c r="C1186" s="188">
        <f t="shared" si="55"/>
        <v>41429</v>
      </c>
      <c r="D1186" s="188" t="s">
        <v>1260</v>
      </c>
      <c r="E1186" s="735">
        <v>41429</v>
      </c>
      <c r="F1186" s="186" t="s">
        <v>1194</v>
      </c>
      <c r="G1186" s="40" t="s">
        <v>812</v>
      </c>
      <c r="H1186" s="7" t="s">
        <v>1252</v>
      </c>
      <c r="I1186" s="249">
        <v>74</v>
      </c>
      <c r="J1186" s="249">
        <v>13971</v>
      </c>
      <c r="K1186" s="595">
        <f t="shared" si="56"/>
        <v>1033854</v>
      </c>
      <c r="L1186" s="39" t="s">
        <v>162</v>
      </c>
      <c r="M1186" s="596" t="s">
        <v>156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IF(OR(TH!L1186=TH!$U$7,M1186=TH!$U$7),"x","")</f>
        <v/>
      </c>
      <c r="V1186" s="52" t="str">
        <f>IF(AND(B1186&gt;='IN-NX'!$P$3,B1186&lt;='IN-NX'!$Q$3,'IN-NX'!$D$7=D1186,OR(LEFT(L1186,2)="15",AND(LEFT(M1186,2)&lt;&gt;"15",LEFT(M1186,2)&lt;&gt;"33"))),"x","")</f>
        <v/>
      </c>
      <c r="W1186" s="52" t="str">
        <f>IF(AND(OR(LEFT(TH!L1186,2)="15",LEFT(TH!M1186,2)="15"),'152-CT'!$J$8=TH!F1186),"x","")</f>
        <v/>
      </c>
      <c r="X1186" s="52" t="str">
        <f>IF(AND(OR(LEFT(TH!L1186,2)="15",LEFT(TH!M1186,2)="15"),TK!$E$7=TH!F1186),"x","")</f>
        <v/>
      </c>
      <c r="Y1186" s="52" t="str">
        <f>IF(AND(B1186&lt;=NKC!$N$8,B1186&gt;=NKC!$M$8),"x","")</f>
        <v/>
      </c>
    </row>
    <row r="1187" spans="1:25" s="208" customFormat="1" ht="15.75" customHeight="1">
      <c r="A1187" s="201" t="str">
        <f>IF(B1187&lt;&gt;"",IF(AND(B1187&gt;=_TM1,B1187&lt;=_TM2,OR(TH!L1187="1111",TH!M1187="1111")),TH!D1187,""),"")</f>
        <v/>
      </c>
      <c r="B1187" s="36">
        <f t="shared" si="57"/>
        <v>6</v>
      </c>
      <c r="C1187" s="188">
        <f t="shared" si="55"/>
        <v>41429</v>
      </c>
      <c r="D1187" s="188" t="s">
        <v>1260</v>
      </c>
      <c r="E1187" s="735">
        <v>41429</v>
      </c>
      <c r="F1187" s="186" t="s">
        <v>1223</v>
      </c>
      <c r="G1187" s="40" t="s">
        <v>812</v>
      </c>
      <c r="H1187" s="7" t="s">
        <v>1252</v>
      </c>
      <c r="I1187" s="249">
        <v>104</v>
      </c>
      <c r="J1187" s="249">
        <v>19759</v>
      </c>
      <c r="K1187" s="595">
        <f t="shared" si="56"/>
        <v>2054936</v>
      </c>
      <c r="L1187" s="39" t="s">
        <v>162</v>
      </c>
      <c r="M1187" s="596" t="s">
        <v>156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IF(OR(TH!L1187=TH!$U$7,M1187=TH!$U$7),"x","")</f>
        <v/>
      </c>
      <c r="V1187" s="52" t="str">
        <f>IF(AND(B1187&gt;='IN-NX'!$P$3,B1187&lt;='IN-NX'!$Q$3,'IN-NX'!$D$7=D1187,OR(LEFT(L1187,2)="15",AND(LEFT(M1187,2)&lt;&gt;"15",LEFT(M1187,2)&lt;&gt;"33"))),"x","")</f>
        <v/>
      </c>
      <c r="W1187" s="52" t="str">
        <f>IF(AND(OR(LEFT(TH!L1187,2)="15",LEFT(TH!M1187,2)="15"),'152-CT'!$J$8=TH!F1187),"x","")</f>
        <v/>
      </c>
      <c r="X1187" s="52" t="str">
        <f>IF(AND(OR(LEFT(TH!L1187,2)="15",LEFT(TH!M1187,2)="15"),TK!$E$7=TH!F1187),"x","")</f>
        <v/>
      </c>
      <c r="Y1187" s="52" t="str">
        <f>IF(AND(B1187&lt;=NKC!$N$8,B1187&gt;=NKC!$M$8),"x","")</f>
        <v/>
      </c>
    </row>
    <row r="1188" spans="1:25" s="208" customFormat="1" ht="15.75" customHeight="1">
      <c r="A1188" s="201" t="str">
        <f>IF(B1188&lt;&gt;"",IF(AND(B1188&gt;=_TM1,B1188&lt;=_TM2,OR(TH!L1188="1111",TH!M1188="1111")),TH!D1188,""),"")</f>
        <v/>
      </c>
      <c r="B1188" s="36">
        <f t="shared" si="57"/>
        <v>6</v>
      </c>
      <c r="C1188" s="188">
        <f t="shared" si="55"/>
        <v>41432</v>
      </c>
      <c r="D1188" s="188" t="s">
        <v>1260</v>
      </c>
      <c r="E1188" s="37">
        <v>41432</v>
      </c>
      <c r="F1188" s="40" t="s">
        <v>1189</v>
      </c>
      <c r="G1188" s="40" t="s">
        <v>815</v>
      </c>
      <c r="H1188" s="7" t="s">
        <v>1252</v>
      </c>
      <c r="I1188" s="249">
        <v>204</v>
      </c>
      <c r="J1188" s="249">
        <v>17574</v>
      </c>
      <c r="K1188" s="595">
        <f t="shared" si="56"/>
        <v>3585096</v>
      </c>
      <c r="L1188" s="39" t="s">
        <v>162</v>
      </c>
      <c r="M1188" s="596" t="s">
        <v>156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IF(OR(TH!L1188=TH!$U$7,M1188=TH!$U$7),"x","")</f>
        <v/>
      </c>
      <c r="V1188" s="52" t="str">
        <f>IF(AND(B1188&gt;='IN-NX'!$P$3,B1188&lt;='IN-NX'!$Q$3,'IN-NX'!$D$7=D1188,OR(LEFT(L1188,2)="15",AND(LEFT(M1188,2)&lt;&gt;"15",LEFT(M1188,2)&lt;&gt;"33"))),"x","")</f>
        <v/>
      </c>
      <c r="W1188" s="52" t="str">
        <f>IF(AND(OR(LEFT(TH!L1188,2)="15",LEFT(TH!M1188,2)="15"),'152-CT'!$J$8=TH!F1188),"x","")</f>
        <v/>
      </c>
      <c r="X1188" s="52" t="str">
        <f>IF(AND(OR(LEFT(TH!L1188,2)="15",LEFT(TH!M1188,2)="15"),TK!$E$7=TH!F1188),"x","")</f>
        <v/>
      </c>
      <c r="Y1188" s="52" t="str">
        <f>IF(AND(B1188&lt;=NKC!$N$8,B1188&gt;=NKC!$M$8),"x","")</f>
        <v/>
      </c>
    </row>
    <row r="1189" spans="1:25" s="208" customFormat="1" ht="15.75" customHeight="1">
      <c r="A1189" s="201" t="str">
        <f>IF(B1189&lt;&gt;"",IF(AND(B1189&gt;=_TM1,B1189&lt;=_TM2,OR(TH!L1189="1111",TH!M1189="1111")),TH!D1189,""),"")</f>
        <v/>
      </c>
      <c r="B1189" s="36">
        <f t="shared" si="57"/>
        <v>6</v>
      </c>
      <c r="C1189" s="188">
        <f t="shared" si="55"/>
        <v>41433</v>
      </c>
      <c r="D1189" s="188" t="s">
        <v>1260</v>
      </c>
      <c r="E1189" s="37">
        <v>41433</v>
      </c>
      <c r="F1189" s="40" t="s">
        <v>1240</v>
      </c>
      <c r="G1189" s="40" t="s">
        <v>817</v>
      </c>
      <c r="H1189" s="7" t="s">
        <v>1252</v>
      </c>
      <c r="I1189" s="249">
        <v>100</v>
      </c>
      <c r="J1189" s="249">
        <v>5783</v>
      </c>
      <c r="K1189" s="595">
        <f t="shared" si="56"/>
        <v>578300</v>
      </c>
      <c r="L1189" s="39" t="s">
        <v>162</v>
      </c>
      <c r="M1189" s="596" t="s">
        <v>156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IF(OR(TH!L1189=TH!$U$7,M1189=TH!$U$7),"x","")</f>
        <v/>
      </c>
      <c r="V1189" s="52" t="str">
        <f>IF(AND(B1189&gt;='IN-NX'!$P$3,B1189&lt;='IN-NX'!$Q$3,'IN-NX'!$D$7=D1189,OR(LEFT(L1189,2)="15",AND(LEFT(M1189,2)&lt;&gt;"15",LEFT(M1189,2)&lt;&gt;"33"))),"x","")</f>
        <v/>
      </c>
      <c r="W1189" s="52" t="str">
        <f>IF(AND(OR(LEFT(TH!L1189,2)="15",LEFT(TH!M1189,2)="15"),'152-CT'!$J$8=TH!F1189),"x","")</f>
        <v/>
      </c>
      <c r="X1189" s="52" t="str">
        <f>IF(AND(OR(LEFT(TH!L1189,2)="15",LEFT(TH!M1189,2)="15"),TK!$E$7=TH!F1189),"x","")</f>
        <v/>
      </c>
      <c r="Y1189" s="52" t="str">
        <f>IF(AND(B1189&lt;=NKC!$N$8,B1189&gt;=NKC!$M$8),"x","")</f>
        <v/>
      </c>
    </row>
    <row r="1190" spans="1:25" s="208" customFormat="1" ht="15.75" customHeight="1">
      <c r="A1190" s="201" t="str">
        <f>IF(B1190&lt;&gt;"",IF(AND(B1190&gt;=_TM1,B1190&lt;=_TM2,OR(TH!L1190="1111",TH!M1190="1111")),TH!D1190,""),"")</f>
        <v/>
      </c>
      <c r="B1190" s="36">
        <f t="shared" si="57"/>
        <v>6</v>
      </c>
      <c r="C1190" s="188">
        <f t="shared" si="55"/>
        <v>41433</v>
      </c>
      <c r="D1190" s="188" t="s">
        <v>1260</v>
      </c>
      <c r="E1190" s="37">
        <v>41433</v>
      </c>
      <c r="F1190" s="40" t="s">
        <v>1207</v>
      </c>
      <c r="G1190" s="40" t="s">
        <v>819</v>
      </c>
      <c r="H1190" s="7" t="s">
        <v>1252</v>
      </c>
      <c r="I1190" s="249">
        <v>222</v>
      </c>
      <c r="J1190" s="249">
        <v>13619</v>
      </c>
      <c r="K1190" s="595">
        <f t="shared" si="56"/>
        <v>3023418</v>
      </c>
      <c r="L1190" s="39" t="s">
        <v>162</v>
      </c>
      <c r="M1190" s="596" t="s">
        <v>156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IF(OR(TH!L1190=TH!$U$7,M1190=TH!$U$7),"x","")</f>
        <v/>
      </c>
      <c r="V1190" s="52" t="str">
        <f>IF(AND(B1190&gt;='IN-NX'!$P$3,B1190&lt;='IN-NX'!$Q$3,'IN-NX'!$D$7=D1190,OR(LEFT(L1190,2)="15",AND(LEFT(M1190,2)&lt;&gt;"15",LEFT(M1190,2)&lt;&gt;"33"))),"x","")</f>
        <v/>
      </c>
      <c r="W1190" s="52" t="str">
        <f>IF(AND(OR(LEFT(TH!L1190,2)="15",LEFT(TH!M1190,2)="15"),'152-CT'!$J$8=TH!F1190),"x","")</f>
        <v/>
      </c>
      <c r="X1190" s="52" t="str">
        <f>IF(AND(OR(LEFT(TH!L1190,2)="15",LEFT(TH!M1190,2)="15"),TK!$E$7=TH!F1190),"x","")</f>
        <v/>
      </c>
      <c r="Y1190" s="52" t="str">
        <f>IF(AND(B1190&lt;=NKC!$N$8,B1190&gt;=NKC!$M$8),"x","")</f>
        <v/>
      </c>
    </row>
    <row r="1191" spans="1:25" s="208" customFormat="1" ht="15.75" customHeight="1">
      <c r="A1191" s="201" t="str">
        <f>IF(B1191&lt;&gt;"",IF(AND(B1191&gt;=_TM1,B1191&lt;=_TM2,OR(TH!L1191="1111",TH!M1191="1111")),TH!D1191,""),"")</f>
        <v/>
      </c>
      <c r="B1191" s="36">
        <f t="shared" si="57"/>
        <v>6</v>
      </c>
      <c r="C1191" s="188">
        <f t="shared" si="55"/>
        <v>41440</v>
      </c>
      <c r="D1191" s="188" t="s">
        <v>1260</v>
      </c>
      <c r="E1191" s="37">
        <v>41440</v>
      </c>
      <c r="F1191" s="40" t="s">
        <v>1215</v>
      </c>
      <c r="G1191" s="40" t="s">
        <v>821</v>
      </c>
      <c r="H1191" s="7" t="s">
        <v>1252</v>
      </c>
      <c r="I1191" s="249">
        <v>247</v>
      </c>
      <c r="J1191" s="249">
        <v>32321.481412639405</v>
      </c>
      <c r="K1191" s="595">
        <f t="shared" si="56"/>
        <v>7983406</v>
      </c>
      <c r="L1191" s="39" t="s">
        <v>162</v>
      </c>
      <c r="M1191" s="596" t="s">
        <v>156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IF(OR(TH!L1191=TH!$U$7,M1191=TH!$U$7),"x","")</f>
        <v/>
      </c>
      <c r="V1191" s="52" t="str">
        <f>IF(AND(B1191&gt;='IN-NX'!$P$3,B1191&lt;='IN-NX'!$Q$3,'IN-NX'!$D$7=D1191,OR(LEFT(L1191,2)="15",AND(LEFT(M1191,2)&lt;&gt;"15",LEFT(M1191,2)&lt;&gt;"33"))),"x","")</f>
        <v/>
      </c>
      <c r="W1191" s="52" t="str">
        <f>IF(AND(OR(LEFT(TH!L1191,2)="15",LEFT(TH!M1191,2)="15"),'152-CT'!$J$8=TH!F1191),"x","")</f>
        <v/>
      </c>
      <c r="X1191" s="52" t="str">
        <f>IF(AND(OR(LEFT(TH!L1191,2)="15",LEFT(TH!M1191,2)="15"),TK!$E$7=TH!F1191),"x","")</f>
        <v/>
      </c>
      <c r="Y1191" s="52" t="str">
        <f>IF(AND(B1191&lt;=NKC!$N$8,B1191&gt;=NKC!$M$8),"x","")</f>
        <v/>
      </c>
    </row>
    <row r="1192" spans="1:25" s="208" customFormat="1" ht="15.75" customHeight="1">
      <c r="A1192" s="201" t="str">
        <f>IF(B1192&lt;&gt;"",IF(AND(B1192&gt;=_TM1,B1192&lt;=_TM2,OR(TH!L1192="1111",TH!M1192="1111")),TH!D1192,""),"")</f>
        <v/>
      </c>
      <c r="B1192" s="36">
        <f t="shared" si="57"/>
        <v>6</v>
      </c>
      <c r="C1192" s="188">
        <f t="shared" si="55"/>
        <v>41441</v>
      </c>
      <c r="D1192" s="188" t="s">
        <v>1260</v>
      </c>
      <c r="E1192" s="37">
        <v>41441</v>
      </c>
      <c r="F1192" s="40" t="s">
        <v>1220</v>
      </c>
      <c r="G1192" s="40" t="s">
        <v>822</v>
      </c>
      <c r="H1192" s="7" t="s">
        <v>1252</v>
      </c>
      <c r="I1192" s="249">
        <v>402</v>
      </c>
      <c r="J1192" s="249">
        <v>23149</v>
      </c>
      <c r="K1192" s="595">
        <f t="shared" si="56"/>
        <v>9305898</v>
      </c>
      <c r="L1192" s="39" t="s">
        <v>162</v>
      </c>
      <c r="M1192" s="596" t="s">
        <v>156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IF(OR(TH!L1192=TH!$U$7,M1192=TH!$U$7),"x","")</f>
        <v/>
      </c>
      <c r="V1192" s="52" t="str">
        <f>IF(AND(B1192&gt;='IN-NX'!$P$3,B1192&lt;='IN-NX'!$Q$3,'IN-NX'!$D$7=D1192,OR(LEFT(L1192,2)="15",AND(LEFT(M1192,2)&lt;&gt;"15",LEFT(M1192,2)&lt;&gt;"33"))),"x","")</f>
        <v/>
      </c>
      <c r="W1192" s="52" t="str">
        <f>IF(AND(OR(LEFT(TH!L1192,2)="15",LEFT(TH!M1192,2)="15"),'152-CT'!$J$8=TH!F1192),"x","")</f>
        <v/>
      </c>
      <c r="X1192" s="52" t="str">
        <f>IF(AND(OR(LEFT(TH!L1192,2)="15",LEFT(TH!M1192,2)="15"),TK!$E$7=TH!F1192),"x","")</f>
        <v/>
      </c>
      <c r="Y1192" s="52" t="str">
        <f>IF(AND(B1192&lt;=NKC!$N$8,B1192&gt;=NKC!$M$8),"x","")</f>
        <v/>
      </c>
    </row>
    <row r="1193" spans="1:25" s="208" customFormat="1" ht="15.75" customHeight="1">
      <c r="A1193" s="201" t="str">
        <f>IF(B1193&lt;&gt;"",IF(AND(B1193&gt;=_TM1,B1193&lt;=_TM2,OR(TH!L1193="1111",TH!M1193="1111")),TH!D1193,""),"")</f>
        <v/>
      </c>
      <c r="B1193" s="36">
        <f t="shared" si="57"/>
        <v>6</v>
      </c>
      <c r="C1193" s="188">
        <f t="shared" si="55"/>
        <v>41442</v>
      </c>
      <c r="D1193" s="188" t="s">
        <v>1260</v>
      </c>
      <c r="E1193" s="37">
        <v>41442</v>
      </c>
      <c r="F1193" s="189" t="s">
        <v>1215</v>
      </c>
      <c r="G1193" s="40" t="s">
        <v>823</v>
      </c>
      <c r="H1193" s="7" t="s">
        <v>1252</v>
      </c>
      <c r="I1193" s="249">
        <v>248</v>
      </c>
      <c r="J1193" s="249">
        <v>32321.481412639405</v>
      </c>
      <c r="K1193" s="595">
        <f t="shared" si="56"/>
        <v>8015727</v>
      </c>
      <c r="L1193" s="39" t="s">
        <v>162</v>
      </c>
      <c r="M1193" s="596" t="s">
        <v>156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IF(OR(TH!L1193=TH!$U$7,M1193=TH!$U$7),"x","")</f>
        <v/>
      </c>
      <c r="V1193" s="52" t="str">
        <f>IF(AND(B1193&gt;='IN-NX'!$P$3,B1193&lt;='IN-NX'!$Q$3,'IN-NX'!$D$7=D1193,OR(LEFT(L1193,2)="15",AND(LEFT(M1193,2)&lt;&gt;"15",LEFT(M1193,2)&lt;&gt;"33"))),"x","")</f>
        <v/>
      </c>
      <c r="W1193" s="52" t="str">
        <f>IF(AND(OR(LEFT(TH!L1193,2)="15",LEFT(TH!M1193,2)="15"),'152-CT'!$J$8=TH!F1193),"x","")</f>
        <v/>
      </c>
      <c r="X1193" s="52" t="str">
        <f>IF(AND(OR(LEFT(TH!L1193,2)="15",LEFT(TH!M1193,2)="15"),TK!$E$7=TH!F1193),"x","")</f>
        <v/>
      </c>
      <c r="Y1193" s="52" t="str">
        <f>IF(AND(B1193&lt;=NKC!$N$8,B1193&gt;=NKC!$M$8),"x","")</f>
        <v/>
      </c>
    </row>
    <row r="1194" spans="1:25" s="208" customFormat="1" ht="15.75" customHeight="1">
      <c r="A1194" s="201" t="str">
        <f>IF(B1194&lt;&gt;"",IF(AND(B1194&gt;=_TM1,B1194&lt;=_TM2,OR(TH!L1194="1111",TH!M1194="1111")),TH!D1194,""),"")</f>
        <v/>
      </c>
      <c r="B1194" s="36">
        <f t="shared" si="57"/>
        <v>6</v>
      </c>
      <c r="C1194" s="188">
        <f t="shared" si="55"/>
        <v>41442</v>
      </c>
      <c r="D1194" s="188" t="s">
        <v>1260</v>
      </c>
      <c r="E1194" s="37">
        <v>41442</v>
      </c>
      <c r="F1194" s="189" t="s">
        <v>1189</v>
      </c>
      <c r="G1194" s="40" t="s">
        <v>823</v>
      </c>
      <c r="H1194" s="7" t="s">
        <v>1252</v>
      </c>
      <c r="I1194" s="249">
        <v>46</v>
      </c>
      <c r="J1194" s="249">
        <v>17574</v>
      </c>
      <c r="K1194" s="595">
        <f t="shared" si="56"/>
        <v>808404</v>
      </c>
      <c r="L1194" s="39" t="s">
        <v>162</v>
      </c>
      <c r="M1194" s="596" t="s">
        <v>156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IF(OR(TH!L1194=TH!$U$7,M1194=TH!$U$7),"x","")</f>
        <v/>
      </c>
      <c r="V1194" s="52" t="str">
        <f>IF(AND(B1194&gt;='IN-NX'!$P$3,B1194&lt;='IN-NX'!$Q$3,'IN-NX'!$D$7=D1194,OR(LEFT(L1194,2)="15",AND(LEFT(M1194,2)&lt;&gt;"15",LEFT(M1194,2)&lt;&gt;"33"))),"x","")</f>
        <v/>
      </c>
      <c r="W1194" s="52" t="str">
        <f>IF(AND(OR(LEFT(TH!L1194,2)="15",LEFT(TH!M1194,2)="15"),'152-CT'!$J$8=TH!F1194),"x","")</f>
        <v/>
      </c>
      <c r="X1194" s="52" t="str">
        <f>IF(AND(OR(LEFT(TH!L1194,2)="15",LEFT(TH!M1194,2)="15"),TK!$E$7=TH!F1194),"x","")</f>
        <v/>
      </c>
      <c r="Y1194" s="52" t="str">
        <f>IF(AND(B1194&lt;=NKC!$N$8,B1194&gt;=NKC!$M$8),"x","")</f>
        <v/>
      </c>
    </row>
    <row r="1195" spans="1:25" s="208" customFormat="1" ht="15.75" customHeight="1">
      <c r="A1195" s="201" t="str">
        <f>IF(B1195&lt;&gt;"",IF(AND(B1195&gt;=_TM1,B1195&lt;=_TM2,OR(TH!L1195="1111",TH!M1195="1111")),TH!D1195,""),"")</f>
        <v/>
      </c>
      <c r="B1195" s="36">
        <f t="shared" si="57"/>
        <v>6</v>
      </c>
      <c r="C1195" s="188">
        <f t="shared" si="55"/>
        <v>41442</v>
      </c>
      <c r="D1195" s="188" t="s">
        <v>1260</v>
      </c>
      <c r="E1195" s="37">
        <v>41442</v>
      </c>
      <c r="F1195" s="189" t="s">
        <v>1150</v>
      </c>
      <c r="G1195" s="40" t="s">
        <v>824</v>
      </c>
      <c r="H1195" s="7" t="s">
        <v>1252</v>
      </c>
      <c r="I1195" s="249">
        <v>120</v>
      </c>
      <c r="J1195" s="249">
        <v>10287</v>
      </c>
      <c r="K1195" s="595">
        <f t="shared" si="56"/>
        <v>1234440</v>
      </c>
      <c r="L1195" s="39" t="s">
        <v>162</v>
      </c>
      <c r="M1195" s="596" t="s">
        <v>156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IF(OR(TH!L1195=TH!$U$7,M1195=TH!$U$7),"x","")</f>
        <v/>
      </c>
      <c r="V1195" s="52" t="str">
        <f>IF(AND(B1195&gt;='IN-NX'!$P$3,B1195&lt;='IN-NX'!$Q$3,'IN-NX'!$D$7=D1195,OR(LEFT(L1195,2)="15",AND(LEFT(M1195,2)&lt;&gt;"15",LEFT(M1195,2)&lt;&gt;"33"))),"x","")</f>
        <v/>
      </c>
      <c r="W1195" s="52" t="str">
        <f>IF(AND(OR(LEFT(TH!L1195,2)="15",LEFT(TH!M1195,2)="15"),'152-CT'!$J$8=TH!F1195),"x","")</f>
        <v/>
      </c>
      <c r="X1195" s="52" t="str">
        <f>IF(AND(OR(LEFT(TH!L1195,2)="15",LEFT(TH!M1195,2)="15"),TK!$E$7=TH!F1195),"x","")</f>
        <v/>
      </c>
      <c r="Y1195" s="52" t="str">
        <f>IF(AND(B1195&lt;=NKC!$N$8,B1195&gt;=NKC!$M$8),"x","")</f>
        <v/>
      </c>
    </row>
    <row r="1196" spans="1:25" s="208" customFormat="1" ht="15.75" customHeight="1">
      <c r="A1196" s="201" t="str">
        <f>IF(B1196&lt;&gt;"",IF(AND(B1196&gt;=_TM1,B1196&lt;=_TM2,OR(TH!L1196="1111",TH!M1196="1111")),TH!D1196,""),"")</f>
        <v/>
      </c>
      <c r="B1196" s="36">
        <f t="shared" si="57"/>
        <v>6</v>
      </c>
      <c r="C1196" s="188">
        <f t="shared" si="55"/>
        <v>41442</v>
      </c>
      <c r="D1196" s="188" t="s">
        <v>1260</v>
      </c>
      <c r="E1196" s="37">
        <v>41442</v>
      </c>
      <c r="F1196" s="40" t="s">
        <v>1159</v>
      </c>
      <c r="G1196" s="40" t="s">
        <v>824</v>
      </c>
      <c r="H1196" s="7" t="s">
        <v>1252</v>
      </c>
      <c r="I1196" s="249">
        <v>200</v>
      </c>
      <c r="J1196" s="249">
        <v>12563</v>
      </c>
      <c r="K1196" s="595">
        <f t="shared" si="56"/>
        <v>2512600</v>
      </c>
      <c r="L1196" s="39" t="s">
        <v>162</v>
      </c>
      <c r="M1196" s="596" t="s">
        <v>156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IF(OR(TH!L1196=TH!$U$7,M1196=TH!$U$7),"x","")</f>
        <v/>
      </c>
      <c r="V1196" s="52" t="str">
        <f>IF(AND(B1196&gt;='IN-NX'!$P$3,B1196&lt;='IN-NX'!$Q$3,'IN-NX'!$D$7=D1196,OR(LEFT(L1196,2)="15",AND(LEFT(M1196,2)&lt;&gt;"15",LEFT(M1196,2)&lt;&gt;"33"))),"x","")</f>
        <v/>
      </c>
      <c r="W1196" s="52" t="str">
        <f>IF(AND(OR(LEFT(TH!L1196,2)="15",LEFT(TH!M1196,2)="15"),'152-CT'!$J$8=TH!F1196),"x","")</f>
        <v/>
      </c>
      <c r="X1196" s="52" t="str">
        <f>IF(AND(OR(LEFT(TH!L1196,2)="15",LEFT(TH!M1196,2)="15"),TK!$E$7=TH!F1196),"x","")</f>
        <v/>
      </c>
      <c r="Y1196" s="52" t="str">
        <f>IF(AND(B1196&lt;=NKC!$N$8,B1196&gt;=NKC!$M$8),"x","")</f>
        <v/>
      </c>
    </row>
    <row r="1197" spans="1:25" s="208" customFormat="1" ht="15.75" customHeight="1">
      <c r="A1197" s="201" t="str">
        <f>IF(B1197&lt;&gt;"",IF(AND(B1197&gt;=_TM1,B1197&lt;=_TM2,OR(TH!L1197="1111",TH!M1197="1111")),TH!D1197,""),"")</f>
        <v/>
      </c>
      <c r="B1197" s="36">
        <f t="shared" si="57"/>
        <v>6</v>
      </c>
      <c r="C1197" s="188">
        <f t="shared" si="55"/>
        <v>41442</v>
      </c>
      <c r="D1197" s="188" t="s">
        <v>1260</v>
      </c>
      <c r="E1197" s="37">
        <v>41442</v>
      </c>
      <c r="F1197" s="40" t="s">
        <v>1222</v>
      </c>
      <c r="G1197" s="40" t="s">
        <v>825</v>
      </c>
      <c r="H1197" s="7" t="s">
        <v>1252</v>
      </c>
      <c r="I1197" s="249">
        <v>112</v>
      </c>
      <c r="J1197" s="249">
        <v>18818</v>
      </c>
      <c r="K1197" s="595">
        <f t="shared" si="56"/>
        <v>2107616</v>
      </c>
      <c r="L1197" s="39" t="s">
        <v>162</v>
      </c>
      <c r="M1197" s="596" t="s">
        <v>156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IF(OR(TH!L1197=TH!$U$7,M1197=TH!$U$7),"x","")</f>
        <v/>
      </c>
      <c r="V1197" s="52" t="str">
        <f>IF(AND(B1197&gt;='IN-NX'!$P$3,B1197&lt;='IN-NX'!$Q$3,'IN-NX'!$D$7=D1197,OR(LEFT(L1197,2)="15",AND(LEFT(M1197,2)&lt;&gt;"15",LEFT(M1197,2)&lt;&gt;"33"))),"x","")</f>
        <v/>
      </c>
      <c r="W1197" s="52" t="str">
        <f>IF(AND(OR(LEFT(TH!L1197,2)="15",LEFT(TH!M1197,2)="15"),'152-CT'!$J$8=TH!F1197),"x","")</f>
        <v/>
      </c>
      <c r="X1197" s="52" t="str">
        <f>IF(AND(OR(LEFT(TH!L1197,2)="15",LEFT(TH!M1197,2)="15"),TK!$E$7=TH!F1197),"x","")</f>
        <v/>
      </c>
      <c r="Y1197" s="52" t="str">
        <f>IF(AND(B1197&lt;=NKC!$N$8,B1197&gt;=NKC!$M$8),"x","")</f>
        <v/>
      </c>
    </row>
    <row r="1198" spans="1:25" s="208" customFormat="1" ht="15.75" customHeight="1">
      <c r="A1198" s="201" t="str">
        <f>IF(B1198&lt;&gt;"",IF(AND(B1198&gt;=_TM1,B1198&lt;=_TM2,OR(TH!L1198="1111",TH!M1198="1111")),TH!D1198,""),"")</f>
        <v/>
      </c>
      <c r="B1198" s="36">
        <f t="shared" si="57"/>
        <v>6</v>
      </c>
      <c r="C1198" s="188">
        <f t="shared" si="55"/>
        <v>41442</v>
      </c>
      <c r="D1198" s="188" t="s">
        <v>1260</v>
      </c>
      <c r="E1198" s="37">
        <v>41442</v>
      </c>
      <c r="F1198" s="40" t="s">
        <v>1239</v>
      </c>
      <c r="G1198" s="40" t="s">
        <v>825</v>
      </c>
      <c r="H1198" s="7" t="s">
        <v>1252</v>
      </c>
      <c r="I1198" s="249">
        <v>52</v>
      </c>
      <c r="J1198" s="249">
        <v>22853</v>
      </c>
      <c r="K1198" s="595">
        <f t="shared" si="56"/>
        <v>1188356</v>
      </c>
      <c r="L1198" s="39" t="s">
        <v>162</v>
      </c>
      <c r="M1198" s="596" t="s">
        <v>156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IF(OR(TH!L1198=TH!$U$7,M1198=TH!$U$7),"x","")</f>
        <v/>
      </c>
      <c r="V1198" s="52" t="str">
        <f>IF(AND(B1198&gt;='IN-NX'!$P$3,B1198&lt;='IN-NX'!$Q$3,'IN-NX'!$D$7=D1198,OR(LEFT(L1198,2)="15",AND(LEFT(M1198,2)&lt;&gt;"15",LEFT(M1198,2)&lt;&gt;"33"))),"x","")</f>
        <v/>
      </c>
      <c r="W1198" s="52" t="str">
        <f>IF(AND(OR(LEFT(TH!L1198,2)="15",LEFT(TH!M1198,2)="15"),'152-CT'!$J$8=TH!F1198),"x","")</f>
        <v/>
      </c>
      <c r="X1198" s="52" t="str">
        <f>IF(AND(OR(LEFT(TH!L1198,2)="15",LEFT(TH!M1198,2)="15"),TK!$E$7=TH!F1198),"x","")</f>
        <v/>
      </c>
      <c r="Y1198" s="52" t="str">
        <f>IF(AND(B1198&lt;=NKC!$N$8,B1198&gt;=NKC!$M$8),"x","")</f>
        <v/>
      </c>
    </row>
    <row r="1199" spans="1:25" s="208" customFormat="1" ht="15.75" customHeight="1">
      <c r="A1199" s="201" t="str">
        <f>IF(B1199&lt;&gt;"",IF(AND(B1199&gt;=_TM1,B1199&lt;=_TM2,OR(TH!L1199="1111",TH!M1199="1111")),TH!D1199,""),"")</f>
        <v/>
      </c>
      <c r="B1199" s="36">
        <f t="shared" si="57"/>
        <v>6</v>
      </c>
      <c r="C1199" s="188">
        <f t="shared" si="55"/>
        <v>41442</v>
      </c>
      <c r="D1199" s="188" t="s">
        <v>1260</v>
      </c>
      <c r="E1199" s="37">
        <v>41442</v>
      </c>
      <c r="F1199" s="40" t="s">
        <v>1155</v>
      </c>
      <c r="G1199" s="40" t="s">
        <v>825</v>
      </c>
      <c r="H1199" s="7" t="s">
        <v>1252</v>
      </c>
      <c r="I1199" s="249">
        <v>150</v>
      </c>
      <c r="J1199" s="249">
        <v>14094</v>
      </c>
      <c r="K1199" s="595">
        <f t="shared" si="56"/>
        <v>2114100</v>
      </c>
      <c r="L1199" s="39" t="s">
        <v>162</v>
      </c>
      <c r="M1199" s="596" t="s">
        <v>156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IF(OR(TH!L1199=TH!$U$7,M1199=TH!$U$7),"x","")</f>
        <v/>
      </c>
      <c r="V1199" s="52" t="str">
        <f>IF(AND(B1199&gt;='IN-NX'!$P$3,B1199&lt;='IN-NX'!$Q$3,'IN-NX'!$D$7=D1199,OR(LEFT(L1199,2)="15",AND(LEFT(M1199,2)&lt;&gt;"15",LEFT(M1199,2)&lt;&gt;"33"))),"x","")</f>
        <v/>
      </c>
      <c r="W1199" s="52" t="str">
        <f>IF(AND(OR(LEFT(TH!L1199,2)="15",LEFT(TH!M1199,2)="15"),'152-CT'!$J$8=TH!F1199),"x","")</f>
        <v/>
      </c>
      <c r="X1199" s="52" t="str">
        <f>IF(AND(OR(LEFT(TH!L1199,2)="15",LEFT(TH!M1199,2)="15"),TK!$E$7=TH!F1199),"x","")</f>
        <v/>
      </c>
      <c r="Y1199" s="52" t="str">
        <f>IF(AND(B1199&lt;=NKC!$N$8,B1199&gt;=NKC!$M$8),"x","")</f>
        <v/>
      </c>
    </row>
    <row r="1200" spans="1:25" s="208" customFormat="1" ht="15.75" customHeight="1">
      <c r="A1200" s="201" t="str">
        <f>IF(B1200&lt;&gt;"",IF(AND(B1200&gt;=_TM1,B1200&lt;=_TM2,OR(TH!L1200="1111",TH!M1200="1111")),TH!D1200,""),"")</f>
        <v/>
      </c>
      <c r="B1200" s="36">
        <f t="shared" si="57"/>
        <v>6</v>
      </c>
      <c r="C1200" s="188">
        <f t="shared" si="55"/>
        <v>41443</v>
      </c>
      <c r="D1200" s="188" t="s">
        <v>1260</v>
      </c>
      <c r="E1200" s="37">
        <v>41443</v>
      </c>
      <c r="F1200" s="40" t="s">
        <v>1137</v>
      </c>
      <c r="G1200" s="40" t="s">
        <v>826</v>
      </c>
      <c r="H1200" s="7" t="s">
        <v>1252</v>
      </c>
      <c r="I1200" s="249">
        <v>209</v>
      </c>
      <c r="J1200" s="249">
        <v>18314</v>
      </c>
      <c r="K1200" s="595">
        <f t="shared" si="56"/>
        <v>3827626</v>
      </c>
      <c r="L1200" s="39" t="s">
        <v>162</v>
      </c>
      <c r="M1200" s="596" t="s">
        <v>156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IF(OR(TH!L1200=TH!$U$7,M1200=TH!$U$7),"x","")</f>
        <v/>
      </c>
      <c r="V1200" s="52" t="str">
        <f>IF(AND(B1200&gt;='IN-NX'!$P$3,B1200&lt;='IN-NX'!$Q$3,'IN-NX'!$D$7=D1200,OR(LEFT(L1200,2)="15",AND(LEFT(M1200,2)&lt;&gt;"15",LEFT(M1200,2)&lt;&gt;"33"))),"x","")</f>
        <v/>
      </c>
      <c r="W1200" s="52" t="str">
        <f>IF(AND(OR(LEFT(TH!L1200,2)="15",LEFT(TH!M1200,2)="15"),'152-CT'!$J$8=TH!F1200),"x","")</f>
        <v/>
      </c>
      <c r="X1200" s="52" t="str">
        <f>IF(AND(OR(LEFT(TH!L1200,2)="15",LEFT(TH!M1200,2)="15"),TK!$E$7=TH!F1200),"x","")</f>
        <v/>
      </c>
      <c r="Y1200" s="52" t="str">
        <f>IF(AND(B1200&lt;=NKC!$N$8,B1200&gt;=NKC!$M$8),"x","")</f>
        <v/>
      </c>
    </row>
    <row r="1201" spans="1:25" s="208" customFormat="1" ht="15.75" customHeight="1">
      <c r="A1201" s="201" t="str">
        <f>IF(B1201&lt;&gt;"",IF(AND(B1201&gt;=_TM1,B1201&lt;=_TM2,OR(TH!L1201="1111",TH!M1201="1111")),TH!D1201,""),"")</f>
        <v/>
      </c>
      <c r="B1201" s="36">
        <f t="shared" si="57"/>
        <v>6</v>
      </c>
      <c r="C1201" s="188">
        <f t="shared" si="55"/>
        <v>41448</v>
      </c>
      <c r="D1201" s="188" t="s">
        <v>1260</v>
      </c>
      <c r="E1201" s="37">
        <v>41448</v>
      </c>
      <c r="F1201" s="189" t="s">
        <v>1161</v>
      </c>
      <c r="G1201" s="40" t="s">
        <v>827</v>
      </c>
      <c r="H1201" s="7" t="s">
        <v>1252</v>
      </c>
      <c r="I1201" s="249">
        <v>500</v>
      </c>
      <c r="J1201" s="249">
        <v>9828</v>
      </c>
      <c r="K1201" s="595">
        <f t="shared" si="56"/>
        <v>4914000</v>
      </c>
      <c r="L1201" s="39" t="s">
        <v>162</v>
      </c>
      <c r="M1201" s="596" t="s">
        <v>156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IF(OR(TH!L1201=TH!$U$7,M1201=TH!$U$7),"x","")</f>
        <v/>
      </c>
      <c r="V1201" s="52" t="str">
        <f>IF(AND(B1201&gt;='IN-NX'!$P$3,B1201&lt;='IN-NX'!$Q$3,'IN-NX'!$D$7=D1201,OR(LEFT(L1201,2)="15",AND(LEFT(M1201,2)&lt;&gt;"15",LEFT(M1201,2)&lt;&gt;"33"))),"x","")</f>
        <v/>
      </c>
      <c r="W1201" s="52" t="str">
        <f>IF(AND(OR(LEFT(TH!L1201,2)="15",LEFT(TH!M1201,2)="15"),'152-CT'!$J$8=TH!F1201),"x","")</f>
        <v/>
      </c>
      <c r="X1201" s="52" t="str">
        <f>IF(AND(OR(LEFT(TH!L1201,2)="15",LEFT(TH!M1201,2)="15"),TK!$E$7=TH!F1201),"x","")</f>
        <v/>
      </c>
      <c r="Y1201" s="52" t="str">
        <f>IF(AND(B1201&lt;=NKC!$N$8,B1201&gt;=NKC!$M$8),"x","")</f>
        <v/>
      </c>
    </row>
    <row r="1202" spans="1:25" s="208" customFormat="1" ht="15.75" customHeight="1">
      <c r="A1202" s="201" t="str">
        <f>IF(B1202&lt;&gt;"",IF(AND(B1202&gt;=_TM1,B1202&lt;=_TM2,OR(TH!L1202="1111",TH!M1202="1111")),TH!D1202,""),"")</f>
        <v/>
      </c>
      <c r="B1202" s="36">
        <f t="shared" si="57"/>
        <v>6</v>
      </c>
      <c r="C1202" s="188">
        <f t="shared" si="55"/>
        <v>41448</v>
      </c>
      <c r="D1202" s="188" t="s">
        <v>1260</v>
      </c>
      <c r="E1202" s="37">
        <v>41448</v>
      </c>
      <c r="F1202" s="189" t="s">
        <v>1202</v>
      </c>
      <c r="G1202" s="40" t="s">
        <v>829</v>
      </c>
      <c r="H1202" s="7" t="s">
        <v>1252</v>
      </c>
      <c r="I1202" s="249">
        <v>1480</v>
      </c>
      <c r="J1202" s="249">
        <v>18306</v>
      </c>
      <c r="K1202" s="595">
        <f t="shared" si="56"/>
        <v>27092880</v>
      </c>
      <c r="L1202" s="39" t="s">
        <v>162</v>
      </c>
      <c r="M1202" s="596" t="s">
        <v>156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IF(OR(TH!L1202=TH!$U$7,M1202=TH!$U$7),"x","")</f>
        <v/>
      </c>
      <c r="V1202" s="52" t="str">
        <f>IF(AND(B1202&gt;='IN-NX'!$P$3,B1202&lt;='IN-NX'!$Q$3,'IN-NX'!$D$7=D1202,OR(LEFT(L1202,2)="15",AND(LEFT(M1202,2)&lt;&gt;"15",LEFT(M1202,2)&lt;&gt;"33"))),"x","")</f>
        <v/>
      </c>
      <c r="W1202" s="52" t="str">
        <f>IF(AND(OR(LEFT(TH!L1202,2)="15",LEFT(TH!M1202,2)="15"),'152-CT'!$J$8=TH!F1202),"x","")</f>
        <v/>
      </c>
      <c r="X1202" s="52" t="str">
        <f>IF(AND(OR(LEFT(TH!L1202,2)="15",LEFT(TH!M1202,2)="15"),TK!$E$7=TH!F1202),"x","")</f>
        <v/>
      </c>
      <c r="Y1202" s="52" t="str">
        <f>IF(AND(B1202&lt;=NKC!$N$8,B1202&gt;=NKC!$M$8),"x","")</f>
        <v/>
      </c>
    </row>
    <row r="1203" spans="1:25" s="208" customFormat="1" ht="15.75" customHeight="1">
      <c r="A1203" s="201" t="str">
        <f>IF(B1203&lt;&gt;"",IF(AND(B1203&gt;=_TM1,B1203&lt;=_TM2,OR(TH!L1203="1111",TH!M1203="1111")),TH!D1203,""),"")</f>
        <v/>
      </c>
      <c r="B1203" s="36">
        <f t="shared" si="57"/>
        <v>6</v>
      </c>
      <c r="C1203" s="188">
        <f t="shared" si="55"/>
        <v>41449</v>
      </c>
      <c r="D1203" s="188" t="s">
        <v>1260</v>
      </c>
      <c r="E1203" s="37">
        <v>41449</v>
      </c>
      <c r="F1203" s="189" t="s">
        <v>1209</v>
      </c>
      <c r="G1203" s="40" t="s">
        <v>830</v>
      </c>
      <c r="H1203" s="7" t="s">
        <v>1252</v>
      </c>
      <c r="I1203" s="249">
        <v>770</v>
      </c>
      <c r="J1203" s="249">
        <v>19910.059520224833</v>
      </c>
      <c r="K1203" s="595">
        <f t="shared" si="56"/>
        <v>15330746</v>
      </c>
      <c r="L1203" s="39" t="s">
        <v>162</v>
      </c>
      <c r="M1203" s="596" t="s">
        <v>156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IF(OR(TH!L1203=TH!$U$7,M1203=TH!$U$7),"x","")</f>
        <v/>
      </c>
      <c r="V1203" s="52" t="str">
        <f>IF(AND(B1203&gt;='IN-NX'!$P$3,B1203&lt;='IN-NX'!$Q$3,'IN-NX'!$D$7=D1203,OR(LEFT(L1203,2)="15",AND(LEFT(M1203,2)&lt;&gt;"15",LEFT(M1203,2)&lt;&gt;"33"))),"x","")</f>
        <v/>
      </c>
      <c r="W1203" s="52" t="str">
        <f>IF(AND(OR(LEFT(TH!L1203,2)="15",LEFT(TH!M1203,2)="15"),'152-CT'!$J$8=TH!F1203),"x","")</f>
        <v/>
      </c>
      <c r="X1203" s="52" t="str">
        <f>IF(AND(OR(LEFT(TH!L1203,2)="15",LEFT(TH!M1203,2)="15"),TK!$E$7=TH!F1203),"x","")</f>
        <v/>
      </c>
      <c r="Y1203" s="52" t="str">
        <f>IF(AND(B1203&lt;=NKC!$N$8,B1203&gt;=NKC!$M$8),"x","")</f>
        <v/>
      </c>
    </row>
    <row r="1204" spans="1:25" s="798" customFormat="1" ht="15.75" customHeight="1">
      <c r="A1204" s="201" t="str">
        <f>IF(B1204&lt;&gt;"",IF(AND(B1204&gt;=_TM1,B1204&lt;=_TM2,OR(TH!L1204="1111",TH!M1204="1111")),TH!D1204,""),"")</f>
        <v/>
      </c>
      <c r="B1204" s="796">
        <f t="shared" si="57"/>
        <v>7</v>
      </c>
      <c r="C1204" s="853">
        <f t="shared" si="55"/>
        <v>41457</v>
      </c>
      <c r="D1204" s="188" t="s">
        <v>1260</v>
      </c>
      <c r="E1204" s="860">
        <v>41457</v>
      </c>
      <c r="F1204" s="864" t="s">
        <v>1224</v>
      </c>
      <c r="G1204" s="865" t="s">
        <v>831</v>
      </c>
      <c r="H1204" s="856" t="s">
        <v>1252</v>
      </c>
      <c r="I1204" s="863">
        <v>150</v>
      </c>
      <c r="J1204" s="863">
        <v>20992</v>
      </c>
      <c r="K1204" s="793">
        <f t="shared" si="56"/>
        <v>3148800</v>
      </c>
      <c r="L1204" s="786" t="s">
        <v>162</v>
      </c>
      <c r="M1204" s="859" t="s">
        <v>156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IF(OR(TH!L1204=TH!$U$7,M1204=TH!$U$7),"x","")</f>
        <v/>
      </c>
      <c r="V1204" s="52" t="str">
        <f>IF(AND(B1204&gt;='IN-NX'!$P$3,B1204&lt;='IN-NX'!$Q$3,'IN-NX'!$D$7=D1204,OR(LEFT(L1204,2)="15",AND(LEFT(M1204,2)&lt;&gt;"15",LEFT(M1204,2)&lt;&gt;"33"))),"x","")</f>
        <v/>
      </c>
      <c r="W1204" s="52" t="str">
        <f>IF(AND(OR(LEFT(TH!L1204,2)="15",LEFT(TH!M1204,2)="15"),'152-CT'!$J$8=TH!F1204),"x","")</f>
        <v/>
      </c>
      <c r="X1204" s="52" t="str">
        <f>IF(AND(OR(LEFT(TH!L1204,2)="15",LEFT(TH!M1204,2)="15"),TK!$E$7=TH!F1204),"x","")</f>
        <v/>
      </c>
      <c r="Y1204" s="52" t="str">
        <f>IF(AND(B1204&lt;=NKC!$N$8,B1204&gt;=NKC!$M$8),"x","")</f>
        <v>x</v>
      </c>
    </row>
    <row r="1205" spans="1:25" s="208" customFormat="1" ht="15.75" customHeight="1">
      <c r="A1205" s="201" t="str">
        <f>IF(B1205&lt;&gt;"",IF(AND(B1205&gt;=_TM1,B1205&lt;=_TM2,OR(TH!L1205="1111",TH!M1205="1111")),TH!D1205,""),"")</f>
        <v/>
      </c>
      <c r="B1205" s="36">
        <f t="shared" si="57"/>
        <v>7</v>
      </c>
      <c r="C1205" s="188">
        <f t="shared" si="55"/>
        <v>41457</v>
      </c>
      <c r="D1205" s="188" t="s">
        <v>1260</v>
      </c>
      <c r="E1205" s="188">
        <v>41457</v>
      </c>
      <c r="F1205" s="189" t="s">
        <v>1179</v>
      </c>
      <c r="G1205" s="480" t="s">
        <v>831</v>
      </c>
      <c r="H1205" s="7" t="s">
        <v>1252</v>
      </c>
      <c r="I1205" s="249">
        <v>130</v>
      </c>
      <c r="J1205" s="249">
        <v>23477</v>
      </c>
      <c r="K1205" s="595">
        <f t="shared" si="56"/>
        <v>3052010</v>
      </c>
      <c r="L1205" s="39" t="s">
        <v>162</v>
      </c>
      <c r="M1205" s="596" t="s">
        <v>156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IF(OR(TH!L1205=TH!$U$7,M1205=TH!$U$7),"x","")</f>
        <v/>
      </c>
      <c r="V1205" s="52" t="str">
        <f>IF(AND(B1205&gt;='IN-NX'!$P$3,B1205&lt;='IN-NX'!$Q$3,'IN-NX'!$D$7=D1205,OR(LEFT(L1205,2)="15",AND(LEFT(M1205,2)&lt;&gt;"15",LEFT(M1205,2)&lt;&gt;"33"))),"x","")</f>
        <v/>
      </c>
      <c r="W1205" s="52" t="str">
        <f>IF(AND(OR(LEFT(TH!L1205,2)="15",LEFT(TH!M1205,2)="15"),'152-CT'!$J$8=TH!F1205),"x","")</f>
        <v/>
      </c>
      <c r="X1205" s="52" t="str">
        <f>IF(AND(OR(LEFT(TH!L1205,2)="15",LEFT(TH!M1205,2)="15"),TK!$E$7=TH!F1205),"x","")</f>
        <v/>
      </c>
      <c r="Y1205" s="52" t="str">
        <f>IF(AND(B1205&lt;=NKC!$N$8,B1205&gt;=NKC!$M$8),"x","")</f>
        <v>x</v>
      </c>
    </row>
    <row r="1206" spans="1:25" s="208" customFormat="1" ht="15.75" customHeight="1">
      <c r="A1206" s="201" t="str">
        <f>IF(B1206&lt;&gt;"",IF(AND(B1206&gt;=_TM1,B1206&lt;=_TM2,OR(TH!L1206="1111",TH!M1206="1111")),TH!D1206,""),"")</f>
        <v/>
      </c>
      <c r="B1206" s="36">
        <f t="shared" si="57"/>
        <v>7</v>
      </c>
      <c r="C1206" s="188">
        <f t="shared" si="55"/>
        <v>41460</v>
      </c>
      <c r="D1206" s="188" t="s">
        <v>1260</v>
      </c>
      <c r="E1206" s="188">
        <v>41460</v>
      </c>
      <c r="F1206" s="189" t="s">
        <v>1209</v>
      </c>
      <c r="G1206" s="480" t="s">
        <v>835</v>
      </c>
      <c r="H1206" s="7" t="s">
        <v>1252</v>
      </c>
      <c r="I1206" s="249">
        <v>144</v>
      </c>
      <c r="J1206" s="249">
        <v>19910.059393752887</v>
      </c>
      <c r="K1206" s="595">
        <f t="shared" si="56"/>
        <v>2867049</v>
      </c>
      <c r="L1206" s="39" t="s">
        <v>162</v>
      </c>
      <c r="M1206" s="596" t="s">
        <v>156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IF(OR(TH!L1206=TH!$U$7,M1206=TH!$U$7),"x","")</f>
        <v/>
      </c>
      <c r="V1206" s="52" t="str">
        <f>IF(AND(B1206&gt;='IN-NX'!$P$3,B1206&lt;='IN-NX'!$Q$3,'IN-NX'!$D$7=D1206,OR(LEFT(L1206,2)="15",AND(LEFT(M1206,2)&lt;&gt;"15",LEFT(M1206,2)&lt;&gt;"33"))),"x","")</f>
        <v/>
      </c>
      <c r="W1206" s="52" t="str">
        <f>IF(AND(OR(LEFT(TH!L1206,2)="15",LEFT(TH!M1206,2)="15"),'152-CT'!$J$8=TH!F1206),"x","")</f>
        <v/>
      </c>
      <c r="X1206" s="52" t="str">
        <f>IF(AND(OR(LEFT(TH!L1206,2)="15",LEFT(TH!M1206,2)="15"),TK!$E$7=TH!F1206),"x","")</f>
        <v/>
      </c>
      <c r="Y1206" s="52" t="str">
        <f>IF(AND(B1206&lt;=NKC!$N$8,B1206&gt;=NKC!$M$8),"x","")</f>
        <v>x</v>
      </c>
    </row>
    <row r="1207" spans="1:25" s="208" customFormat="1" ht="15.75" customHeight="1">
      <c r="A1207" s="201" t="str">
        <f>IF(B1207&lt;&gt;"",IF(AND(B1207&gt;=_TM1,B1207&lt;=_TM2,OR(TH!L1207="1111",TH!M1207="1111")),TH!D1207,""),"")</f>
        <v/>
      </c>
      <c r="B1207" s="36">
        <f t="shared" si="57"/>
        <v>7</v>
      </c>
      <c r="C1207" s="188">
        <f t="shared" si="55"/>
        <v>41460</v>
      </c>
      <c r="D1207" s="188" t="s">
        <v>1260</v>
      </c>
      <c r="E1207" s="188">
        <v>41460</v>
      </c>
      <c r="F1207" s="189" t="s">
        <v>1209</v>
      </c>
      <c r="G1207" s="480" t="s">
        <v>835</v>
      </c>
      <c r="H1207" s="7" t="s">
        <v>1252</v>
      </c>
      <c r="I1207" s="249">
        <v>115</v>
      </c>
      <c r="J1207" s="249">
        <v>19910.059393752887</v>
      </c>
      <c r="K1207" s="595">
        <f t="shared" si="56"/>
        <v>2289657</v>
      </c>
      <c r="L1207" s="39" t="s">
        <v>162</v>
      </c>
      <c r="M1207" s="596" t="s">
        <v>156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IF(OR(TH!L1207=TH!$U$7,M1207=TH!$U$7),"x","")</f>
        <v/>
      </c>
      <c r="V1207" s="52" t="str">
        <f>IF(AND(B1207&gt;='IN-NX'!$P$3,B1207&lt;='IN-NX'!$Q$3,'IN-NX'!$D$7=D1207,OR(LEFT(L1207,2)="15",AND(LEFT(M1207,2)&lt;&gt;"15",LEFT(M1207,2)&lt;&gt;"33"))),"x","")</f>
        <v/>
      </c>
      <c r="W1207" s="52" t="str">
        <f>IF(AND(OR(LEFT(TH!L1207,2)="15",LEFT(TH!M1207,2)="15"),'152-CT'!$J$8=TH!F1207),"x","")</f>
        <v/>
      </c>
      <c r="X1207" s="52" t="str">
        <f>IF(AND(OR(LEFT(TH!L1207,2)="15",LEFT(TH!M1207,2)="15"),TK!$E$7=TH!F1207),"x","")</f>
        <v/>
      </c>
      <c r="Y1207" s="52" t="str">
        <f>IF(AND(B1207&lt;=NKC!$N$8,B1207&gt;=NKC!$M$8),"x","")</f>
        <v>x</v>
      </c>
    </row>
    <row r="1208" spans="1:25" s="208" customFormat="1" ht="15.75" customHeight="1">
      <c r="A1208" s="201" t="str">
        <f>IF(B1208&lt;&gt;"",IF(AND(B1208&gt;=_TM1,B1208&lt;=_TM2,OR(TH!L1208="1111",TH!M1208="1111")),TH!D1208,""),"")</f>
        <v/>
      </c>
      <c r="B1208" s="36">
        <f t="shared" si="57"/>
        <v>7</v>
      </c>
      <c r="C1208" s="188">
        <f t="shared" si="55"/>
        <v>41460</v>
      </c>
      <c r="D1208" s="188" t="s">
        <v>1260</v>
      </c>
      <c r="E1208" s="188">
        <v>41460</v>
      </c>
      <c r="F1208" s="189" t="s">
        <v>666</v>
      </c>
      <c r="G1208" s="480" t="s">
        <v>837</v>
      </c>
      <c r="H1208" s="7" t="s">
        <v>1252</v>
      </c>
      <c r="I1208" s="249">
        <v>300</v>
      </c>
      <c r="J1208" s="249">
        <v>9425</v>
      </c>
      <c r="K1208" s="595">
        <f t="shared" si="56"/>
        <v>2827500</v>
      </c>
      <c r="L1208" s="39" t="s">
        <v>162</v>
      </c>
      <c r="M1208" s="596" t="s">
        <v>156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IF(OR(TH!L1208=TH!$U$7,M1208=TH!$U$7),"x","")</f>
        <v/>
      </c>
      <c r="V1208" s="52" t="str">
        <f>IF(AND(B1208&gt;='IN-NX'!$P$3,B1208&lt;='IN-NX'!$Q$3,'IN-NX'!$D$7=D1208,OR(LEFT(L1208,2)="15",AND(LEFT(M1208,2)&lt;&gt;"15",LEFT(M1208,2)&lt;&gt;"33"))),"x","")</f>
        <v/>
      </c>
      <c r="W1208" s="52" t="str">
        <f>IF(AND(OR(LEFT(TH!L1208,2)="15",LEFT(TH!M1208,2)="15"),'152-CT'!$J$8=TH!F1208),"x","")</f>
        <v/>
      </c>
      <c r="X1208" s="52" t="str">
        <f>IF(AND(OR(LEFT(TH!L1208,2)="15",LEFT(TH!M1208,2)="15"),TK!$E$7=TH!F1208),"x","")</f>
        <v/>
      </c>
      <c r="Y1208" s="52" t="str">
        <f>IF(AND(B1208&lt;=NKC!$N$8,B1208&gt;=NKC!$M$8),"x","")</f>
        <v>x</v>
      </c>
    </row>
    <row r="1209" spans="1:25" s="208" customFormat="1" ht="15.75" customHeight="1">
      <c r="A1209" s="201" t="str">
        <f>IF(B1209&lt;&gt;"",IF(AND(B1209&gt;=_TM1,B1209&lt;=_TM2,OR(TH!L1209="1111",TH!M1209="1111")),TH!D1209,""),"")</f>
        <v/>
      </c>
      <c r="B1209" s="36">
        <f t="shared" si="57"/>
        <v>7</v>
      </c>
      <c r="C1209" s="188">
        <f t="shared" si="55"/>
        <v>41460</v>
      </c>
      <c r="D1209" s="188" t="s">
        <v>1260</v>
      </c>
      <c r="E1209" s="188">
        <v>41460</v>
      </c>
      <c r="F1209" s="189" t="s">
        <v>1184</v>
      </c>
      <c r="G1209" s="480" t="s">
        <v>837</v>
      </c>
      <c r="H1209" s="7" t="s">
        <v>1252</v>
      </c>
      <c r="I1209" s="249">
        <v>134</v>
      </c>
      <c r="J1209" s="249">
        <v>17376</v>
      </c>
      <c r="K1209" s="595">
        <f t="shared" si="56"/>
        <v>2328384</v>
      </c>
      <c r="L1209" s="39" t="s">
        <v>162</v>
      </c>
      <c r="M1209" s="596" t="s">
        <v>156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IF(OR(TH!L1209=TH!$U$7,M1209=TH!$U$7),"x","")</f>
        <v/>
      </c>
      <c r="V1209" s="52" t="str">
        <f>IF(AND(B1209&gt;='IN-NX'!$P$3,B1209&lt;='IN-NX'!$Q$3,'IN-NX'!$D$7=D1209,OR(LEFT(L1209,2)="15",AND(LEFT(M1209,2)&lt;&gt;"15",LEFT(M1209,2)&lt;&gt;"33"))),"x","")</f>
        <v/>
      </c>
      <c r="W1209" s="52" t="str">
        <f>IF(AND(OR(LEFT(TH!L1209,2)="15",LEFT(TH!M1209,2)="15"),'152-CT'!$J$8=TH!F1209),"x","")</f>
        <v/>
      </c>
      <c r="X1209" s="52" t="str">
        <f>IF(AND(OR(LEFT(TH!L1209,2)="15",LEFT(TH!M1209,2)="15"),TK!$E$7=TH!F1209),"x","")</f>
        <v/>
      </c>
      <c r="Y1209" s="52" t="str">
        <f>IF(AND(B1209&lt;=NKC!$N$8,B1209&gt;=NKC!$M$8),"x","")</f>
        <v>x</v>
      </c>
    </row>
    <row r="1210" spans="1:25" s="208" customFormat="1" ht="15.75" customHeight="1">
      <c r="A1210" s="201" t="str">
        <f>IF(B1210&lt;&gt;"",IF(AND(B1210&gt;=_TM1,B1210&lt;=_TM2,OR(TH!L1210="1111",TH!M1210="1111")),TH!D1210,""),"")</f>
        <v/>
      </c>
      <c r="B1210" s="36">
        <f t="shared" si="57"/>
        <v>7</v>
      </c>
      <c r="C1210" s="188">
        <f t="shared" si="55"/>
        <v>41460</v>
      </c>
      <c r="D1210" s="188" t="s">
        <v>1260</v>
      </c>
      <c r="E1210" s="188">
        <v>41460</v>
      </c>
      <c r="F1210" s="189" t="s">
        <v>1140</v>
      </c>
      <c r="G1210" s="480" t="s">
        <v>837</v>
      </c>
      <c r="H1210" s="7" t="s">
        <v>1252</v>
      </c>
      <c r="I1210" s="250">
        <v>230</v>
      </c>
      <c r="J1210" s="250">
        <v>28350</v>
      </c>
      <c r="K1210" s="595">
        <f t="shared" si="56"/>
        <v>6520500</v>
      </c>
      <c r="L1210" s="39" t="s">
        <v>162</v>
      </c>
      <c r="M1210" s="596" t="s">
        <v>156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IF(OR(TH!L1210=TH!$U$7,M1210=TH!$U$7),"x","")</f>
        <v/>
      </c>
      <c r="V1210" s="52" t="str">
        <f>IF(AND(B1210&gt;='IN-NX'!$P$3,B1210&lt;='IN-NX'!$Q$3,'IN-NX'!$D$7=D1210,OR(LEFT(L1210,2)="15",AND(LEFT(M1210,2)&lt;&gt;"15",LEFT(M1210,2)&lt;&gt;"33"))),"x","")</f>
        <v/>
      </c>
      <c r="W1210" s="52" t="str">
        <f>IF(AND(OR(LEFT(TH!L1210,2)="15",LEFT(TH!M1210,2)="15"),'152-CT'!$J$8=TH!F1210),"x","")</f>
        <v/>
      </c>
      <c r="X1210" s="52" t="str">
        <f>IF(AND(OR(LEFT(TH!L1210,2)="15",LEFT(TH!M1210,2)="15"),TK!$E$7=TH!F1210),"x","")</f>
        <v/>
      </c>
      <c r="Y1210" s="52" t="str">
        <f>IF(AND(B1210&lt;=NKC!$N$8,B1210&gt;=NKC!$M$8),"x","")</f>
        <v>x</v>
      </c>
    </row>
    <row r="1211" spans="1:25" s="208" customFormat="1" ht="15.75" customHeight="1">
      <c r="A1211" s="201" t="str">
        <f>IF(B1211&lt;&gt;"",IF(AND(B1211&gt;=_TM1,B1211&lt;=_TM2,OR(TH!L1211="1111",TH!M1211="1111")),TH!D1211,""),"")</f>
        <v/>
      </c>
      <c r="B1211" s="36">
        <f t="shared" si="57"/>
        <v>7</v>
      </c>
      <c r="C1211" s="188">
        <f t="shared" si="55"/>
        <v>41460</v>
      </c>
      <c r="D1211" s="188" t="s">
        <v>1260</v>
      </c>
      <c r="E1211" s="188">
        <v>41460</v>
      </c>
      <c r="F1211" s="189" t="s">
        <v>1141</v>
      </c>
      <c r="G1211" s="480" t="s">
        <v>837</v>
      </c>
      <c r="H1211" s="7" t="s">
        <v>1252</v>
      </c>
      <c r="I1211" s="249">
        <v>218</v>
      </c>
      <c r="J1211" s="249">
        <v>20910</v>
      </c>
      <c r="K1211" s="595">
        <f t="shared" si="56"/>
        <v>4558380</v>
      </c>
      <c r="L1211" s="39" t="s">
        <v>162</v>
      </c>
      <c r="M1211" s="596" t="s">
        <v>156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IF(OR(TH!L1211=TH!$U$7,M1211=TH!$U$7),"x","")</f>
        <v/>
      </c>
      <c r="V1211" s="52" t="str">
        <f>IF(AND(B1211&gt;='IN-NX'!$P$3,B1211&lt;='IN-NX'!$Q$3,'IN-NX'!$D$7=D1211,OR(LEFT(L1211,2)="15",AND(LEFT(M1211,2)&lt;&gt;"15",LEFT(M1211,2)&lt;&gt;"33"))),"x","")</f>
        <v/>
      </c>
      <c r="W1211" s="52" t="str">
        <f>IF(AND(OR(LEFT(TH!L1211,2)="15",LEFT(TH!M1211,2)="15"),'152-CT'!$J$8=TH!F1211),"x","")</f>
        <v/>
      </c>
      <c r="X1211" s="52" t="str">
        <f>IF(AND(OR(LEFT(TH!L1211,2)="15",LEFT(TH!M1211,2)="15"),TK!$E$7=TH!F1211),"x","")</f>
        <v/>
      </c>
      <c r="Y1211" s="52" t="str">
        <f>IF(AND(B1211&lt;=NKC!$N$8,B1211&gt;=NKC!$M$8),"x","")</f>
        <v>x</v>
      </c>
    </row>
    <row r="1212" spans="1:25" s="208" customFormat="1" ht="15.75" customHeight="1">
      <c r="A1212" s="201" t="str">
        <f>IF(B1212&lt;&gt;"",IF(AND(B1212&gt;=_TM1,B1212&lt;=_TM2,OR(TH!L1212="1111",TH!M1212="1111")),TH!D1212,""),"")</f>
        <v/>
      </c>
      <c r="B1212" s="36">
        <f t="shared" si="57"/>
        <v>7</v>
      </c>
      <c r="C1212" s="188">
        <f t="shared" ref="C1212:C1275" si="58">E1212</f>
        <v>41472</v>
      </c>
      <c r="D1212" s="188" t="s">
        <v>1260</v>
      </c>
      <c r="E1212" s="188">
        <v>41472</v>
      </c>
      <c r="F1212" s="189" t="s">
        <v>1220</v>
      </c>
      <c r="G1212" s="480" t="s">
        <v>840</v>
      </c>
      <c r="H1212" s="7" t="s">
        <v>1252</v>
      </c>
      <c r="I1212" s="249">
        <v>343</v>
      </c>
      <c r="J1212" s="249">
        <v>23149</v>
      </c>
      <c r="K1212" s="595">
        <f t="shared" ref="K1212:K1275" si="59">ROUND(I1212*J1212,0)</f>
        <v>7940107</v>
      </c>
      <c r="L1212" s="39" t="s">
        <v>162</v>
      </c>
      <c r="M1212" s="596" t="s">
        <v>156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IF(OR(TH!L1212=TH!$U$7,M1212=TH!$U$7),"x","")</f>
        <v/>
      </c>
      <c r="V1212" s="52" t="str">
        <f>IF(AND(B1212&gt;='IN-NX'!$P$3,B1212&lt;='IN-NX'!$Q$3,'IN-NX'!$D$7=D1212,OR(LEFT(L1212,2)="15",AND(LEFT(M1212,2)&lt;&gt;"15",LEFT(M1212,2)&lt;&gt;"33"))),"x","")</f>
        <v/>
      </c>
      <c r="W1212" s="52" t="str">
        <f>IF(AND(OR(LEFT(TH!L1212,2)="15",LEFT(TH!M1212,2)="15"),'152-CT'!$J$8=TH!F1212),"x","")</f>
        <v/>
      </c>
      <c r="X1212" s="52" t="str">
        <f>IF(AND(OR(LEFT(TH!L1212,2)="15",LEFT(TH!M1212,2)="15"),TK!$E$7=TH!F1212),"x","")</f>
        <v/>
      </c>
      <c r="Y1212" s="52" t="str">
        <f>IF(AND(B1212&lt;=NKC!$N$8,B1212&gt;=NKC!$M$8),"x","")</f>
        <v>x</v>
      </c>
    </row>
    <row r="1213" spans="1:25" s="208" customFormat="1" ht="15.75" customHeight="1">
      <c r="A1213" s="201" t="str">
        <f>IF(B1213&lt;&gt;"",IF(AND(B1213&gt;=_TM1,B1213&lt;=_TM2,OR(TH!L1213="1111",TH!M1213="1111")),TH!D1213,""),"")</f>
        <v/>
      </c>
      <c r="B1213" s="36">
        <f t="shared" si="57"/>
        <v>7</v>
      </c>
      <c r="C1213" s="188">
        <f t="shared" si="58"/>
        <v>41472</v>
      </c>
      <c r="D1213" s="188" t="s">
        <v>1260</v>
      </c>
      <c r="E1213" s="188">
        <v>41472</v>
      </c>
      <c r="F1213" s="189" t="s">
        <v>1202</v>
      </c>
      <c r="G1213" s="480" t="s">
        <v>841</v>
      </c>
      <c r="H1213" s="7" t="s">
        <v>1252</v>
      </c>
      <c r="I1213" s="249">
        <v>375</v>
      </c>
      <c r="J1213" s="249">
        <v>18306</v>
      </c>
      <c r="K1213" s="595">
        <f t="shared" si="59"/>
        <v>6864750</v>
      </c>
      <c r="L1213" s="39" t="s">
        <v>162</v>
      </c>
      <c r="M1213" s="596" t="s">
        <v>156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IF(OR(TH!L1213=TH!$U$7,M1213=TH!$U$7),"x","")</f>
        <v/>
      </c>
      <c r="V1213" s="52" t="str">
        <f>IF(AND(B1213&gt;='IN-NX'!$P$3,B1213&lt;='IN-NX'!$Q$3,'IN-NX'!$D$7=D1213,OR(LEFT(L1213,2)="15",AND(LEFT(M1213,2)&lt;&gt;"15",LEFT(M1213,2)&lt;&gt;"33"))),"x","")</f>
        <v/>
      </c>
      <c r="W1213" s="52" t="str">
        <f>IF(AND(OR(LEFT(TH!L1213,2)="15",LEFT(TH!M1213,2)="15"),'152-CT'!$J$8=TH!F1213),"x","")</f>
        <v/>
      </c>
      <c r="X1213" s="52" t="str">
        <f>IF(AND(OR(LEFT(TH!L1213,2)="15",LEFT(TH!M1213,2)="15"),TK!$E$7=TH!F1213),"x","")</f>
        <v/>
      </c>
      <c r="Y1213" s="52" t="str">
        <f>IF(AND(B1213&lt;=NKC!$N$8,B1213&gt;=NKC!$M$8),"x","")</f>
        <v>x</v>
      </c>
    </row>
    <row r="1214" spans="1:25" s="208" customFormat="1" ht="15.75" customHeight="1">
      <c r="A1214" s="201" t="str">
        <f>IF(B1214&lt;&gt;"",IF(AND(B1214&gt;=_TM1,B1214&lt;=_TM2,OR(TH!L1214="1111",TH!M1214="1111")),TH!D1214,""),"")</f>
        <v/>
      </c>
      <c r="B1214" s="36">
        <f t="shared" si="57"/>
        <v>7</v>
      </c>
      <c r="C1214" s="188">
        <f t="shared" si="58"/>
        <v>41474</v>
      </c>
      <c r="D1214" s="188" t="s">
        <v>1260</v>
      </c>
      <c r="E1214" s="735">
        <v>41474</v>
      </c>
      <c r="F1214" s="186" t="s">
        <v>667</v>
      </c>
      <c r="G1214" s="40" t="s">
        <v>842</v>
      </c>
      <c r="H1214" s="7" t="s">
        <v>1252</v>
      </c>
      <c r="I1214" s="249">
        <v>334</v>
      </c>
      <c r="J1214" s="249">
        <v>16963</v>
      </c>
      <c r="K1214" s="595">
        <f t="shared" si="59"/>
        <v>5665642</v>
      </c>
      <c r="L1214" s="39" t="s">
        <v>162</v>
      </c>
      <c r="M1214" s="596" t="s">
        <v>156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IF(OR(TH!L1214=TH!$U$7,M1214=TH!$U$7),"x","")</f>
        <v/>
      </c>
      <c r="V1214" s="52" t="str">
        <f>IF(AND(B1214&gt;='IN-NX'!$P$3,B1214&lt;='IN-NX'!$Q$3,'IN-NX'!$D$7=D1214,OR(LEFT(L1214,2)="15",AND(LEFT(M1214,2)&lt;&gt;"15",LEFT(M1214,2)&lt;&gt;"33"))),"x","")</f>
        <v/>
      </c>
      <c r="W1214" s="52" t="str">
        <f>IF(AND(OR(LEFT(TH!L1214,2)="15",LEFT(TH!M1214,2)="15"),'152-CT'!$J$8=TH!F1214),"x","")</f>
        <v/>
      </c>
      <c r="X1214" s="52" t="str">
        <f>IF(AND(OR(LEFT(TH!L1214,2)="15",LEFT(TH!M1214,2)="15"),TK!$E$7=TH!F1214),"x","")</f>
        <v/>
      </c>
      <c r="Y1214" s="52" t="str">
        <f>IF(AND(B1214&lt;=NKC!$N$8,B1214&gt;=NKC!$M$8),"x","")</f>
        <v>x</v>
      </c>
    </row>
    <row r="1215" spans="1:25" s="208" customFormat="1" ht="15.75" customHeight="1">
      <c r="A1215" s="201" t="str">
        <f>IF(B1215&lt;&gt;"",IF(AND(B1215&gt;=_TM1,B1215&lt;=_TM2,OR(TH!L1215="1111",TH!M1215="1111")),TH!D1215,""),"")</f>
        <v/>
      </c>
      <c r="B1215" s="36">
        <f t="shared" si="57"/>
        <v>7</v>
      </c>
      <c r="C1215" s="188">
        <f t="shared" si="58"/>
        <v>41474</v>
      </c>
      <c r="D1215" s="188" t="s">
        <v>1260</v>
      </c>
      <c r="E1215" s="735">
        <v>41474</v>
      </c>
      <c r="F1215" s="186" t="s">
        <v>1209</v>
      </c>
      <c r="G1215" s="40" t="s">
        <v>842</v>
      </c>
      <c r="H1215" s="7" t="s">
        <v>1252</v>
      </c>
      <c r="I1215" s="249">
        <v>500</v>
      </c>
      <c r="J1215" s="249">
        <v>19910.059213884633</v>
      </c>
      <c r="K1215" s="595">
        <f t="shared" si="59"/>
        <v>9955030</v>
      </c>
      <c r="L1215" s="39" t="s">
        <v>162</v>
      </c>
      <c r="M1215" s="596" t="s">
        <v>156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IF(OR(TH!L1215=TH!$U$7,M1215=TH!$U$7),"x","")</f>
        <v/>
      </c>
      <c r="V1215" s="52" t="str">
        <f>IF(AND(B1215&gt;='IN-NX'!$P$3,B1215&lt;='IN-NX'!$Q$3,'IN-NX'!$D$7=D1215,OR(LEFT(L1215,2)="15",AND(LEFT(M1215,2)&lt;&gt;"15",LEFT(M1215,2)&lt;&gt;"33"))),"x","")</f>
        <v/>
      </c>
      <c r="W1215" s="52" t="str">
        <f>IF(AND(OR(LEFT(TH!L1215,2)="15",LEFT(TH!M1215,2)="15"),'152-CT'!$J$8=TH!F1215),"x","")</f>
        <v/>
      </c>
      <c r="X1215" s="52" t="str">
        <f>IF(AND(OR(LEFT(TH!L1215,2)="15",LEFT(TH!M1215,2)="15"),TK!$E$7=TH!F1215),"x","")</f>
        <v/>
      </c>
      <c r="Y1215" s="52" t="str">
        <f>IF(AND(B1215&lt;=NKC!$N$8,B1215&gt;=NKC!$M$8),"x","")</f>
        <v>x</v>
      </c>
    </row>
    <row r="1216" spans="1:25" s="208" customFormat="1" ht="15.75" customHeight="1">
      <c r="A1216" s="201" t="str">
        <f>IF(B1216&lt;&gt;"",IF(AND(B1216&gt;=_TM1,B1216&lt;=_TM2,OR(TH!L1216="1111",TH!M1216="1111")),TH!D1216,""),"")</f>
        <v/>
      </c>
      <c r="B1216" s="36">
        <f t="shared" si="57"/>
        <v>7</v>
      </c>
      <c r="C1216" s="188">
        <f t="shared" si="58"/>
        <v>41474</v>
      </c>
      <c r="D1216" s="188" t="s">
        <v>1260</v>
      </c>
      <c r="E1216" s="735">
        <v>41474</v>
      </c>
      <c r="F1216" s="186" t="s">
        <v>605</v>
      </c>
      <c r="G1216" s="40" t="s">
        <v>845</v>
      </c>
      <c r="H1216" s="7" t="s">
        <v>1252</v>
      </c>
      <c r="I1216" s="249">
        <v>50</v>
      </c>
      <c r="J1216" s="249">
        <v>36234</v>
      </c>
      <c r="K1216" s="595">
        <f t="shared" si="59"/>
        <v>1811700</v>
      </c>
      <c r="L1216" s="39" t="s">
        <v>162</v>
      </c>
      <c r="M1216" s="596" t="s">
        <v>156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IF(OR(TH!L1216=TH!$U$7,M1216=TH!$U$7),"x","")</f>
        <v/>
      </c>
      <c r="V1216" s="52" t="str">
        <f>IF(AND(B1216&gt;='IN-NX'!$P$3,B1216&lt;='IN-NX'!$Q$3,'IN-NX'!$D$7=D1216,OR(LEFT(L1216,2)="15",AND(LEFT(M1216,2)&lt;&gt;"15",LEFT(M1216,2)&lt;&gt;"33"))),"x","")</f>
        <v/>
      </c>
      <c r="W1216" s="52" t="str">
        <f>IF(AND(OR(LEFT(TH!L1216,2)="15",LEFT(TH!M1216,2)="15"),'152-CT'!$J$8=TH!F1216),"x","")</f>
        <v/>
      </c>
      <c r="X1216" s="52" t="str">
        <f>IF(AND(OR(LEFT(TH!L1216,2)="15",LEFT(TH!M1216,2)="15"),TK!$E$7=TH!F1216),"x","")</f>
        <v/>
      </c>
      <c r="Y1216" s="52" t="str">
        <f>IF(AND(B1216&lt;=NKC!$N$8,B1216&gt;=NKC!$M$8),"x","")</f>
        <v>x</v>
      </c>
    </row>
    <row r="1217" spans="1:25" s="208" customFormat="1" ht="15.75" customHeight="1">
      <c r="A1217" s="201" t="str">
        <f>IF(B1217&lt;&gt;"",IF(AND(B1217&gt;=_TM1,B1217&lt;=_TM2,OR(TH!L1217="1111",TH!M1217="1111")),TH!D1217,""),"")</f>
        <v/>
      </c>
      <c r="B1217" s="36">
        <f t="shared" si="57"/>
        <v>7</v>
      </c>
      <c r="C1217" s="188">
        <f t="shared" si="58"/>
        <v>41474</v>
      </c>
      <c r="D1217" s="188" t="s">
        <v>1260</v>
      </c>
      <c r="E1217" s="735">
        <v>41474</v>
      </c>
      <c r="F1217" s="290" t="s">
        <v>1233</v>
      </c>
      <c r="G1217" s="40" t="s">
        <v>845</v>
      </c>
      <c r="H1217" s="7" t="s">
        <v>1252</v>
      </c>
      <c r="I1217" s="249">
        <v>50</v>
      </c>
      <c r="J1217" s="249">
        <v>39995</v>
      </c>
      <c r="K1217" s="595">
        <f t="shared" si="59"/>
        <v>1999750</v>
      </c>
      <c r="L1217" s="39" t="s">
        <v>162</v>
      </c>
      <c r="M1217" s="596" t="s">
        <v>156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IF(OR(TH!L1217=TH!$U$7,M1217=TH!$U$7),"x","")</f>
        <v/>
      </c>
      <c r="V1217" s="52" t="str">
        <f>IF(AND(B1217&gt;='IN-NX'!$P$3,B1217&lt;='IN-NX'!$Q$3,'IN-NX'!$D$7=D1217,OR(LEFT(L1217,2)="15",AND(LEFT(M1217,2)&lt;&gt;"15",LEFT(M1217,2)&lt;&gt;"33"))),"x","")</f>
        <v/>
      </c>
      <c r="W1217" s="52" t="str">
        <f>IF(AND(OR(LEFT(TH!L1217,2)="15",LEFT(TH!M1217,2)="15"),'152-CT'!$J$8=TH!F1217),"x","")</f>
        <v/>
      </c>
      <c r="X1217" s="52" t="str">
        <f>IF(AND(OR(LEFT(TH!L1217,2)="15",LEFT(TH!M1217,2)="15"),TK!$E$7=TH!F1217),"x","")</f>
        <v/>
      </c>
      <c r="Y1217" s="52" t="str">
        <f>IF(AND(B1217&lt;=NKC!$N$8,B1217&gt;=NKC!$M$8),"x","")</f>
        <v>x</v>
      </c>
    </row>
    <row r="1218" spans="1:25" s="208" customFormat="1" ht="15.75" customHeight="1">
      <c r="A1218" s="201" t="str">
        <f>IF(B1218&lt;&gt;"",IF(AND(B1218&gt;=_TM1,B1218&lt;=_TM2,OR(TH!L1218="1111",TH!M1218="1111")),TH!D1218,""),"")</f>
        <v/>
      </c>
      <c r="B1218" s="36">
        <f t="shared" si="57"/>
        <v>7</v>
      </c>
      <c r="C1218" s="188">
        <f t="shared" si="58"/>
        <v>41474</v>
      </c>
      <c r="D1218" s="188" t="s">
        <v>1260</v>
      </c>
      <c r="E1218" s="735">
        <v>41474</v>
      </c>
      <c r="F1218" s="186" t="s">
        <v>575</v>
      </c>
      <c r="G1218" s="40" t="s">
        <v>845</v>
      </c>
      <c r="H1218" s="7" t="s">
        <v>1252</v>
      </c>
      <c r="I1218" s="249">
        <v>25</v>
      </c>
      <c r="J1218" s="249">
        <v>38966</v>
      </c>
      <c r="K1218" s="595">
        <f t="shared" si="59"/>
        <v>974150</v>
      </c>
      <c r="L1218" s="39" t="s">
        <v>162</v>
      </c>
      <c r="M1218" s="596" t="s">
        <v>156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IF(OR(TH!L1218=TH!$U$7,M1218=TH!$U$7),"x","")</f>
        <v/>
      </c>
      <c r="V1218" s="52" t="str">
        <f>IF(AND(B1218&gt;='IN-NX'!$P$3,B1218&lt;='IN-NX'!$Q$3,'IN-NX'!$D$7=D1218,OR(LEFT(L1218,2)="15",AND(LEFT(M1218,2)&lt;&gt;"15",LEFT(M1218,2)&lt;&gt;"33"))),"x","")</f>
        <v/>
      </c>
      <c r="W1218" s="52" t="str">
        <f>IF(AND(OR(LEFT(TH!L1218,2)="15",LEFT(TH!M1218,2)="15"),'152-CT'!$J$8=TH!F1218),"x","")</f>
        <v/>
      </c>
      <c r="X1218" s="52" t="str">
        <f>IF(AND(OR(LEFT(TH!L1218,2)="15",LEFT(TH!M1218,2)="15"),TK!$E$7=TH!F1218),"x","")</f>
        <v/>
      </c>
      <c r="Y1218" s="52" t="str">
        <f>IF(AND(B1218&lt;=NKC!$N$8,B1218&gt;=NKC!$M$8),"x","")</f>
        <v>x</v>
      </c>
    </row>
    <row r="1219" spans="1:25" s="208" customFormat="1" ht="15.75" customHeight="1">
      <c r="A1219" s="201" t="str">
        <f>IF(B1219&lt;&gt;"",IF(AND(B1219&gt;=_TM1,B1219&lt;=_TM2,OR(TH!L1219="1111",TH!M1219="1111")),TH!D1219,""),"")</f>
        <v/>
      </c>
      <c r="B1219" s="36">
        <f t="shared" si="57"/>
        <v>7</v>
      </c>
      <c r="C1219" s="188">
        <f t="shared" si="58"/>
        <v>41474</v>
      </c>
      <c r="D1219" s="188" t="s">
        <v>1260</v>
      </c>
      <c r="E1219" s="735">
        <v>41474</v>
      </c>
      <c r="F1219" s="290" t="s">
        <v>575</v>
      </c>
      <c r="G1219" s="40" t="s">
        <v>845</v>
      </c>
      <c r="H1219" s="7" t="s">
        <v>1252</v>
      </c>
      <c r="I1219" s="249">
        <v>27</v>
      </c>
      <c r="J1219" s="249">
        <v>38966</v>
      </c>
      <c r="K1219" s="595">
        <f t="shared" si="59"/>
        <v>1052082</v>
      </c>
      <c r="L1219" s="39" t="s">
        <v>162</v>
      </c>
      <c r="M1219" s="596" t="s">
        <v>156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IF(OR(TH!L1219=TH!$U$7,M1219=TH!$U$7),"x","")</f>
        <v/>
      </c>
      <c r="V1219" s="52" t="str">
        <f>IF(AND(B1219&gt;='IN-NX'!$P$3,B1219&lt;='IN-NX'!$Q$3,'IN-NX'!$D$7=D1219,OR(LEFT(L1219,2)="15",AND(LEFT(M1219,2)&lt;&gt;"15",LEFT(M1219,2)&lt;&gt;"33"))),"x","")</f>
        <v/>
      </c>
      <c r="W1219" s="52" t="str">
        <f>IF(AND(OR(LEFT(TH!L1219,2)="15",LEFT(TH!M1219,2)="15"),'152-CT'!$J$8=TH!F1219),"x","")</f>
        <v/>
      </c>
      <c r="X1219" s="52" t="str">
        <f>IF(AND(OR(LEFT(TH!L1219,2)="15",LEFT(TH!M1219,2)="15"),TK!$E$7=TH!F1219),"x","")</f>
        <v/>
      </c>
      <c r="Y1219" s="52" t="str">
        <f>IF(AND(B1219&lt;=NKC!$N$8,B1219&gt;=NKC!$M$8),"x","")</f>
        <v>x</v>
      </c>
    </row>
    <row r="1220" spans="1:25" s="208" customFormat="1" ht="15.75" customHeight="1">
      <c r="A1220" s="201" t="str">
        <f>IF(B1220&lt;&gt;"",IF(AND(B1220&gt;=_TM1,B1220&lt;=_TM2,OR(TH!L1220="1111",TH!M1220="1111")),TH!D1220,""),"")</f>
        <v/>
      </c>
      <c r="B1220" s="36">
        <f t="shared" si="57"/>
        <v>7</v>
      </c>
      <c r="C1220" s="188">
        <f t="shared" si="58"/>
        <v>41474</v>
      </c>
      <c r="D1220" s="188" t="s">
        <v>1260</v>
      </c>
      <c r="E1220" s="37">
        <v>41474</v>
      </c>
      <c r="F1220" s="40" t="s">
        <v>575</v>
      </c>
      <c r="G1220" s="40" t="s">
        <v>845</v>
      </c>
      <c r="H1220" s="7" t="s">
        <v>1252</v>
      </c>
      <c r="I1220" s="249">
        <v>28</v>
      </c>
      <c r="J1220" s="249">
        <v>38966</v>
      </c>
      <c r="K1220" s="595">
        <f t="shared" si="59"/>
        <v>1091048</v>
      </c>
      <c r="L1220" s="39" t="s">
        <v>162</v>
      </c>
      <c r="M1220" s="596" t="s">
        <v>156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IF(OR(TH!L1220=TH!$U$7,M1220=TH!$U$7),"x","")</f>
        <v/>
      </c>
      <c r="V1220" s="52" t="str">
        <f>IF(AND(B1220&gt;='IN-NX'!$P$3,B1220&lt;='IN-NX'!$Q$3,'IN-NX'!$D$7=D1220,OR(LEFT(L1220,2)="15",AND(LEFT(M1220,2)&lt;&gt;"15",LEFT(M1220,2)&lt;&gt;"33"))),"x","")</f>
        <v/>
      </c>
      <c r="W1220" s="52" t="str">
        <f>IF(AND(OR(LEFT(TH!L1220,2)="15",LEFT(TH!M1220,2)="15"),'152-CT'!$J$8=TH!F1220),"x","")</f>
        <v/>
      </c>
      <c r="X1220" s="52" t="str">
        <f>IF(AND(OR(LEFT(TH!L1220,2)="15",LEFT(TH!M1220,2)="15"),TK!$E$7=TH!F1220),"x","")</f>
        <v/>
      </c>
      <c r="Y1220" s="52" t="str">
        <f>IF(AND(B1220&lt;=NKC!$N$8,B1220&gt;=NKC!$M$8),"x","")</f>
        <v>x</v>
      </c>
    </row>
    <row r="1221" spans="1:25" s="208" customFormat="1" ht="15.75" customHeight="1">
      <c r="A1221" s="201" t="str">
        <f>IF(B1221&lt;&gt;"",IF(AND(B1221&gt;=_TM1,B1221&lt;=_TM2,OR(TH!L1221="1111",TH!M1221="1111")),TH!D1221,""),"")</f>
        <v/>
      </c>
      <c r="B1221" s="36">
        <f t="shared" si="57"/>
        <v>7</v>
      </c>
      <c r="C1221" s="188">
        <f t="shared" si="58"/>
        <v>41474</v>
      </c>
      <c r="D1221" s="188" t="s">
        <v>1260</v>
      </c>
      <c r="E1221" s="37">
        <v>41474</v>
      </c>
      <c r="F1221" s="40" t="s">
        <v>575</v>
      </c>
      <c r="G1221" s="40" t="s">
        <v>845</v>
      </c>
      <c r="H1221" s="7" t="s">
        <v>1252</v>
      </c>
      <c r="I1221" s="249">
        <v>30</v>
      </c>
      <c r="J1221" s="249">
        <v>38966</v>
      </c>
      <c r="K1221" s="595">
        <f t="shared" si="59"/>
        <v>1168980</v>
      </c>
      <c r="L1221" s="39" t="s">
        <v>162</v>
      </c>
      <c r="M1221" s="596" t="s">
        <v>156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IF(OR(TH!L1221=TH!$U$7,M1221=TH!$U$7),"x","")</f>
        <v/>
      </c>
      <c r="V1221" s="52" t="str">
        <f>IF(AND(B1221&gt;='IN-NX'!$P$3,B1221&lt;='IN-NX'!$Q$3,'IN-NX'!$D$7=D1221,OR(LEFT(L1221,2)="15",AND(LEFT(M1221,2)&lt;&gt;"15",LEFT(M1221,2)&lt;&gt;"33"))),"x","")</f>
        <v/>
      </c>
      <c r="W1221" s="52" t="str">
        <f>IF(AND(OR(LEFT(TH!L1221,2)="15",LEFT(TH!M1221,2)="15"),'152-CT'!$J$8=TH!F1221),"x","")</f>
        <v/>
      </c>
      <c r="X1221" s="52" t="str">
        <f>IF(AND(OR(LEFT(TH!L1221,2)="15",LEFT(TH!M1221,2)="15"),TK!$E$7=TH!F1221),"x","")</f>
        <v/>
      </c>
      <c r="Y1221" s="52" t="str">
        <f>IF(AND(B1221&lt;=NKC!$N$8,B1221&gt;=NKC!$M$8),"x","")</f>
        <v>x</v>
      </c>
    </row>
    <row r="1222" spans="1:25" s="208" customFormat="1" ht="15.75" customHeight="1">
      <c r="A1222" s="201" t="str">
        <f>IF(B1222&lt;&gt;"",IF(AND(B1222&gt;=_TM1,B1222&lt;=_TM2,OR(TH!L1222="1111",TH!M1222="1111")),TH!D1222,""),"")</f>
        <v/>
      </c>
      <c r="B1222" s="36">
        <f t="shared" si="57"/>
        <v>7</v>
      </c>
      <c r="C1222" s="188">
        <f t="shared" si="58"/>
        <v>41476</v>
      </c>
      <c r="D1222" s="188" t="s">
        <v>1260</v>
      </c>
      <c r="E1222" s="37">
        <v>41476</v>
      </c>
      <c r="F1222" s="40" t="s">
        <v>1246</v>
      </c>
      <c r="G1222" s="40" t="s">
        <v>853</v>
      </c>
      <c r="H1222" s="7" t="s">
        <v>1252</v>
      </c>
      <c r="I1222" s="249">
        <v>130</v>
      </c>
      <c r="J1222" s="249">
        <v>13381</v>
      </c>
      <c r="K1222" s="595">
        <f t="shared" si="59"/>
        <v>1739530</v>
      </c>
      <c r="L1222" s="39" t="s">
        <v>162</v>
      </c>
      <c r="M1222" s="596" t="s">
        <v>156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IF(OR(TH!L1222=TH!$U$7,M1222=TH!$U$7),"x","")</f>
        <v/>
      </c>
      <c r="V1222" s="52" t="str">
        <f>IF(AND(B1222&gt;='IN-NX'!$P$3,B1222&lt;='IN-NX'!$Q$3,'IN-NX'!$D$7=D1222,OR(LEFT(L1222,2)="15",AND(LEFT(M1222,2)&lt;&gt;"15",LEFT(M1222,2)&lt;&gt;"33"))),"x","")</f>
        <v/>
      </c>
      <c r="W1222" s="52" t="str">
        <f>IF(AND(OR(LEFT(TH!L1222,2)="15",LEFT(TH!M1222,2)="15"),'152-CT'!$J$8=TH!F1222),"x","")</f>
        <v/>
      </c>
      <c r="X1222" s="52" t="str">
        <f>IF(AND(OR(LEFT(TH!L1222,2)="15",LEFT(TH!M1222,2)="15"),TK!$E$7=TH!F1222),"x","")</f>
        <v/>
      </c>
      <c r="Y1222" s="52" t="str">
        <f>IF(AND(B1222&lt;=NKC!$N$8,B1222&gt;=NKC!$M$8),"x","")</f>
        <v>x</v>
      </c>
    </row>
    <row r="1223" spans="1:25" s="208" customFormat="1" ht="15.75" customHeight="1">
      <c r="A1223" s="201" t="str">
        <f>IF(B1223&lt;&gt;"",IF(AND(B1223&gt;=_TM1,B1223&lt;=_TM2,OR(TH!L1223="1111",TH!M1223="1111")),TH!D1223,""),"")</f>
        <v/>
      </c>
      <c r="B1223" s="36">
        <f t="shared" si="57"/>
        <v>7</v>
      </c>
      <c r="C1223" s="188">
        <f t="shared" si="58"/>
        <v>41476</v>
      </c>
      <c r="D1223" s="188" t="s">
        <v>1260</v>
      </c>
      <c r="E1223" s="37">
        <v>41476</v>
      </c>
      <c r="F1223" s="40" t="s">
        <v>584</v>
      </c>
      <c r="G1223" s="40" t="s">
        <v>853</v>
      </c>
      <c r="H1223" s="7" t="s">
        <v>1252</v>
      </c>
      <c r="I1223" s="249">
        <v>101</v>
      </c>
      <c r="J1223" s="249">
        <v>9324</v>
      </c>
      <c r="K1223" s="595">
        <f t="shared" si="59"/>
        <v>941724</v>
      </c>
      <c r="L1223" s="39" t="s">
        <v>162</v>
      </c>
      <c r="M1223" s="596" t="s">
        <v>156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IF(OR(TH!L1223=TH!$U$7,M1223=TH!$U$7),"x","")</f>
        <v/>
      </c>
      <c r="V1223" s="52" t="str">
        <f>IF(AND(B1223&gt;='IN-NX'!$P$3,B1223&lt;='IN-NX'!$Q$3,'IN-NX'!$D$7=D1223,OR(LEFT(L1223,2)="15",AND(LEFT(M1223,2)&lt;&gt;"15",LEFT(M1223,2)&lt;&gt;"33"))),"x","")</f>
        <v/>
      </c>
      <c r="W1223" s="52" t="str">
        <f>IF(AND(OR(LEFT(TH!L1223,2)="15",LEFT(TH!M1223,2)="15"),'152-CT'!$J$8=TH!F1223),"x","")</f>
        <v/>
      </c>
      <c r="X1223" s="52" t="str">
        <f>IF(AND(OR(LEFT(TH!L1223,2)="15",LEFT(TH!M1223,2)="15"),TK!$E$7=TH!F1223),"x","")</f>
        <v/>
      </c>
      <c r="Y1223" s="52" t="str">
        <f>IF(AND(B1223&lt;=NKC!$N$8,B1223&gt;=NKC!$M$8),"x","")</f>
        <v>x</v>
      </c>
    </row>
    <row r="1224" spans="1:25" s="208" customFormat="1" ht="15.75" customHeight="1">
      <c r="A1224" s="201" t="str">
        <f>IF(B1224&lt;&gt;"",IF(AND(B1224&gt;=_TM1,B1224&lt;=_TM2,OR(TH!L1224="1111",TH!M1224="1111")),TH!D1224,""),"")</f>
        <v/>
      </c>
      <c r="B1224" s="36">
        <f t="shared" si="57"/>
        <v>7</v>
      </c>
      <c r="C1224" s="188">
        <f t="shared" si="58"/>
        <v>41476</v>
      </c>
      <c r="D1224" s="188" t="s">
        <v>1260</v>
      </c>
      <c r="E1224" s="37">
        <v>41476</v>
      </c>
      <c r="F1224" s="40" t="s">
        <v>1202</v>
      </c>
      <c r="G1224" s="40" t="s">
        <v>853</v>
      </c>
      <c r="H1224" s="7" t="s">
        <v>1252</v>
      </c>
      <c r="I1224" s="249">
        <v>49</v>
      </c>
      <c r="J1224" s="249">
        <v>18306</v>
      </c>
      <c r="K1224" s="595">
        <f t="shared" si="59"/>
        <v>896994</v>
      </c>
      <c r="L1224" s="39" t="s">
        <v>162</v>
      </c>
      <c r="M1224" s="596" t="s">
        <v>156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IF(OR(TH!L1224=TH!$U$7,M1224=TH!$U$7),"x","")</f>
        <v/>
      </c>
      <c r="V1224" s="52" t="str">
        <f>IF(AND(B1224&gt;='IN-NX'!$P$3,B1224&lt;='IN-NX'!$Q$3,'IN-NX'!$D$7=D1224,OR(LEFT(L1224,2)="15",AND(LEFT(M1224,2)&lt;&gt;"15",LEFT(M1224,2)&lt;&gt;"33"))),"x","")</f>
        <v/>
      </c>
      <c r="W1224" s="52" t="str">
        <f>IF(AND(OR(LEFT(TH!L1224,2)="15",LEFT(TH!M1224,2)="15"),'152-CT'!$J$8=TH!F1224),"x","")</f>
        <v/>
      </c>
      <c r="X1224" s="52" t="str">
        <f>IF(AND(OR(LEFT(TH!L1224,2)="15",LEFT(TH!M1224,2)="15"),TK!$E$7=TH!F1224),"x","")</f>
        <v/>
      </c>
      <c r="Y1224" s="52" t="str">
        <f>IF(AND(B1224&lt;=NKC!$N$8,B1224&gt;=NKC!$M$8),"x","")</f>
        <v>x</v>
      </c>
    </row>
    <row r="1225" spans="1:25" s="208" customFormat="1" ht="15.75" customHeight="1">
      <c r="A1225" s="201" t="str">
        <f>IF(B1225&lt;&gt;"",IF(AND(B1225&gt;=_TM1,B1225&lt;=_TM2,OR(TH!L1225="1111",TH!M1225="1111")),TH!D1225,""),"")</f>
        <v/>
      </c>
      <c r="B1225" s="36">
        <f t="shared" si="57"/>
        <v>7</v>
      </c>
      <c r="C1225" s="188">
        <f t="shared" si="58"/>
        <v>41477</v>
      </c>
      <c r="D1225" s="188" t="s">
        <v>1260</v>
      </c>
      <c r="E1225" s="37">
        <v>41477</v>
      </c>
      <c r="F1225" s="40" t="s">
        <v>1220</v>
      </c>
      <c r="G1225" s="40" t="s">
        <v>855</v>
      </c>
      <c r="H1225" s="7" t="s">
        <v>1252</v>
      </c>
      <c r="I1225" s="249">
        <v>50</v>
      </c>
      <c r="J1225" s="249">
        <v>23149</v>
      </c>
      <c r="K1225" s="595">
        <f t="shared" si="59"/>
        <v>1157450</v>
      </c>
      <c r="L1225" s="39" t="s">
        <v>162</v>
      </c>
      <c r="M1225" s="596" t="s">
        <v>156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IF(OR(TH!L1225=TH!$U$7,M1225=TH!$U$7),"x","")</f>
        <v/>
      </c>
      <c r="V1225" s="52" t="str">
        <f>IF(AND(B1225&gt;='IN-NX'!$P$3,B1225&lt;='IN-NX'!$Q$3,'IN-NX'!$D$7=D1225,OR(LEFT(L1225,2)="15",AND(LEFT(M1225,2)&lt;&gt;"15",LEFT(M1225,2)&lt;&gt;"33"))),"x","")</f>
        <v/>
      </c>
      <c r="W1225" s="52" t="str">
        <f>IF(AND(OR(LEFT(TH!L1225,2)="15",LEFT(TH!M1225,2)="15"),'152-CT'!$J$8=TH!F1225),"x","")</f>
        <v/>
      </c>
      <c r="X1225" s="52" t="str">
        <f>IF(AND(OR(LEFT(TH!L1225,2)="15",LEFT(TH!M1225,2)="15"),TK!$E$7=TH!F1225),"x","")</f>
        <v/>
      </c>
      <c r="Y1225" s="52" t="str">
        <f>IF(AND(B1225&lt;=NKC!$N$8,B1225&gt;=NKC!$M$8),"x","")</f>
        <v>x</v>
      </c>
    </row>
    <row r="1226" spans="1:25" s="208" customFormat="1" ht="15.75" customHeight="1">
      <c r="A1226" s="201" t="str">
        <f>IF(B1226&lt;&gt;"",IF(AND(B1226&gt;=_TM1,B1226&lt;=_TM2,OR(TH!L1226="1111",TH!M1226="1111")),TH!D1226,""),"")</f>
        <v/>
      </c>
      <c r="B1226" s="36">
        <f t="shared" si="57"/>
        <v>7</v>
      </c>
      <c r="C1226" s="188">
        <f t="shared" si="58"/>
        <v>41477</v>
      </c>
      <c r="D1226" s="188" t="s">
        <v>1260</v>
      </c>
      <c r="E1226" s="37">
        <v>41477</v>
      </c>
      <c r="F1226" s="40" t="s">
        <v>625</v>
      </c>
      <c r="G1226" s="40" t="s">
        <v>855</v>
      </c>
      <c r="H1226" s="7" t="s">
        <v>1252</v>
      </c>
      <c r="I1226" s="249">
        <v>250</v>
      </c>
      <c r="J1226" s="249">
        <v>13832</v>
      </c>
      <c r="K1226" s="595">
        <f t="shared" si="59"/>
        <v>3458000</v>
      </c>
      <c r="L1226" s="39" t="s">
        <v>162</v>
      </c>
      <c r="M1226" s="596" t="s">
        <v>156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IF(OR(TH!L1226=TH!$U$7,M1226=TH!$U$7),"x","")</f>
        <v/>
      </c>
      <c r="V1226" s="52" t="str">
        <f>IF(AND(B1226&gt;='IN-NX'!$P$3,B1226&lt;='IN-NX'!$Q$3,'IN-NX'!$D$7=D1226,OR(LEFT(L1226,2)="15",AND(LEFT(M1226,2)&lt;&gt;"15",LEFT(M1226,2)&lt;&gt;"33"))),"x","")</f>
        <v/>
      </c>
      <c r="W1226" s="52" t="str">
        <f>IF(AND(OR(LEFT(TH!L1226,2)="15",LEFT(TH!M1226,2)="15"),'152-CT'!$J$8=TH!F1226),"x","")</f>
        <v/>
      </c>
      <c r="X1226" s="52" t="str">
        <f>IF(AND(OR(LEFT(TH!L1226,2)="15",LEFT(TH!M1226,2)="15"),TK!$E$7=TH!F1226),"x","")</f>
        <v/>
      </c>
      <c r="Y1226" s="52" t="str">
        <f>IF(AND(B1226&lt;=NKC!$N$8,B1226&gt;=NKC!$M$8),"x","")</f>
        <v>x</v>
      </c>
    </row>
    <row r="1227" spans="1:25" s="208" customFormat="1" ht="15.75" customHeight="1">
      <c r="A1227" s="201" t="str">
        <f>IF(B1227&lt;&gt;"",IF(AND(B1227&gt;=_TM1,B1227&lt;=_TM2,OR(TH!L1227="1111",TH!M1227="1111")),TH!D1227,""),"")</f>
        <v/>
      </c>
      <c r="B1227" s="36">
        <f t="shared" si="57"/>
        <v>7</v>
      </c>
      <c r="C1227" s="188">
        <f t="shared" si="58"/>
        <v>41477</v>
      </c>
      <c r="D1227" s="188" t="s">
        <v>1260</v>
      </c>
      <c r="E1227" s="37">
        <v>41477</v>
      </c>
      <c r="F1227" s="40" t="s">
        <v>1224</v>
      </c>
      <c r="G1227" s="40" t="s">
        <v>855</v>
      </c>
      <c r="H1227" s="7" t="s">
        <v>1252</v>
      </c>
      <c r="I1227" s="249">
        <v>150</v>
      </c>
      <c r="J1227" s="249">
        <v>20992</v>
      </c>
      <c r="K1227" s="595">
        <f t="shared" si="59"/>
        <v>3148800</v>
      </c>
      <c r="L1227" s="39" t="s">
        <v>162</v>
      </c>
      <c r="M1227" s="596" t="s">
        <v>156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IF(OR(TH!L1227=TH!$U$7,M1227=TH!$U$7),"x","")</f>
        <v/>
      </c>
      <c r="V1227" s="52" t="str">
        <f>IF(AND(B1227&gt;='IN-NX'!$P$3,B1227&lt;='IN-NX'!$Q$3,'IN-NX'!$D$7=D1227,OR(LEFT(L1227,2)="15",AND(LEFT(M1227,2)&lt;&gt;"15",LEFT(M1227,2)&lt;&gt;"33"))),"x","")</f>
        <v/>
      </c>
      <c r="W1227" s="52" t="str">
        <f>IF(AND(OR(LEFT(TH!L1227,2)="15",LEFT(TH!M1227,2)="15"),'152-CT'!$J$8=TH!F1227),"x","")</f>
        <v/>
      </c>
      <c r="X1227" s="52" t="str">
        <f>IF(AND(OR(LEFT(TH!L1227,2)="15",LEFT(TH!M1227,2)="15"),TK!$E$7=TH!F1227),"x","")</f>
        <v/>
      </c>
      <c r="Y1227" s="52" t="str">
        <f>IF(AND(B1227&lt;=NKC!$N$8,B1227&gt;=NKC!$M$8),"x","")</f>
        <v>x</v>
      </c>
    </row>
    <row r="1228" spans="1:25" s="208" customFormat="1" ht="15.75" customHeight="1">
      <c r="A1228" s="201" t="str">
        <f>IF(B1228&lt;&gt;"",IF(AND(B1228&gt;=_TM1,B1228&lt;=_TM2,OR(TH!L1228="1111",TH!M1228="1111")),TH!D1228,""),"")</f>
        <v/>
      </c>
      <c r="B1228" s="36">
        <f t="shared" si="57"/>
        <v>7</v>
      </c>
      <c r="C1228" s="188">
        <f t="shared" si="58"/>
        <v>41477</v>
      </c>
      <c r="D1228" s="188" t="s">
        <v>1260</v>
      </c>
      <c r="E1228" s="37">
        <v>41477</v>
      </c>
      <c r="F1228" s="40" t="s">
        <v>646</v>
      </c>
      <c r="G1228" s="40" t="s">
        <v>855</v>
      </c>
      <c r="H1228" s="7" t="s">
        <v>1252</v>
      </c>
      <c r="I1228" s="249">
        <v>500</v>
      </c>
      <c r="J1228" s="249">
        <v>11722</v>
      </c>
      <c r="K1228" s="595">
        <f t="shared" si="59"/>
        <v>5861000</v>
      </c>
      <c r="L1228" s="39" t="s">
        <v>162</v>
      </c>
      <c r="M1228" s="596" t="s">
        <v>156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IF(OR(TH!L1228=TH!$U$7,M1228=TH!$U$7),"x","")</f>
        <v/>
      </c>
      <c r="V1228" s="52" t="str">
        <f>IF(AND(B1228&gt;='IN-NX'!$P$3,B1228&lt;='IN-NX'!$Q$3,'IN-NX'!$D$7=D1228,OR(LEFT(L1228,2)="15",AND(LEFT(M1228,2)&lt;&gt;"15",LEFT(M1228,2)&lt;&gt;"33"))),"x","")</f>
        <v/>
      </c>
      <c r="W1228" s="52" t="str">
        <f>IF(AND(OR(LEFT(TH!L1228,2)="15",LEFT(TH!M1228,2)="15"),'152-CT'!$J$8=TH!F1228),"x","")</f>
        <v/>
      </c>
      <c r="X1228" s="52" t="str">
        <f>IF(AND(OR(LEFT(TH!L1228,2)="15",LEFT(TH!M1228,2)="15"),TK!$E$7=TH!F1228),"x","")</f>
        <v/>
      </c>
      <c r="Y1228" s="52" t="str">
        <f>IF(AND(B1228&lt;=NKC!$N$8,B1228&gt;=NKC!$M$8),"x","")</f>
        <v>x</v>
      </c>
    </row>
    <row r="1229" spans="1:25" s="208" customFormat="1" ht="15.75" customHeight="1">
      <c r="A1229" s="201" t="str">
        <f>IF(B1229&lt;&gt;"",IF(AND(B1229&gt;=_TM1,B1229&lt;=_TM2,OR(TH!L1229="1111",TH!M1229="1111")),TH!D1229,""),"")</f>
        <v/>
      </c>
      <c r="B1229" s="36">
        <f t="shared" si="57"/>
        <v>7</v>
      </c>
      <c r="C1229" s="188">
        <f t="shared" si="58"/>
        <v>41478</v>
      </c>
      <c r="D1229" s="188" t="s">
        <v>1260</v>
      </c>
      <c r="E1229" s="37">
        <v>41478</v>
      </c>
      <c r="F1229" s="40" t="s">
        <v>682</v>
      </c>
      <c r="G1229" s="40" t="s">
        <v>857</v>
      </c>
      <c r="H1229" s="7" t="s">
        <v>1252</v>
      </c>
      <c r="I1229" s="249">
        <v>780</v>
      </c>
      <c r="J1229" s="249">
        <v>20635.247863247863</v>
      </c>
      <c r="K1229" s="595">
        <f t="shared" si="59"/>
        <v>16095493</v>
      </c>
      <c r="L1229" s="39" t="s">
        <v>162</v>
      </c>
      <c r="M1229" s="596" t="s">
        <v>156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IF(OR(TH!L1229=TH!$U$7,M1229=TH!$U$7),"x","")</f>
        <v/>
      </c>
      <c r="V1229" s="52" t="str">
        <f>IF(AND(B1229&gt;='IN-NX'!$P$3,B1229&lt;='IN-NX'!$Q$3,'IN-NX'!$D$7=D1229,OR(LEFT(L1229,2)="15",AND(LEFT(M1229,2)&lt;&gt;"15",LEFT(M1229,2)&lt;&gt;"33"))),"x","")</f>
        <v/>
      </c>
      <c r="W1229" s="52" t="str">
        <f>IF(AND(OR(LEFT(TH!L1229,2)="15",LEFT(TH!M1229,2)="15"),'152-CT'!$J$8=TH!F1229),"x","")</f>
        <v/>
      </c>
      <c r="X1229" s="52" t="str">
        <f>IF(AND(OR(LEFT(TH!L1229,2)="15",LEFT(TH!M1229,2)="15"),TK!$E$7=TH!F1229),"x","")</f>
        <v/>
      </c>
      <c r="Y1229" s="52" t="str">
        <f>IF(AND(B1229&lt;=NKC!$N$8,B1229&gt;=NKC!$M$8),"x","")</f>
        <v>x</v>
      </c>
    </row>
    <row r="1230" spans="1:25" s="208" customFormat="1" ht="15.75" customHeight="1">
      <c r="A1230" s="201" t="str">
        <f>IF(B1230&lt;&gt;"",IF(AND(B1230&gt;=_TM1,B1230&lt;=_TM2,OR(TH!L1230="1111",TH!M1230="1111")),TH!D1230,""),"")</f>
        <v/>
      </c>
      <c r="B1230" s="36">
        <f t="shared" si="57"/>
        <v>7</v>
      </c>
      <c r="C1230" s="188">
        <f t="shared" si="58"/>
        <v>41481</v>
      </c>
      <c r="D1230" s="188" t="s">
        <v>1260</v>
      </c>
      <c r="E1230" s="37">
        <v>41481</v>
      </c>
      <c r="F1230" s="40" t="s">
        <v>619</v>
      </c>
      <c r="G1230" s="40" t="s">
        <v>858</v>
      </c>
      <c r="H1230" s="7" t="s">
        <v>1252</v>
      </c>
      <c r="I1230" s="249">
        <v>500</v>
      </c>
      <c r="J1230" s="249">
        <v>8462.418420401089</v>
      </c>
      <c r="K1230" s="595">
        <f t="shared" si="59"/>
        <v>4231209</v>
      </c>
      <c r="L1230" s="39" t="s">
        <v>162</v>
      </c>
      <c r="M1230" s="596" t="s">
        <v>156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IF(OR(TH!L1230=TH!$U$7,M1230=TH!$U$7),"x","")</f>
        <v/>
      </c>
      <c r="V1230" s="52" t="str">
        <f>IF(AND(B1230&gt;='IN-NX'!$P$3,B1230&lt;='IN-NX'!$Q$3,'IN-NX'!$D$7=D1230,OR(LEFT(L1230,2)="15",AND(LEFT(M1230,2)&lt;&gt;"15",LEFT(M1230,2)&lt;&gt;"33"))),"x","")</f>
        <v/>
      </c>
      <c r="W1230" s="52" t="str">
        <f>IF(AND(OR(LEFT(TH!L1230,2)="15",LEFT(TH!M1230,2)="15"),'152-CT'!$J$8=TH!F1230),"x","")</f>
        <v/>
      </c>
      <c r="X1230" s="52" t="str">
        <f>IF(AND(OR(LEFT(TH!L1230,2)="15",LEFT(TH!M1230,2)="15"),TK!$E$7=TH!F1230),"x","")</f>
        <v/>
      </c>
      <c r="Y1230" s="52" t="str">
        <f>IF(AND(B1230&lt;=NKC!$N$8,B1230&gt;=NKC!$M$8),"x","")</f>
        <v>x</v>
      </c>
    </row>
    <row r="1231" spans="1:25" s="208" customFormat="1" ht="15.75" customHeight="1">
      <c r="A1231" s="201" t="str">
        <f>IF(B1231&lt;&gt;"",IF(AND(B1231&gt;=_TM1,B1231&lt;=_TM2,OR(TH!L1231="1111",TH!M1231="1111")),TH!D1231,""),"")</f>
        <v/>
      </c>
      <c r="B1231" s="36">
        <f t="shared" si="57"/>
        <v>7</v>
      </c>
      <c r="C1231" s="188">
        <f t="shared" si="58"/>
        <v>41484</v>
      </c>
      <c r="D1231" s="188" t="s">
        <v>1260</v>
      </c>
      <c r="E1231" s="37">
        <v>41484</v>
      </c>
      <c r="F1231" s="40" t="s">
        <v>1135</v>
      </c>
      <c r="G1231" s="40" t="s">
        <v>859</v>
      </c>
      <c r="H1231" s="7" t="s">
        <v>1252</v>
      </c>
      <c r="I1231" s="249">
        <v>100</v>
      </c>
      <c r="J1231" s="249">
        <v>11780</v>
      </c>
      <c r="K1231" s="595">
        <f t="shared" si="59"/>
        <v>1178000</v>
      </c>
      <c r="L1231" s="39" t="s">
        <v>162</v>
      </c>
      <c r="M1231" s="596" t="s">
        <v>156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IF(OR(TH!L1231=TH!$U$7,M1231=TH!$U$7),"x","")</f>
        <v/>
      </c>
      <c r="V1231" s="52" t="str">
        <f>IF(AND(B1231&gt;='IN-NX'!$P$3,B1231&lt;='IN-NX'!$Q$3,'IN-NX'!$D$7=D1231,OR(LEFT(L1231,2)="15",AND(LEFT(M1231,2)&lt;&gt;"15",LEFT(M1231,2)&lt;&gt;"33"))),"x","")</f>
        <v/>
      </c>
      <c r="W1231" s="52" t="str">
        <f>IF(AND(OR(LEFT(TH!L1231,2)="15",LEFT(TH!M1231,2)="15"),'152-CT'!$J$8=TH!F1231),"x","")</f>
        <v/>
      </c>
      <c r="X1231" s="52" t="str">
        <f>IF(AND(OR(LEFT(TH!L1231,2)="15",LEFT(TH!M1231,2)="15"),TK!$E$7=TH!F1231),"x","")</f>
        <v/>
      </c>
      <c r="Y1231" s="52" t="str">
        <f>IF(AND(B1231&lt;=NKC!$N$8,B1231&gt;=NKC!$M$8),"x","")</f>
        <v>x</v>
      </c>
    </row>
    <row r="1232" spans="1:25" s="208" customFormat="1" ht="15.75" customHeight="1">
      <c r="A1232" s="201" t="str">
        <f>IF(B1232&lt;&gt;"",IF(AND(B1232&gt;=_TM1,B1232&lt;=_TM2,OR(TH!L1232="1111",TH!M1232="1111")),TH!D1232,""),"")</f>
        <v/>
      </c>
      <c r="B1232" s="36">
        <f t="shared" si="57"/>
        <v>7</v>
      </c>
      <c r="C1232" s="188">
        <f t="shared" si="58"/>
        <v>41484</v>
      </c>
      <c r="D1232" s="188" t="s">
        <v>1260</v>
      </c>
      <c r="E1232" s="37">
        <v>41484</v>
      </c>
      <c r="F1232" s="40" t="s">
        <v>1209</v>
      </c>
      <c r="G1232" s="40" t="s">
        <v>860</v>
      </c>
      <c r="H1232" s="7" t="s">
        <v>1252</v>
      </c>
      <c r="I1232" s="249">
        <v>200</v>
      </c>
      <c r="J1232" s="249">
        <v>19910.059393752887</v>
      </c>
      <c r="K1232" s="595">
        <f t="shared" si="59"/>
        <v>3982012</v>
      </c>
      <c r="L1232" s="39" t="s">
        <v>162</v>
      </c>
      <c r="M1232" s="596" t="s">
        <v>156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IF(OR(TH!L1232=TH!$U$7,M1232=TH!$U$7),"x","")</f>
        <v/>
      </c>
      <c r="V1232" s="52" t="str">
        <f>IF(AND(B1232&gt;='IN-NX'!$P$3,B1232&lt;='IN-NX'!$Q$3,'IN-NX'!$D$7=D1232,OR(LEFT(L1232,2)="15",AND(LEFT(M1232,2)&lt;&gt;"15",LEFT(M1232,2)&lt;&gt;"33"))),"x","")</f>
        <v/>
      </c>
      <c r="W1232" s="52" t="str">
        <f>IF(AND(OR(LEFT(TH!L1232,2)="15",LEFT(TH!M1232,2)="15"),'152-CT'!$J$8=TH!F1232),"x","")</f>
        <v/>
      </c>
      <c r="X1232" s="52" t="str">
        <f>IF(AND(OR(LEFT(TH!L1232,2)="15",LEFT(TH!M1232,2)="15"),TK!$E$7=TH!F1232),"x","")</f>
        <v/>
      </c>
      <c r="Y1232" s="52" t="str">
        <f>IF(AND(B1232&lt;=NKC!$N$8,B1232&gt;=NKC!$M$8),"x","")</f>
        <v>x</v>
      </c>
    </row>
    <row r="1233" spans="1:25" s="208" customFormat="1" ht="15.75" customHeight="1">
      <c r="A1233" s="201" t="str">
        <f>IF(B1233&lt;&gt;"",IF(AND(B1233&gt;=_TM1,B1233&lt;=_TM2,OR(TH!L1233="1111",TH!M1233="1111")),TH!D1233,""),"")</f>
        <v/>
      </c>
      <c r="B1233" s="36">
        <f t="shared" si="57"/>
        <v>7</v>
      </c>
      <c r="C1233" s="188">
        <f t="shared" si="58"/>
        <v>41485</v>
      </c>
      <c r="D1233" s="188" t="s">
        <v>1260</v>
      </c>
      <c r="E1233" s="37">
        <v>41485</v>
      </c>
      <c r="F1233" s="40" t="s">
        <v>1175</v>
      </c>
      <c r="G1233" s="40" t="s">
        <v>861</v>
      </c>
      <c r="H1233" s="7" t="s">
        <v>1252</v>
      </c>
      <c r="I1233" s="249">
        <v>200</v>
      </c>
      <c r="J1233" s="249">
        <v>18402</v>
      </c>
      <c r="K1233" s="595">
        <f t="shared" si="59"/>
        <v>3680400</v>
      </c>
      <c r="L1233" s="39" t="s">
        <v>162</v>
      </c>
      <c r="M1233" s="596" t="s">
        <v>156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IF(OR(TH!L1233=TH!$U$7,M1233=TH!$U$7),"x","")</f>
        <v/>
      </c>
      <c r="V1233" s="52" t="str">
        <f>IF(AND(B1233&gt;='IN-NX'!$P$3,B1233&lt;='IN-NX'!$Q$3,'IN-NX'!$D$7=D1233,OR(LEFT(L1233,2)="15",AND(LEFT(M1233,2)&lt;&gt;"15",LEFT(M1233,2)&lt;&gt;"33"))),"x","")</f>
        <v/>
      </c>
      <c r="W1233" s="52" t="str">
        <f>IF(AND(OR(LEFT(TH!L1233,2)="15",LEFT(TH!M1233,2)="15"),'152-CT'!$J$8=TH!F1233),"x","")</f>
        <v/>
      </c>
      <c r="X1233" s="52" t="str">
        <f>IF(AND(OR(LEFT(TH!L1233,2)="15",LEFT(TH!M1233,2)="15"),TK!$E$7=TH!F1233),"x","")</f>
        <v/>
      </c>
      <c r="Y1233" s="52" t="str">
        <f>IF(AND(B1233&lt;=NKC!$N$8,B1233&gt;=NKC!$M$8),"x","")</f>
        <v>x</v>
      </c>
    </row>
    <row r="1234" spans="1:25" s="208" customFormat="1" ht="15.75" customHeight="1">
      <c r="A1234" s="201" t="str">
        <f>IF(B1234&lt;&gt;"",IF(AND(B1234&gt;=_TM1,B1234&lt;=_TM2,OR(TH!L1234="1111",TH!M1234="1111")),TH!D1234,""),"")</f>
        <v/>
      </c>
      <c r="B1234" s="36">
        <f t="shared" si="57"/>
        <v>7</v>
      </c>
      <c r="C1234" s="188">
        <f t="shared" si="58"/>
        <v>41485</v>
      </c>
      <c r="D1234" s="188" t="s">
        <v>1260</v>
      </c>
      <c r="E1234" s="37">
        <v>41485</v>
      </c>
      <c r="F1234" s="40" t="s">
        <v>1209</v>
      </c>
      <c r="G1234" s="40" t="s">
        <v>862</v>
      </c>
      <c r="H1234" s="7" t="s">
        <v>1252</v>
      </c>
      <c r="I1234" s="249">
        <v>469</v>
      </c>
      <c r="J1234" s="249">
        <v>19910.059351276741</v>
      </c>
      <c r="K1234" s="595">
        <f t="shared" si="59"/>
        <v>9337818</v>
      </c>
      <c r="L1234" s="39" t="s">
        <v>162</v>
      </c>
      <c r="M1234" s="596" t="s">
        <v>156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IF(OR(TH!L1234=TH!$U$7,M1234=TH!$U$7),"x","")</f>
        <v/>
      </c>
      <c r="V1234" s="52" t="str">
        <f>IF(AND(B1234&gt;='IN-NX'!$P$3,B1234&lt;='IN-NX'!$Q$3,'IN-NX'!$D$7=D1234,OR(LEFT(L1234,2)="15",AND(LEFT(M1234,2)&lt;&gt;"15",LEFT(M1234,2)&lt;&gt;"33"))),"x","")</f>
        <v/>
      </c>
      <c r="W1234" s="52" t="str">
        <f>IF(AND(OR(LEFT(TH!L1234,2)="15",LEFT(TH!M1234,2)="15"),'152-CT'!$J$8=TH!F1234),"x","")</f>
        <v/>
      </c>
      <c r="X1234" s="52" t="str">
        <f>IF(AND(OR(LEFT(TH!L1234,2)="15",LEFT(TH!M1234,2)="15"),TK!$E$7=TH!F1234),"x","")</f>
        <v/>
      </c>
      <c r="Y1234" s="52" t="str">
        <f>IF(AND(B1234&lt;=NKC!$N$8,B1234&gt;=NKC!$M$8),"x","")</f>
        <v>x</v>
      </c>
    </row>
    <row r="1235" spans="1:25" s="208" customFormat="1" ht="15.75" customHeight="1">
      <c r="A1235" s="201" t="str">
        <f>IF(B1235&lt;&gt;"",IF(AND(B1235&gt;=_TM1,B1235&lt;=_TM2,OR(TH!L1235="1111",TH!M1235="1111")),TH!D1235,""),"")</f>
        <v/>
      </c>
      <c r="B1235" s="36">
        <f t="shared" si="57"/>
        <v>7</v>
      </c>
      <c r="C1235" s="188">
        <f t="shared" si="58"/>
        <v>41486</v>
      </c>
      <c r="D1235" s="188" t="s">
        <v>1260</v>
      </c>
      <c r="E1235" s="37">
        <v>41486</v>
      </c>
      <c r="F1235" s="40" t="s">
        <v>1209</v>
      </c>
      <c r="G1235" s="40" t="s">
        <v>864</v>
      </c>
      <c r="H1235" s="7" t="s">
        <v>1252</v>
      </c>
      <c r="I1235" s="249">
        <v>468</v>
      </c>
      <c r="J1235" s="249">
        <v>19910.059351276741</v>
      </c>
      <c r="K1235" s="595">
        <f t="shared" si="59"/>
        <v>9317908</v>
      </c>
      <c r="L1235" s="39" t="s">
        <v>162</v>
      </c>
      <c r="M1235" s="596" t="s">
        <v>156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IF(OR(TH!L1235=TH!$U$7,M1235=TH!$U$7),"x","")</f>
        <v/>
      </c>
      <c r="V1235" s="52" t="str">
        <f>IF(AND(B1235&gt;='IN-NX'!$P$3,B1235&lt;='IN-NX'!$Q$3,'IN-NX'!$D$7=D1235,OR(LEFT(L1235,2)="15",AND(LEFT(M1235,2)&lt;&gt;"15",LEFT(M1235,2)&lt;&gt;"33"))),"x","")</f>
        <v/>
      </c>
      <c r="W1235" s="52" t="str">
        <f>IF(AND(OR(LEFT(TH!L1235,2)="15",LEFT(TH!M1235,2)="15"),'152-CT'!$J$8=TH!F1235),"x","")</f>
        <v/>
      </c>
      <c r="X1235" s="52" t="str">
        <f>IF(AND(OR(LEFT(TH!L1235,2)="15",LEFT(TH!M1235,2)="15"),TK!$E$7=TH!F1235),"x","")</f>
        <v/>
      </c>
      <c r="Y1235" s="52" t="str">
        <f>IF(AND(B1235&lt;=NKC!$N$8,B1235&gt;=NKC!$M$8),"x","")</f>
        <v>x</v>
      </c>
    </row>
    <row r="1236" spans="1:25" s="208" customFormat="1" ht="15.75" customHeight="1">
      <c r="A1236" s="201" t="str">
        <f>IF(B1236&lt;&gt;"",IF(AND(B1236&gt;=_TM1,B1236&lt;=_TM2,OR(TH!L1236="1111",TH!M1236="1111")),TH!D1236,""),"")</f>
        <v/>
      </c>
      <c r="B1236" s="36">
        <f t="shared" si="57"/>
        <v>8</v>
      </c>
      <c r="C1236" s="188">
        <f t="shared" si="58"/>
        <v>41489</v>
      </c>
      <c r="D1236" s="188" t="s">
        <v>1260</v>
      </c>
      <c r="E1236" s="188">
        <v>41489</v>
      </c>
      <c r="F1236" s="189" t="s">
        <v>1209</v>
      </c>
      <c r="G1236" s="480" t="s">
        <v>865</v>
      </c>
      <c r="H1236" s="7" t="s">
        <v>1252</v>
      </c>
      <c r="I1236" s="249">
        <v>472</v>
      </c>
      <c r="J1236" s="249">
        <v>19910.059351276741</v>
      </c>
      <c r="K1236" s="595">
        <f t="shared" si="59"/>
        <v>9397548</v>
      </c>
      <c r="L1236" s="39" t="s">
        <v>162</v>
      </c>
      <c r="M1236" s="596" t="s">
        <v>156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IF(OR(TH!L1236=TH!$U$7,M1236=TH!$U$7),"x","")</f>
        <v/>
      </c>
      <c r="V1236" s="52" t="str">
        <f>IF(AND(B1236&gt;='IN-NX'!$P$3,B1236&lt;='IN-NX'!$Q$3,'IN-NX'!$D$7=D1236,OR(LEFT(L1236,2)="15",AND(LEFT(M1236,2)&lt;&gt;"15",LEFT(M1236,2)&lt;&gt;"33"))),"x","")</f>
        <v/>
      </c>
      <c r="W1236" s="52" t="str">
        <f>IF(AND(OR(LEFT(TH!L1236,2)="15",LEFT(TH!M1236,2)="15"),'152-CT'!$J$8=TH!F1236),"x","")</f>
        <v/>
      </c>
      <c r="X1236" s="52" t="str">
        <f>IF(AND(OR(LEFT(TH!L1236,2)="15",LEFT(TH!M1236,2)="15"),TK!$E$7=TH!F1236),"x","")</f>
        <v/>
      </c>
      <c r="Y1236" s="52" t="str">
        <f>IF(AND(B1236&lt;=NKC!$N$8,B1236&gt;=NKC!$M$8),"x","")</f>
        <v>x</v>
      </c>
    </row>
    <row r="1237" spans="1:25" s="208" customFormat="1" ht="15.75" customHeight="1">
      <c r="A1237" s="201" t="str">
        <f>IF(B1237&lt;&gt;"",IF(AND(B1237&gt;=_TM1,B1237&lt;=_TM2,OR(TH!L1237="1111",TH!M1237="1111")),TH!D1237,""),"")</f>
        <v/>
      </c>
      <c r="B1237" s="36">
        <f t="shared" si="57"/>
        <v>8</v>
      </c>
      <c r="C1237" s="188">
        <f t="shared" si="58"/>
        <v>41489</v>
      </c>
      <c r="D1237" s="188" t="s">
        <v>1260</v>
      </c>
      <c r="E1237" s="188">
        <v>41489</v>
      </c>
      <c r="F1237" s="189" t="s">
        <v>646</v>
      </c>
      <c r="G1237" s="480" t="s">
        <v>867</v>
      </c>
      <c r="H1237" s="7" t="s">
        <v>1252</v>
      </c>
      <c r="I1237" s="249">
        <v>505</v>
      </c>
      <c r="J1237" s="249">
        <v>11722</v>
      </c>
      <c r="K1237" s="595">
        <f t="shared" si="59"/>
        <v>5919610</v>
      </c>
      <c r="L1237" s="39" t="s">
        <v>162</v>
      </c>
      <c r="M1237" s="596" t="s">
        <v>156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IF(OR(TH!L1237=TH!$U$7,M1237=TH!$U$7),"x","")</f>
        <v/>
      </c>
      <c r="V1237" s="52" t="str">
        <f>IF(AND(B1237&gt;='IN-NX'!$P$3,B1237&lt;='IN-NX'!$Q$3,'IN-NX'!$D$7=D1237,OR(LEFT(L1237,2)="15",AND(LEFT(M1237,2)&lt;&gt;"15",LEFT(M1237,2)&lt;&gt;"33"))),"x","")</f>
        <v/>
      </c>
      <c r="W1237" s="52" t="str">
        <f>IF(AND(OR(LEFT(TH!L1237,2)="15",LEFT(TH!M1237,2)="15"),'152-CT'!$J$8=TH!F1237),"x","")</f>
        <v/>
      </c>
      <c r="X1237" s="52" t="str">
        <f>IF(AND(OR(LEFT(TH!L1237,2)="15",LEFT(TH!M1237,2)="15"),TK!$E$7=TH!F1237),"x","")</f>
        <v/>
      </c>
      <c r="Y1237" s="52" t="str">
        <f>IF(AND(B1237&lt;=NKC!$N$8,B1237&gt;=NKC!$M$8),"x","")</f>
        <v>x</v>
      </c>
    </row>
    <row r="1238" spans="1:25" s="208" customFormat="1" ht="15.75" customHeight="1">
      <c r="A1238" s="201" t="str">
        <f>IF(B1238&lt;&gt;"",IF(AND(B1238&gt;=_TM1,B1238&lt;=_TM2,OR(TH!L1238="1111",TH!M1238="1111")),TH!D1238,""),"")</f>
        <v/>
      </c>
      <c r="B1238" s="36">
        <f t="shared" ref="B1238:B1301" si="60">IF(C1238&lt;&gt;"",MONTH(C1238),"")</f>
        <v>8</v>
      </c>
      <c r="C1238" s="188">
        <f t="shared" si="58"/>
        <v>41489</v>
      </c>
      <c r="D1238" s="188" t="s">
        <v>1260</v>
      </c>
      <c r="E1238" s="735">
        <v>41489</v>
      </c>
      <c r="F1238" s="290" t="s">
        <v>1180</v>
      </c>
      <c r="G1238" s="40" t="s">
        <v>867</v>
      </c>
      <c r="H1238" s="7" t="s">
        <v>1252</v>
      </c>
      <c r="I1238" s="249">
        <v>200</v>
      </c>
      <c r="J1238" s="249">
        <v>15618</v>
      </c>
      <c r="K1238" s="595">
        <f t="shared" si="59"/>
        <v>3123600</v>
      </c>
      <c r="L1238" s="39" t="s">
        <v>162</v>
      </c>
      <c r="M1238" s="596" t="s">
        <v>156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IF(OR(TH!L1238=TH!$U$7,M1238=TH!$U$7),"x","")</f>
        <v/>
      </c>
      <c r="V1238" s="52" t="str">
        <f>IF(AND(B1238&gt;='IN-NX'!$P$3,B1238&lt;='IN-NX'!$Q$3,'IN-NX'!$D$7=D1238,OR(LEFT(L1238,2)="15",AND(LEFT(M1238,2)&lt;&gt;"15",LEFT(M1238,2)&lt;&gt;"33"))),"x","")</f>
        <v/>
      </c>
      <c r="W1238" s="52" t="str">
        <f>IF(AND(OR(LEFT(TH!L1238,2)="15",LEFT(TH!M1238,2)="15"),'152-CT'!$J$8=TH!F1238),"x","")</f>
        <v/>
      </c>
      <c r="X1238" s="52" t="str">
        <f>IF(AND(OR(LEFT(TH!L1238,2)="15",LEFT(TH!M1238,2)="15"),TK!$E$7=TH!F1238),"x","")</f>
        <v/>
      </c>
      <c r="Y1238" s="52" t="str">
        <f>IF(AND(B1238&lt;=NKC!$N$8,B1238&gt;=NKC!$M$8),"x","")</f>
        <v>x</v>
      </c>
    </row>
    <row r="1239" spans="1:25" s="208" customFormat="1" ht="15.75" customHeight="1">
      <c r="A1239" s="201" t="str">
        <f>IF(B1239&lt;&gt;"",IF(AND(B1239&gt;=_TM1,B1239&lt;=_TM2,OR(TH!L1239="1111",TH!M1239="1111")),TH!D1239,""),"")</f>
        <v/>
      </c>
      <c r="B1239" s="36">
        <f t="shared" si="60"/>
        <v>8</v>
      </c>
      <c r="C1239" s="188">
        <f t="shared" si="58"/>
        <v>41489</v>
      </c>
      <c r="D1239" s="188" t="s">
        <v>1260</v>
      </c>
      <c r="E1239" s="735">
        <v>41489</v>
      </c>
      <c r="F1239" s="40" t="s">
        <v>1201</v>
      </c>
      <c r="G1239" s="40" t="s">
        <v>868</v>
      </c>
      <c r="H1239" s="7" t="s">
        <v>1252</v>
      </c>
      <c r="I1239" s="249">
        <v>350</v>
      </c>
      <c r="J1239" s="249">
        <v>15665</v>
      </c>
      <c r="K1239" s="595">
        <f t="shared" si="59"/>
        <v>5482750</v>
      </c>
      <c r="L1239" s="39" t="s">
        <v>162</v>
      </c>
      <c r="M1239" s="596" t="s">
        <v>156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IF(OR(TH!L1239=TH!$U$7,M1239=TH!$U$7),"x","")</f>
        <v/>
      </c>
      <c r="V1239" s="52" t="str">
        <f>IF(AND(B1239&gt;='IN-NX'!$P$3,B1239&lt;='IN-NX'!$Q$3,'IN-NX'!$D$7=D1239,OR(LEFT(L1239,2)="15",AND(LEFT(M1239,2)&lt;&gt;"15",LEFT(M1239,2)&lt;&gt;"33"))),"x","")</f>
        <v/>
      </c>
      <c r="W1239" s="52" t="str">
        <f>IF(AND(OR(LEFT(TH!L1239,2)="15",LEFT(TH!M1239,2)="15"),'152-CT'!$J$8=TH!F1239),"x","")</f>
        <v/>
      </c>
      <c r="X1239" s="52" t="str">
        <f>IF(AND(OR(LEFT(TH!L1239,2)="15",LEFT(TH!M1239,2)="15"),TK!$E$7=TH!F1239),"x","")</f>
        <v/>
      </c>
      <c r="Y1239" s="52" t="str">
        <f>IF(AND(B1239&lt;=NKC!$N$8,B1239&gt;=NKC!$M$8),"x","")</f>
        <v>x</v>
      </c>
    </row>
    <row r="1240" spans="1:25" s="208" customFormat="1" ht="15.75" customHeight="1">
      <c r="A1240" s="201" t="str">
        <f>IF(B1240&lt;&gt;"",IF(AND(B1240&gt;=_TM1,B1240&lt;=_TM2,OR(TH!L1240="1111",TH!M1240="1111")),TH!D1240,""),"")</f>
        <v/>
      </c>
      <c r="B1240" s="36">
        <f t="shared" si="60"/>
        <v>8</v>
      </c>
      <c r="C1240" s="188">
        <f t="shared" si="58"/>
        <v>41489</v>
      </c>
      <c r="D1240" s="188" t="s">
        <v>1260</v>
      </c>
      <c r="E1240" s="735">
        <v>41489</v>
      </c>
      <c r="F1240" s="186" t="s">
        <v>1193</v>
      </c>
      <c r="G1240" s="40" t="s">
        <v>868</v>
      </c>
      <c r="H1240" s="7" t="s">
        <v>1252</v>
      </c>
      <c r="I1240" s="249">
        <v>340</v>
      </c>
      <c r="J1240" s="249">
        <v>15889</v>
      </c>
      <c r="K1240" s="595">
        <f t="shared" si="59"/>
        <v>5402260</v>
      </c>
      <c r="L1240" s="39" t="s">
        <v>162</v>
      </c>
      <c r="M1240" s="596" t="s">
        <v>156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IF(OR(TH!L1240=TH!$U$7,M1240=TH!$U$7),"x","")</f>
        <v/>
      </c>
      <c r="V1240" s="52" t="str">
        <f>IF(AND(B1240&gt;='IN-NX'!$P$3,B1240&lt;='IN-NX'!$Q$3,'IN-NX'!$D$7=D1240,OR(LEFT(L1240,2)="15",AND(LEFT(M1240,2)&lt;&gt;"15",LEFT(M1240,2)&lt;&gt;"33"))),"x","")</f>
        <v/>
      </c>
      <c r="W1240" s="52" t="str">
        <f>IF(AND(OR(LEFT(TH!L1240,2)="15",LEFT(TH!M1240,2)="15"),'152-CT'!$J$8=TH!F1240),"x","")</f>
        <v/>
      </c>
      <c r="X1240" s="52" t="str">
        <f>IF(AND(OR(LEFT(TH!L1240,2)="15",LEFT(TH!M1240,2)="15"),TK!$E$7=TH!F1240),"x","")</f>
        <v/>
      </c>
      <c r="Y1240" s="52" t="str">
        <f>IF(AND(B1240&lt;=NKC!$N$8,B1240&gt;=NKC!$M$8),"x","")</f>
        <v>x</v>
      </c>
    </row>
    <row r="1241" spans="1:25" s="208" customFormat="1" ht="15.75" customHeight="1">
      <c r="A1241" s="201" t="str">
        <f>IF(B1241&lt;&gt;"",IF(AND(B1241&gt;=_TM1,B1241&lt;=_TM2,OR(TH!L1241="1111",TH!M1241="1111")),TH!D1241,""),"")</f>
        <v/>
      </c>
      <c r="B1241" s="36">
        <f t="shared" si="60"/>
        <v>8</v>
      </c>
      <c r="C1241" s="188">
        <f t="shared" si="58"/>
        <v>41492</v>
      </c>
      <c r="D1241" s="188" t="s">
        <v>1260</v>
      </c>
      <c r="E1241" s="735">
        <v>41492</v>
      </c>
      <c r="F1241" s="186" t="s">
        <v>619</v>
      </c>
      <c r="G1241" s="40" t="s">
        <v>869</v>
      </c>
      <c r="H1241" s="7" t="s">
        <v>1252</v>
      </c>
      <c r="I1241" s="249">
        <v>1000</v>
      </c>
      <c r="J1241" s="249">
        <v>8462.418420401089</v>
      </c>
      <c r="K1241" s="595">
        <f t="shared" si="59"/>
        <v>8462418</v>
      </c>
      <c r="L1241" s="39" t="s">
        <v>162</v>
      </c>
      <c r="M1241" s="596" t="s">
        <v>156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IF(OR(TH!L1241=TH!$U$7,M1241=TH!$U$7),"x","")</f>
        <v/>
      </c>
      <c r="V1241" s="52" t="str">
        <f>IF(AND(B1241&gt;='IN-NX'!$P$3,B1241&lt;='IN-NX'!$Q$3,'IN-NX'!$D$7=D1241,OR(LEFT(L1241,2)="15",AND(LEFT(M1241,2)&lt;&gt;"15",LEFT(M1241,2)&lt;&gt;"33"))),"x","")</f>
        <v/>
      </c>
      <c r="W1241" s="52" t="str">
        <f>IF(AND(OR(LEFT(TH!L1241,2)="15",LEFT(TH!M1241,2)="15"),'152-CT'!$J$8=TH!F1241),"x","")</f>
        <v/>
      </c>
      <c r="X1241" s="52" t="str">
        <f>IF(AND(OR(LEFT(TH!L1241,2)="15",LEFT(TH!M1241,2)="15"),TK!$E$7=TH!F1241),"x","")</f>
        <v/>
      </c>
      <c r="Y1241" s="52" t="str">
        <f>IF(AND(B1241&lt;=NKC!$N$8,B1241&gt;=NKC!$M$8),"x","")</f>
        <v>x</v>
      </c>
    </row>
    <row r="1242" spans="1:25" s="208" customFormat="1" ht="15.75" customHeight="1">
      <c r="A1242" s="201" t="str">
        <f>IF(B1242&lt;&gt;"",IF(AND(B1242&gt;=_TM1,B1242&lt;=_TM2,OR(TH!L1242="1111",TH!M1242="1111")),TH!D1242,""),"")</f>
        <v/>
      </c>
      <c r="B1242" s="36">
        <f t="shared" si="60"/>
        <v>8</v>
      </c>
      <c r="C1242" s="188">
        <f t="shared" si="58"/>
        <v>41492</v>
      </c>
      <c r="D1242" s="188" t="s">
        <v>1260</v>
      </c>
      <c r="E1242" s="735">
        <v>41492</v>
      </c>
      <c r="F1242" s="40" t="s">
        <v>1209</v>
      </c>
      <c r="G1242" s="40" t="s">
        <v>870</v>
      </c>
      <c r="H1242" s="7" t="s">
        <v>1252</v>
      </c>
      <c r="I1242" s="249">
        <v>455</v>
      </c>
      <c r="J1242" s="249">
        <v>19910.059351276741</v>
      </c>
      <c r="K1242" s="595">
        <f t="shared" si="59"/>
        <v>9059077</v>
      </c>
      <c r="L1242" s="39" t="s">
        <v>162</v>
      </c>
      <c r="M1242" s="596" t="s">
        <v>156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IF(OR(TH!L1242=TH!$U$7,M1242=TH!$U$7),"x","")</f>
        <v/>
      </c>
      <c r="V1242" s="52" t="str">
        <f>IF(AND(B1242&gt;='IN-NX'!$P$3,B1242&lt;='IN-NX'!$Q$3,'IN-NX'!$D$7=D1242,OR(LEFT(L1242,2)="15",AND(LEFT(M1242,2)&lt;&gt;"15",LEFT(M1242,2)&lt;&gt;"33"))),"x","")</f>
        <v/>
      </c>
      <c r="W1242" s="52" t="str">
        <f>IF(AND(OR(LEFT(TH!L1242,2)="15",LEFT(TH!M1242,2)="15"),'152-CT'!$J$8=TH!F1242),"x","")</f>
        <v/>
      </c>
      <c r="X1242" s="52" t="str">
        <f>IF(AND(OR(LEFT(TH!L1242,2)="15",LEFT(TH!M1242,2)="15"),TK!$E$7=TH!F1242),"x","")</f>
        <v/>
      </c>
      <c r="Y1242" s="52" t="str">
        <f>IF(AND(B1242&lt;=NKC!$N$8,B1242&gt;=NKC!$M$8),"x","")</f>
        <v>x</v>
      </c>
    </row>
    <row r="1243" spans="1:25" s="208" customFormat="1" ht="15.75" customHeight="1">
      <c r="A1243" s="201" t="str">
        <f>IF(B1243&lt;&gt;"",IF(AND(B1243&gt;=_TM1,B1243&lt;=_TM2,OR(TH!L1243="1111",TH!M1243="1111")),TH!D1243,""),"")</f>
        <v/>
      </c>
      <c r="B1243" s="36">
        <f t="shared" si="60"/>
        <v>8</v>
      </c>
      <c r="C1243" s="188">
        <f t="shared" si="58"/>
        <v>41493</v>
      </c>
      <c r="D1243" s="188" t="s">
        <v>1260</v>
      </c>
      <c r="E1243" s="735">
        <v>41493</v>
      </c>
      <c r="F1243" s="186" t="s">
        <v>569</v>
      </c>
      <c r="G1243" s="40" t="s">
        <v>871</v>
      </c>
      <c r="H1243" s="7" t="s">
        <v>1252</v>
      </c>
      <c r="I1243" s="249">
        <v>512</v>
      </c>
      <c r="J1243" s="249">
        <v>21888</v>
      </c>
      <c r="K1243" s="595">
        <f t="shared" si="59"/>
        <v>11206656</v>
      </c>
      <c r="L1243" s="39" t="s">
        <v>162</v>
      </c>
      <c r="M1243" s="596" t="s">
        <v>156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IF(OR(TH!L1243=TH!$U$7,M1243=TH!$U$7),"x","")</f>
        <v/>
      </c>
      <c r="V1243" s="52" t="str">
        <f>IF(AND(B1243&gt;='IN-NX'!$P$3,B1243&lt;='IN-NX'!$Q$3,'IN-NX'!$D$7=D1243,OR(LEFT(L1243,2)="15",AND(LEFT(M1243,2)&lt;&gt;"15",LEFT(M1243,2)&lt;&gt;"33"))),"x","")</f>
        <v/>
      </c>
      <c r="W1243" s="52" t="str">
        <f>IF(AND(OR(LEFT(TH!L1243,2)="15",LEFT(TH!M1243,2)="15"),'152-CT'!$J$8=TH!F1243),"x","")</f>
        <v/>
      </c>
      <c r="X1243" s="52" t="str">
        <f>IF(AND(OR(LEFT(TH!L1243,2)="15",LEFT(TH!M1243,2)="15"),TK!$E$7=TH!F1243),"x","")</f>
        <v/>
      </c>
      <c r="Y1243" s="52" t="str">
        <f>IF(AND(B1243&lt;=NKC!$N$8,B1243&gt;=NKC!$M$8),"x","")</f>
        <v>x</v>
      </c>
    </row>
    <row r="1244" spans="1:25" s="208" customFormat="1" ht="15.75" customHeight="1">
      <c r="A1244" s="201" t="str">
        <f>IF(B1244&lt;&gt;"",IF(AND(B1244&gt;=_TM1,B1244&lt;=_TM2,OR(TH!L1244="1111",TH!M1244="1111")),TH!D1244,""),"")</f>
        <v/>
      </c>
      <c r="B1244" s="36">
        <f t="shared" si="60"/>
        <v>8</v>
      </c>
      <c r="C1244" s="188">
        <f t="shared" si="58"/>
        <v>41493</v>
      </c>
      <c r="D1244" s="188" t="s">
        <v>1260</v>
      </c>
      <c r="E1244" s="735">
        <v>41493</v>
      </c>
      <c r="F1244" s="40" t="s">
        <v>1245</v>
      </c>
      <c r="G1244" s="40" t="s">
        <v>873</v>
      </c>
      <c r="H1244" s="7" t="s">
        <v>1252</v>
      </c>
      <c r="I1244" s="249">
        <v>250</v>
      </c>
      <c r="J1244" s="249">
        <v>9676</v>
      </c>
      <c r="K1244" s="595">
        <f t="shared" si="59"/>
        <v>2419000</v>
      </c>
      <c r="L1244" s="39" t="s">
        <v>162</v>
      </c>
      <c r="M1244" s="596" t="s">
        <v>156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IF(OR(TH!L1244=TH!$U$7,M1244=TH!$U$7),"x","")</f>
        <v/>
      </c>
      <c r="V1244" s="52" t="str">
        <f>IF(AND(B1244&gt;='IN-NX'!$P$3,B1244&lt;='IN-NX'!$Q$3,'IN-NX'!$D$7=D1244,OR(LEFT(L1244,2)="15",AND(LEFT(M1244,2)&lt;&gt;"15",LEFT(M1244,2)&lt;&gt;"33"))),"x","")</f>
        <v/>
      </c>
      <c r="W1244" s="52" t="str">
        <f>IF(AND(OR(LEFT(TH!L1244,2)="15",LEFT(TH!M1244,2)="15"),'152-CT'!$J$8=TH!F1244),"x","")</f>
        <v/>
      </c>
      <c r="X1244" s="52" t="str">
        <f>IF(AND(OR(LEFT(TH!L1244,2)="15",LEFT(TH!M1244,2)="15"),TK!$E$7=TH!F1244),"x","")</f>
        <v/>
      </c>
      <c r="Y1244" s="52" t="str">
        <f>IF(AND(B1244&lt;=NKC!$N$8,B1244&gt;=NKC!$M$8),"x","")</f>
        <v>x</v>
      </c>
    </row>
    <row r="1245" spans="1:25" s="208" customFormat="1" ht="15.75" customHeight="1">
      <c r="A1245" s="201" t="str">
        <f>IF(B1245&lt;&gt;"",IF(AND(B1245&gt;=_TM1,B1245&lt;=_TM2,OR(TH!L1245="1111",TH!M1245="1111")),TH!D1245,""),"")</f>
        <v/>
      </c>
      <c r="B1245" s="36">
        <f t="shared" si="60"/>
        <v>8</v>
      </c>
      <c r="C1245" s="188">
        <f t="shared" si="58"/>
        <v>41493</v>
      </c>
      <c r="D1245" s="188" t="s">
        <v>1260</v>
      </c>
      <c r="E1245" s="735">
        <v>41493</v>
      </c>
      <c r="F1245" s="186" t="s">
        <v>1177</v>
      </c>
      <c r="G1245" s="40" t="s">
        <v>873</v>
      </c>
      <c r="H1245" s="7" t="s">
        <v>1252</v>
      </c>
      <c r="I1245" s="249">
        <v>135</v>
      </c>
      <c r="J1245" s="249">
        <v>19041</v>
      </c>
      <c r="K1245" s="595">
        <f t="shared" si="59"/>
        <v>2570535</v>
      </c>
      <c r="L1245" s="39" t="s">
        <v>162</v>
      </c>
      <c r="M1245" s="596" t="s">
        <v>156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IF(OR(TH!L1245=TH!$U$7,M1245=TH!$U$7),"x","")</f>
        <v/>
      </c>
      <c r="V1245" s="52" t="str">
        <f>IF(AND(B1245&gt;='IN-NX'!$P$3,B1245&lt;='IN-NX'!$Q$3,'IN-NX'!$D$7=D1245,OR(LEFT(L1245,2)="15",AND(LEFT(M1245,2)&lt;&gt;"15",LEFT(M1245,2)&lt;&gt;"33"))),"x","")</f>
        <v/>
      </c>
      <c r="W1245" s="52" t="str">
        <f>IF(AND(OR(LEFT(TH!L1245,2)="15",LEFT(TH!M1245,2)="15"),'152-CT'!$J$8=TH!F1245),"x","")</f>
        <v/>
      </c>
      <c r="X1245" s="52" t="str">
        <f>IF(AND(OR(LEFT(TH!L1245,2)="15",LEFT(TH!M1245,2)="15"),TK!$E$7=TH!F1245),"x","")</f>
        <v/>
      </c>
      <c r="Y1245" s="52" t="str">
        <f>IF(AND(B1245&lt;=NKC!$N$8,B1245&gt;=NKC!$M$8),"x","")</f>
        <v>x</v>
      </c>
    </row>
    <row r="1246" spans="1:25" s="208" customFormat="1" ht="15.75" customHeight="1">
      <c r="A1246" s="201" t="str">
        <f>IF(B1246&lt;&gt;"",IF(AND(B1246&gt;=_TM1,B1246&lt;=_TM2,OR(TH!L1246="1111",TH!M1246="1111")),TH!D1246,""),"")</f>
        <v/>
      </c>
      <c r="B1246" s="36">
        <f t="shared" si="60"/>
        <v>8</v>
      </c>
      <c r="C1246" s="188">
        <f t="shared" si="58"/>
        <v>41495</v>
      </c>
      <c r="D1246" s="188" t="s">
        <v>1260</v>
      </c>
      <c r="E1246" s="188">
        <v>41495</v>
      </c>
      <c r="F1246" s="189" t="s">
        <v>1146</v>
      </c>
      <c r="G1246" s="480" t="s">
        <v>875</v>
      </c>
      <c r="H1246" s="7" t="s">
        <v>1252</v>
      </c>
      <c r="I1246" s="249">
        <v>381</v>
      </c>
      <c r="J1246" s="249">
        <v>19699</v>
      </c>
      <c r="K1246" s="595">
        <f t="shared" si="59"/>
        <v>7505319</v>
      </c>
      <c r="L1246" s="39" t="s">
        <v>162</v>
      </c>
      <c r="M1246" s="596" t="s">
        <v>156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IF(OR(TH!L1246=TH!$U$7,M1246=TH!$U$7),"x","")</f>
        <v/>
      </c>
      <c r="V1246" s="52" t="str">
        <f>IF(AND(B1246&gt;='IN-NX'!$P$3,B1246&lt;='IN-NX'!$Q$3,'IN-NX'!$D$7=D1246,OR(LEFT(L1246,2)="15",AND(LEFT(M1246,2)&lt;&gt;"15",LEFT(M1246,2)&lt;&gt;"33"))),"x","")</f>
        <v/>
      </c>
      <c r="W1246" s="52" t="str">
        <f>IF(AND(OR(LEFT(TH!L1246,2)="15",LEFT(TH!M1246,2)="15"),'152-CT'!$J$8=TH!F1246),"x","")</f>
        <v/>
      </c>
      <c r="X1246" s="52" t="str">
        <f>IF(AND(OR(LEFT(TH!L1246,2)="15",LEFT(TH!M1246,2)="15"),TK!$E$7=TH!F1246),"x","")</f>
        <v/>
      </c>
      <c r="Y1246" s="52" t="str">
        <f>IF(AND(B1246&lt;=NKC!$N$8,B1246&gt;=NKC!$M$8),"x","")</f>
        <v>x</v>
      </c>
    </row>
    <row r="1247" spans="1:25" s="208" customFormat="1" ht="15.75" customHeight="1">
      <c r="A1247" s="201" t="str">
        <f>IF(B1247&lt;&gt;"",IF(AND(B1247&gt;=_TM1,B1247&lt;=_TM2,OR(TH!L1247="1111",TH!M1247="1111")),TH!D1247,""),"")</f>
        <v/>
      </c>
      <c r="B1247" s="36">
        <f t="shared" si="60"/>
        <v>8</v>
      </c>
      <c r="C1247" s="188">
        <f t="shared" si="58"/>
        <v>41496</v>
      </c>
      <c r="D1247" s="188" t="s">
        <v>1260</v>
      </c>
      <c r="E1247" s="188">
        <v>41496</v>
      </c>
      <c r="F1247" s="189" t="s">
        <v>1229</v>
      </c>
      <c r="G1247" s="480" t="s">
        <v>876</v>
      </c>
      <c r="H1247" s="7" t="s">
        <v>1252</v>
      </c>
      <c r="I1247" s="249">
        <v>100</v>
      </c>
      <c r="J1247" s="249">
        <v>16985</v>
      </c>
      <c r="K1247" s="595">
        <f t="shared" si="59"/>
        <v>1698500</v>
      </c>
      <c r="L1247" s="39" t="s">
        <v>162</v>
      </c>
      <c r="M1247" s="596" t="s">
        <v>156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IF(OR(TH!L1247=TH!$U$7,M1247=TH!$U$7),"x","")</f>
        <v/>
      </c>
      <c r="V1247" s="52" t="str">
        <f>IF(AND(B1247&gt;='IN-NX'!$P$3,B1247&lt;='IN-NX'!$Q$3,'IN-NX'!$D$7=D1247,OR(LEFT(L1247,2)="15",AND(LEFT(M1247,2)&lt;&gt;"15",LEFT(M1247,2)&lt;&gt;"33"))),"x","")</f>
        <v/>
      </c>
      <c r="W1247" s="52" t="str">
        <f>IF(AND(OR(LEFT(TH!L1247,2)="15",LEFT(TH!M1247,2)="15"),'152-CT'!$J$8=TH!F1247),"x","")</f>
        <v/>
      </c>
      <c r="X1247" s="52" t="str">
        <f>IF(AND(OR(LEFT(TH!L1247,2)="15",LEFT(TH!M1247,2)="15"),TK!$E$7=TH!F1247),"x","")</f>
        <v/>
      </c>
      <c r="Y1247" s="52" t="str">
        <f>IF(AND(B1247&lt;=NKC!$N$8,B1247&gt;=NKC!$M$8),"x","")</f>
        <v>x</v>
      </c>
    </row>
    <row r="1248" spans="1:25" s="208" customFormat="1" ht="15.75" customHeight="1">
      <c r="A1248" s="201" t="str">
        <f>IF(B1248&lt;&gt;"",IF(AND(B1248&gt;=_TM1,B1248&lt;=_TM2,OR(TH!L1248="1111",TH!M1248="1111")),TH!D1248,""),"")</f>
        <v/>
      </c>
      <c r="B1248" s="36">
        <f t="shared" si="60"/>
        <v>8</v>
      </c>
      <c r="C1248" s="188">
        <f t="shared" si="58"/>
        <v>41496</v>
      </c>
      <c r="D1248" s="188" t="s">
        <v>1260</v>
      </c>
      <c r="E1248" s="188">
        <v>41496</v>
      </c>
      <c r="F1248" s="189" t="s">
        <v>1163</v>
      </c>
      <c r="G1248" s="480" t="s">
        <v>876</v>
      </c>
      <c r="H1248" s="7" t="s">
        <v>1252</v>
      </c>
      <c r="I1248" s="249">
        <v>260</v>
      </c>
      <c r="J1248" s="249">
        <v>11157</v>
      </c>
      <c r="K1248" s="595">
        <f t="shared" si="59"/>
        <v>2900820</v>
      </c>
      <c r="L1248" s="39" t="s">
        <v>162</v>
      </c>
      <c r="M1248" s="596" t="s">
        <v>156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IF(OR(TH!L1248=TH!$U$7,M1248=TH!$U$7),"x","")</f>
        <v/>
      </c>
      <c r="V1248" s="52" t="str">
        <f>IF(AND(B1248&gt;='IN-NX'!$P$3,B1248&lt;='IN-NX'!$Q$3,'IN-NX'!$D$7=D1248,OR(LEFT(L1248,2)="15",AND(LEFT(M1248,2)&lt;&gt;"15",LEFT(M1248,2)&lt;&gt;"33"))),"x","")</f>
        <v/>
      </c>
      <c r="W1248" s="52" t="str">
        <f>IF(AND(OR(LEFT(TH!L1248,2)="15",LEFT(TH!M1248,2)="15"),'152-CT'!$J$8=TH!F1248),"x","")</f>
        <v/>
      </c>
      <c r="X1248" s="52" t="str">
        <f>IF(AND(OR(LEFT(TH!L1248,2)="15",LEFT(TH!M1248,2)="15"),TK!$E$7=TH!F1248),"x","")</f>
        <v/>
      </c>
      <c r="Y1248" s="52" t="str">
        <f>IF(AND(B1248&lt;=NKC!$N$8,B1248&gt;=NKC!$M$8),"x","")</f>
        <v>x</v>
      </c>
    </row>
    <row r="1249" spans="1:25" s="208" customFormat="1" ht="15.75" customHeight="1">
      <c r="A1249" s="201" t="str">
        <f>IF(B1249&lt;&gt;"",IF(AND(B1249&gt;=_TM1,B1249&lt;=_TM2,OR(TH!L1249="1111",TH!M1249="1111")),TH!D1249,""),"")</f>
        <v/>
      </c>
      <c r="B1249" s="36">
        <f t="shared" si="60"/>
        <v>8</v>
      </c>
      <c r="C1249" s="188">
        <f t="shared" si="58"/>
        <v>41496</v>
      </c>
      <c r="D1249" s="188" t="s">
        <v>1260</v>
      </c>
      <c r="E1249" s="188">
        <v>41496</v>
      </c>
      <c r="F1249" s="189" t="s">
        <v>1203</v>
      </c>
      <c r="G1249" s="480" t="s">
        <v>876</v>
      </c>
      <c r="H1249" s="7" t="s">
        <v>1252</v>
      </c>
      <c r="I1249" s="249">
        <v>260</v>
      </c>
      <c r="J1249" s="249">
        <v>12620</v>
      </c>
      <c r="K1249" s="595">
        <f t="shared" si="59"/>
        <v>3281200</v>
      </c>
      <c r="L1249" s="39" t="s">
        <v>162</v>
      </c>
      <c r="M1249" s="596" t="s">
        <v>156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IF(OR(TH!L1249=TH!$U$7,M1249=TH!$U$7),"x","")</f>
        <v/>
      </c>
      <c r="V1249" s="52" t="str">
        <f>IF(AND(B1249&gt;='IN-NX'!$P$3,B1249&lt;='IN-NX'!$Q$3,'IN-NX'!$D$7=D1249,OR(LEFT(L1249,2)="15",AND(LEFT(M1249,2)&lt;&gt;"15",LEFT(M1249,2)&lt;&gt;"33"))),"x","")</f>
        <v/>
      </c>
      <c r="W1249" s="52" t="str">
        <f>IF(AND(OR(LEFT(TH!L1249,2)="15",LEFT(TH!M1249,2)="15"),'152-CT'!$J$8=TH!F1249),"x","")</f>
        <v/>
      </c>
      <c r="X1249" s="52" t="str">
        <f>IF(AND(OR(LEFT(TH!L1249,2)="15",LEFT(TH!M1249,2)="15"),TK!$E$7=TH!F1249),"x","")</f>
        <v/>
      </c>
      <c r="Y1249" s="52" t="str">
        <f>IF(AND(B1249&lt;=NKC!$N$8,B1249&gt;=NKC!$M$8),"x","")</f>
        <v>x</v>
      </c>
    </row>
    <row r="1250" spans="1:25" s="208" customFormat="1" ht="15.75" customHeight="1">
      <c r="A1250" s="201" t="str">
        <f>IF(B1250&lt;&gt;"",IF(AND(B1250&gt;=_TM1,B1250&lt;=_TM2,OR(TH!L1250="1111",TH!M1250="1111")),TH!D1250,""),"")</f>
        <v/>
      </c>
      <c r="B1250" s="36">
        <f t="shared" si="60"/>
        <v>8</v>
      </c>
      <c r="C1250" s="188">
        <f t="shared" si="58"/>
        <v>41497</v>
      </c>
      <c r="D1250" s="188" t="s">
        <v>1260</v>
      </c>
      <c r="E1250" s="188">
        <v>41497</v>
      </c>
      <c r="F1250" s="189" t="s">
        <v>619</v>
      </c>
      <c r="G1250" s="480" t="s">
        <v>878</v>
      </c>
      <c r="H1250" s="7" t="s">
        <v>1252</v>
      </c>
      <c r="I1250" s="249">
        <v>85</v>
      </c>
      <c r="J1250" s="249">
        <v>8462.4198895027621</v>
      </c>
      <c r="K1250" s="595">
        <f t="shared" si="59"/>
        <v>719306</v>
      </c>
      <c r="L1250" s="39" t="s">
        <v>162</v>
      </c>
      <c r="M1250" s="596" t="s">
        <v>156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IF(OR(TH!L1250=TH!$U$7,M1250=TH!$U$7),"x","")</f>
        <v/>
      </c>
      <c r="V1250" s="52" t="str">
        <f>IF(AND(B1250&gt;='IN-NX'!$P$3,B1250&lt;='IN-NX'!$Q$3,'IN-NX'!$D$7=D1250,OR(LEFT(L1250,2)="15",AND(LEFT(M1250,2)&lt;&gt;"15",LEFT(M1250,2)&lt;&gt;"33"))),"x","")</f>
        <v/>
      </c>
      <c r="W1250" s="52" t="str">
        <f>IF(AND(OR(LEFT(TH!L1250,2)="15",LEFT(TH!M1250,2)="15"),'152-CT'!$J$8=TH!F1250),"x","")</f>
        <v/>
      </c>
      <c r="X1250" s="52" t="str">
        <f>IF(AND(OR(LEFT(TH!L1250,2)="15",LEFT(TH!M1250,2)="15"),TK!$E$7=TH!F1250),"x","")</f>
        <v/>
      </c>
      <c r="Y1250" s="52" t="str">
        <f>IF(AND(B1250&lt;=NKC!$N$8,B1250&gt;=NKC!$M$8),"x","")</f>
        <v>x</v>
      </c>
    </row>
    <row r="1251" spans="1:25" s="208" customFormat="1" ht="15.75" customHeight="1">
      <c r="A1251" s="201" t="str">
        <f>IF(B1251&lt;&gt;"",IF(AND(B1251&gt;=_TM1,B1251&lt;=_TM2,OR(TH!L1251="1111",TH!M1251="1111")),TH!D1251,""),"")</f>
        <v/>
      </c>
      <c r="B1251" s="36">
        <f t="shared" si="60"/>
        <v>8</v>
      </c>
      <c r="C1251" s="188">
        <f t="shared" si="58"/>
        <v>41499</v>
      </c>
      <c r="D1251" s="188" t="s">
        <v>1260</v>
      </c>
      <c r="E1251" s="188">
        <v>41499</v>
      </c>
      <c r="F1251" s="186" t="s">
        <v>1210</v>
      </c>
      <c r="G1251" s="480" t="s">
        <v>879</v>
      </c>
      <c r="H1251" s="7" t="s">
        <v>1252</v>
      </c>
      <c r="I1251" s="249">
        <v>103</v>
      </c>
      <c r="J1251" s="249">
        <v>23725</v>
      </c>
      <c r="K1251" s="595">
        <f t="shared" si="59"/>
        <v>2443675</v>
      </c>
      <c r="L1251" s="39" t="s">
        <v>162</v>
      </c>
      <c r="M1251" s="596" t="s">
        <v>156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IF(OR(TH!L1251=TH!$U$7,M1251=TH!$U$7),"x","")</f>
        <v/>
      </c>
      <c r="V1251" s="52" t="str">
        <f>IF(AND(B1251&gt;='IN-NX'!$P$3,B1251&lt;='IN-NX'!$Q$3,'IN-NX'!$D$7=D1251,OR(LEFT(L1251,2)="15",AND(LEFT(M1251,2)&lt;&gt;"15",LEFT(M1251,2)&lt;&gt;"33"))),"x","")</f>
        <v/>
      </c>
      <c r="W1251" s="52" t="str">
        <f>IF(AND(OR(LEFT(TH!L1251,2)="15",LEFT(TH!M1251,2)="15"),'152-CT'!$J$8=TH!F1251),"x","")</f>
        <v/>
      </c>
      <c r="X1251" s="52" t="str">
        <f>IF(AND(OR(LEFT(TH!L1251,2)="15",LEFT(TH!M1251,2)="15"),TK!$E$7=TH!F1251),"x","")</f>
        <v/>
      </c>
      <c r="Y1251" s="52" t="str">
        <f>IF(AND(B1251&lt;=NKC!$N$8,B1251&gt;=NKC!$M$8),"x","")</f>
        <v>x</v>
      </c>
    </row>
    <row r="1252" spans="1:25" s="208" customFormat="1" ht="15.75" customHeight="1">
      <c r="A1252" s="201" t="str">
        <f>IF(B1252&lt;&gt;"",IF(AND(B1252&gt;=_TM1,B1252&lt;=_TM2,OR(TH!L1252="1111",TH!M1252="1111")),TH!D1252,""),"")</f>
        <v/>
      </c>
      <c r="B1252" s="36">
        <f t="shared" si="60"/>
        <v>8</v>
      </c>
      <c r="C1252" s="188">
        <f t="shared" si="58"/>
        <v>41499</v>
      </c>
      <c r="D1252" s="188" t="s">
        <v>1260</v>
      </c>
      <c r="E1252" s="188">
        <v>41499</v>
      </c>
      <c r="F1252" s="189" t="s">
        <v>1209</v>
      </c>
      <c r="G1252" s="480" t="s">
        <v>880</v>
      </c>
      <c r="H1252" s="7" t="s">
        <v>1252</v>
      </c>
      <c r="I1252" s="249">
        <v>285</v>
      </c>
      <c r="J1252" s="249">
        <v>19910.059393752887</v>
      </c>
      <c r="K1252" s="595">
        <f t="shared" si="59"/>
        <v>5674367</v>
      </c>
      <c r="L1252" s="39" t="s">
        <v>162</v>
      </c>
      <c r="M1252" s="596" t="s">
        <v>156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IF(OR(TH!L1252=TH!$U$7,M1252=TH!$U$7),"x","")</f>
        <v/>
      </c>
      <c r="V1252" s="52" t="str">
        <f>IF(AND(B1252&gt;='IN-NX'!$P$3,B1252&lt;='IN-NX'!$Q$3,'IN-NX'!$D$7=D1252,OR(LEFT(L1252,2)="15",AND(LEFT(M1252,2)&lt;&gt;"15",LEFT(M1252,2)&lt;&gt;"33"))),"x","")</f>
        <v/>
      </c>
      <c r="W1252" s="52" t="str">
        <f>IF(AND(OR(LEFT(TH!L1252,2)="15",LEFT(TH!M1252,2)="15"),'152-CT'!$J$8=TH!F1252),"x","")</f>
        <v/>
      </c>
      <c r="X1252" s="52" t="str">
        <f>IF(AND(OR(LEFT(TH!L1252,2)="15",LEFT(TH!M1252,2)="15"),TK!$E$7=TH!F1252),"x","")</f>
        <v/>
      </c>
      <c r="Y1252" s="52" t="str">
        <f>IF(AND(B1252&lt;=NKC!$N$8,B1252&gt;=NKC!$M$8),"x","")</f>
        <v>x</v>
      </c>
    </row>
    <row r="1253" spans="1:25" s="208" customFormat="1" ht="15.75" customHeight="1">
      <c r="A1253" s="201" t="str">
        <f>IF(B1253&lt;&gt;"",IF(AND(B1253&gt;=_TM1,B1253&lt;=_TM2,OR(TH!L1253="1111",TH!M1253="1111")),TH!D1253,""),"")</f>
        <v/>
      </c>
      <c r="B1253" s="36">
        <f t="shared" si="60"/>
        <v>8</v>
      </c>
      <c r="C1253" s="188">
        <f t="shared" si="58"/>
        <v>41502</v>
      </c>
      <c r="D1253" s="188" t="s">
        <v>1260</v>
      </c>
      <c r="E1253" s="188">
        <v>41502</v>
      </c>
      <c r="F1253" s="189" t="s">
        <v>1209</v>
      </c>
      <c r="G1253" s="480" t="s">
        <v>881</v>
      </c>
      <c r="H1253" s="7" t="s">
        <v>1252</v>
      </c>
      <c r="I1253" s="249">
        <v>505</v>
      </c>
      <c r="J1253" s="249">
        <v>19910.059393752887</v>
      </c>
      <c r="K1253" s="595">
        <f t="shared" si="59"/>
        <v>10054580</v>
      </c>
      <c r="L1253" s="39" t="s">
        <v>162</v>
      </c>
      <c r="M1253" s="596" t="s">
        <v>156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IF(OR(TH!L1253=TH!$U$7,M1253=TH!$U$7),"x","")</f>
        <v/>
      </c>
      <c r="V1253" s="52" t="str">
        <f>IF(AND(B1253&gt;='IN-NX'!$P$3,B1253&lt;='IN-NX'!$Q$3,'IN-NX'!$D$7=D1253,OR(LEFT(L1253,2)="15",AND(LEFT(M1253,2)&lt;&gt;"15",LEFT(M1253,2)&lt;&gt;"33"))),"x","")</f>
        <v/>
      </c>
      <c r="W1253" s="52" t="str">
        <f>IF(AND(OR(LEFT(TH!L1253,2)="15",LEFT(TH!M1253,2)="15"),'152-CT'!$J$8=TH!F1253),"x","")</f>
        <v/>
      </c>
      <c r="X1253" s="52" t="str">
        <f>IF(AND(OR(LEFT(TH!L1253,2)="15",LEFT(TH!M1253,2)="15"),TK!$E$7=TH!F1253),"x","")</f>
        <v/>
      </c>
      <c r="Y1253" s="52" t="str">
        <f>IF(AND(B1253&lt;=NKC!$N$8,B1253&gt;=NKC!$M$8),"x","")</f>
        <v>x</v>
      </c>
    </row>
    <row r="1254" spans="1:25" s="208" customFormat="1" ht="15.75" customHeight="1">
      <c r="A1254" s="201" t="str">
        <f>IF(B1254&lt;&gt;"",IF(AND(B1254&gt;=_TM1,B1254&lt;=_TM2,OR(TH!L1254="1111",TH!M1254="1111")),TH!D1254,""),"")</f>
        <v/>
      </c>
      <c r="B1254" s="36">
        <f t="shared" si="60"/>
        <v>8</v>
      </c>
      <c r="C1254" s="188">
        <f t="shared" si="58"/>
        <v>41503</v>
      </c>
      <c r="D1254" s="188" t="s">
        <v>1260</v>
      </c>
      <c r="E1254" s="188">
        <v>41503</v>
      </c>
      <c r="F1254" s="189" t="s">
        <v>561</v>
      </c>
      <c r="G1254" s="480" t="s">
        <v>882</v>
      </c>
      <c r="H1254" s="7" t="s">
        <v>1252</v>
      </c>
      <c r="I1254" s="249">
        <v>1015</v>
      </c>
      <c r="J1254" s="249">
        <v>8744.995073891625</v>
      </c>
      <c r="K1254" s="595">
        <f t="shared" si="59"/>
        <v>8876170</v>
      </c>
      <c r="L1254" s="39" t="s">
        <v>162</v>
      </c>
      <c r="M1254" s="596" t="s">
        <v>156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IF(OR(TH!L1254=TH!$U$7,M1254=TH!$U$7),"x","")</f>
        <v/>
      </c>
      <c r="V1254" s="52" t="str">
        <f>IF(AND(B1254&gt;='IN-NX'!$P$3,B1254&lt;='IN-NX'!$Q$3,'IN-NX'!$D$7=D1254,OR(LEFT(L1254,2)="15",AND(LEFT(M1254,2)&lt;&gt;"15",LEFT(M1254,2)&lt;&gt;"33"))),"x","")</f>
        <v/>
      </c>
      <c r="W1254" s="52" t="str">
        <f>IF(AND(OR(LEFT(TH!L1254,2)="15",LEFT(TH!M1254,2)="15"),'152-CT'!$J$8=TH!F1254),"x","")</f>
        <v/>
      </c>
      <c r="X1254" s="52" t="str">
        <f>IF(AND(OR(LEFT(TH!L1254,2)="15",LEFT(TH!M1254,2)="15"),TK!$E$7=TH!F1254),"x","")</f>
        <v/>
      </c>
      <c r="Y1254" s="52" t="str">
        <f>IF(AND(B1254&lt;=NKC!$N$8,B1254&gt;=NKC!$M$8),"x","")</f>
        <v>x</v>
      </c>
    </row>
    <row r="1255" spans="1:25" s="208" customFormat="1" ht="15.75" customHeight="1">
      <c r="A1255" s="201" t="str">
        <f>IF(B1255&lt;&gt;"",IF(AND(B1255&gt;=_TM1,B1255&lt;=_TM2,OR(TH!L1255="1111",TH!M1255="1111")),TH!D1255,""),"")</f>
        <v/>
      </c>
      <c r="B1255" s="36">
        <f t="shared" si="60"/>
        <v>8</v>
      </c>
      <c r="C1255" s="188">
        <f t="shared" si="58"/>
        <v>41503</v>
      </c>
      <c r="D1255" s="188" t="s">
        <v>1260</v>
      </c>
      <c r="E1255" s="735">
        <v>41503</v>
      </c>
      <c r="F1255" s="186" t="s">
        <v>1191</v>
      </c>
      <c r="G1255" s="40" t="s">
        <v>884</v>
      </c>
      <c r="H1255" s="7" t="s">
        <v>1252</v>
      </c>
      <c r="I1255" s="249">
        <v>705</v>
      </c>
      <c r="J1255" s="249">
        <v>10775</v>
      </c>
      <c r="K1255" s="595">
        <f t="shared" si="59"/>
        <v>7596375</v>
      </c>
      <c r="L1255" s="39" t="s">
        <v>162</v>
      </c>
      <c r="M1255" s="596" t="s">
        <v>156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IF(OR(TH!L1255=TH!$U$7,M1255=TH!$U$7),"x","")</f>
        <v/>
      </c>
      <c r="V1255" s="52" t="str">
        <f>IF(AND(B1255&gt;='IN-NX'!$P$3,B1255&lt;='IN-NX'!$Q$3,'IN-NX'!$D$7=D1255,OR(LEFT(L1255,2)="15",AND(LEFT(M1255,2)&lt;&gt;"15",LEFT(M1255,2)&lt;&gt;"33"))),"x","")</f>
        <v/>
      </c>
      <c r="W1255" s="52" t="str">
        <f>IF(AND(OR(LEFT(TH!L1255,2)="15",LEFT(TH!M1255,2)="15"),'152-CT'!$J$8=TH!F1255),"x","")</f>
        <v/>
      </c>
      <c r="X1255" s="52" t="str">
        <f>IF(AND(OR(LEFT(TH!L1255,2)="15",LEFT(TH!M1255,2)="15"),TK!$E$7=TH!F1255),"x","")</f>
        <v/>
      </c>
      <c r="Y1255" s="52" t="str">
        <f>IF(AND(B1255&lt;=NKC!$N$8,B1255&gt;=NKC!$M$8),"x","")</f>
        <v>x</v>
      </c>
    </row>
    <row r="1256" spans="1:25" s="208" customFormat="1" ht="15.75" customHeight="1">
      <c r="A1256" s="201" t="str">
        <f>IF(B1256&lt;&gt;"",IF(AND(B1256&gt;=_TM1,B1256&lt;=_TM2,OR(TH!L1256="1111",TH!M1256="1111")),TH!D1256,""),"")</f>
        <v/>
      </c>
      <c r="B1256" s="36">
        <f t="shared" si="60"/>
        <v>8</v>
      </c>
      <c r="C1256" s="188">
        <f t="shared" si="58"/>
        <v>41503</v>
      </c>
      <c r="D1256" s="188" t="s">
        <v>1260</v>
      </c>
      <c r="E1256" s="735">
        <v>41503</v>
      </c>
      <c r="F1256" s="40" t="s">
        <v>1209</v>
      </c>
      <c r="G1256" s="40" t="s">
        <v>885</v>
      </c>
      <c r="H1256" s="7" t="s">
        <v>1252</v>
      </c>
      <c r="I1256" s="249">
        <v>534</v>
      </c>
      <c r="J1256" s="249">
        <v>19910.059351276741</v>
      </c>
      <c r="K1256" s="595">
        <f t="shared" si="59"/>
        <v>10631972</v>
      </c>
      <c r="L1256" s="39" t="s">
        <v>162</v>
      </c>
      <c r="M1256" s="596" t="s">
        <v>156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IF(OR(TH!L1256=TH!$U$7,M1256=TH!$U$7),"x","")</f>
        <v/>
      </c>
      <c r="V1256" s="52" t="str">
        <f>IF(AND(B1256&gt;='IN-NX'!$P$3,B1256&lt;='IN-NX'!$Q$3,'IN-NX'!$D$7=D1256,OR(LEFT(L1256,2)="15",AND(LEFT(M1256,2)&lt;&gt;"15",LEFT(M1256,2)&lt;&gt;"33"))),"x","")</f>
        <v/>
      </c>
      <c r="W1256" s="52" t="str">
        <f>IF(AND(OR(LEFT(TH!L1256,2)="15",LEFT(TH!M1256,2)="15"),'152-CT'!$J$8=TH!F1256),"x","")</f>
        <v/>
      </c>
      <c r="X1256" s="52" t="str">
        <f>IF(AND(OR(LEFT(TH!L1256,2)="15",LEFT(TH!M1256,2)="15"),TK!$E$7=TH!F1256),"x","")</f>
        <v/>
      </c>
      <c r="Y1256" s="52" t="str">
        <f>IF(AND(B1256&lt;=NKC!$N$8,B1256&gt;=NKC!$M$8),"x","")</f>
        <v>x</v>
      </c>
    </row>
    <row r="1257" spans="1:25" s="208" customFormat="1" ht="15.75" customHeight="1">
      <c r="A1257" s="201" t="str">
        <f>IF(B1257&lt;&gt;"",IF(AND(B1257&gt;=_TM1,B1257&lt;=_TM2,OR(TH!L1257="1111",TH!M1257="1111")),TH!D1257,""),"")</f>
        <v/>
      </c>
      <c r="B1257" s="36">
        <f t="shared" si="60"/>
        <v>8</v>
      </c>
      <c r="C1257" s="188">
        <f t="shared" si="58"/>
        <v>41504</v>
      </c>
      <c r="D1257" s="188" t="s">
        <v>1260</v>
      </c>
      <c r="E1257" s="735">
        <v>41504</v>
      </c>
      <c r="F1257" s="186" t="s">
        <v>1213</v>
      </c>
      <c r="G1257" s="40" t="s">
        <v>886</v>
      </c>
      <c r="H1257" s="7" t="s">
        <v>1252</v>
      </c>
      <c r="I1257" s="772">
        <v>100</v>
      </c>
      <c r="J1257" s="249">
        <v>22601</v>
      </c>
      <c r="K1257" s="595">
        <f t="shared" si="59"/>
        <v>2260100</v>
      </c>
      <c r="L1257" s="39" t="s">
        <v>162</v>
      </c>
      <c r="M1257" s="596" t="s">
        <v>156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IF(OR(TH!L1257=TH!$U$7,M1257=TH!$U$7),"x","")</f>
        <v/>
      </c>
      <c r="V1257" s="52" t="str">
        <f>IF(AND(B1257&gt;='IN-NX'!$P$3,B1257&lt;='IN-NX'!$Q$3,'IN-NX'!$D$7=D1257,OR(LEFT(L1257,2)="15",AND(LEFT(M1257,2)&lt;&gt;"15",LEFT(M1257,2)&lt;&gt;"33"))),"x","")</f>
        <v/>
      </c>
      <c r="W1257" s="52" t="str">
        <f>IF(AND(OR(LEFT(TH!L1257,2)="15",LEFT(TH!M1257,2)="15"),'152-CT'!$J$8=TH!F1257),"x","")</f>
        <v/>
      </c>
      <c r="X1257" s="52" t="str">
        <f>IF(AND(OR(LEFT(TH!L1257,2)="15",LEFT(TH!M1257,2)="15"),TK!$E$7=TH!F1257),"x","")</f>
        <v/>
      </c>
      <c r="Y1257" s="52" t="str">
        <f>IF(AND(B1257&lt;=NKC!$N$8,B1257&gt;=NKC!$M$8),"x","")</f>
        <v>x</v>
      </c>
    </row>
    <row r="1258" spans="1:25" s="208" customFormat="1" ht="15.75" customHeight="1">
      <c r="A1258" s="201" t="str">
        <f>IF(B1258&lt;&gt;"",IF(AND(B1258&gt;=_TM1,B1258&lt;=_TM2,OR(TH!L1258="1111",TH!M1258="1111")),TH!D1258,""),"")</f>
        <v/>
      </c>
      <c r="B1258" s="36">
        <f t="shared" si="60"/>
        <v>8</v>
      </c>
      <c r="C1258" s="188">
        <f t="shared" si="58"/>
        <v>41508</v>
      </c>
      <c r="D1258" s="188" t="s">
        <v>1260</v>
      </c>
      <c r="E1258" s="735">
        <v>41508</v>
      </c>
      <c r="F1258" s="40" t="s">
        <v>619</v>
      </c>
      <c r="G1258" s="40" t="s">
        <v>888</v>
      </c>
      <c r="H1258" s="7" t="s">
        <v>1252</v>
      </c>
      <c r="I1258" s="249">
        <v>52</v>
      </c>
      <c r="J1258" s="249">
        <v>8462.4198895027621</v>
      </c>
      <c r="K1258" s="595">
        <f t="shared" si="59"/>
        <v>440046</v>
      </c>
      <c r="L1258" s="39" t="s">
        <v>162</v>
      </c>
      <c r="M1258" s="596" t="s">
        <v>156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IF(OR(TH!L1258=TH!$U$7,M1258=TH!$U$7),"x","")</f>
        <v/>
      </c>
      <c r="V1258" s="52" t="str">
        <f>IF(AND(B1258&gt;='IN-NX'!$P$3,B1258&lt;='IN-NX'!$Q$3,'IN-NX'!$D$7=D1258,OR(LEFT(L1258,2)="15",AND(LEFT(M1258,2)&lt;&gt;"15",LEFT(M1258,2)&lt;&gt;"33"))),"x","")</f>
        <v/>
      </c>
      <c r="W1258" s="52" t="str">
        <f>IF(AND(OR(LEFT(TH!L1258,2)="15",LEFT(TH!M1258,2)="15"),'152-CT'!$J$8=TH!F1258),"x","")</f>
        <v/>
      </c>
      <c r="X1258" s="52" t="str">
        <f>IF(AND(OR(LEFT(TH!L1258,2)="15",LEFT(TH!M1258,2)="15"),TK!$E$7=TH!F1258),"x","")</f>
        <v/>
      </c>
      <c r="Y1258" s="52" t="str">
        <f>IF(AND(B1258&lt;=NKC!$N$8,B1258&gt;=NKC!$M$8),"x","")</f>
        <v>x</v>
      </c>
    </row>
    <row r="1259" spans="1:25" s="208" customFormat="1" ht="15.75" customHeight="1">
      <c r="A1259" s="201" t="str">
        <f>IF(B1259&lt;&gt;"",IF(AND(B1259&gt;=_TM1,B1259&lt;=_TM2,OR(TH!L1259="1111",TH!M1259="1111")),TH!D1259,""),"")</f>
        <v/>
      </c>
      <c r="B1259" s="36">
        <f t="shared" si="60"/>
        <v>8</v>
      </c>
      <c r="C1259" s="188">
        <f t="shared" si="58"/>
        <v>41508</v>
      </c>
      <c r="D1259" s="188" t="s">
        <v>1260</v>
      </c>
      <c r="E1259" s="735">
        <v>41508</v>
      </c>
      <c r="F1259" s="186" t="s">
        <v>1243</v>
      </c>
      <c r="G1259" s="40" t="s">
        <v>888</v>
      </c>
      <c r="H1259" s="7" t="s">
        <v>1252</v>
      </c>
      <c r="I1259" s="772">
        <v>630</v>
      </c>
      <c r="J1259" s="249">
        <v>10708</v>
      </c>
      <c r="K1259" s="595">
        <f t="shared" si="59"/>
        <v>6746040</v>
      </c>
      <c r="L1259" s="39" t="s">
        <v>162</v>
      </c>
      <c r="M1259" s="596" t="s">
        <v>156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IF(OR(TH!L1259=TH!$U$7,M1259=TH!$U$7),"x","")</f>
        <v/>
      </c>
      <c r="V1259" s="52" t="str">
        <f>IF(AND(B1259&gt;='IN-NX'!$P$3,B1259&lt;='IN-NX'!$Q$3,'IN-NX'!$D$7=D1259,OR(LEFT(L1259,2)="15",AND(LEFT(M1259,2)&lt;&gt;"15",LEFT(M1259,2)&lt;&gt;"33"))),"x","")</f>
        <v/>
      </c>
      <c r="W1259" s="52" t="str">
        <f>IF(AND(OR(LEFT(TH!L1259,2)="15",LEFT(TH!M1259,2)="15"),'152-CT'!$J$8=TH!F1259),"x","")</f>
        <v/>
      </c>
      <c r="X1259" s="52" t="str">
        <f>IF(AND(OR(LEFT(TH!L1259,2)="15",LEFT(TH!M1259,2)="15"),TK!$E$7=TH!F1259),"x","")</f>
        <v/>
      </c>
      <c r="Y1259" s="52" t="str">
        <f>IF(AND(B1259&lt;=NKC!$N$8,B1259&gt;=NKC!$M$8),"x","")</f>
        <v>x</v>
      </c>
    </row>
    <row r="1260" spans="1:25" s="208" customFormat="1" ht="15.75" customHeight="1">
      <c r="A1260" s="201" t="str">
        <f>IF(B1260&lt;&gt;"",IF(AND(B1260&gt;=_TM1,B1260&lt;=_TM2,OR(TH!L1260="1111",TH!M1260="1111")),TH!D1260,""),"")</f>
        <v/>
      </c>
      <c r="B1260" s="36">
        <f t="shared" si="60"/>
        <v>8</v>
      </c>
      <c r="C1260" s="188">
        <f t="shared" si="58"/>
        <v>41508</v>
      </c>
      <c r="D1260" s="188" t="s">
        <v>1260</v>
      </c>
      <c r="E1260" s="735">
        <v>41508</v>
      </c>
      <c r="F1260" s="186" t="s">
        <v>1241</v>
      </c>
      <c r="G1260" s="40" t="s">
        <v>888</v>
      </c>
      <c r="H1260" s="7" t="s">
        <v>1252</v>
      </c>
      <c r="I1260" s="772">
        <v>150</v>
      </c>
      <c r="J1260" s="249">
        <v>9523.2000000000007</v>
      </c>
      <c r="K1260" s="595">
        <f t="shared" si="59"/>
        <v>1428480</v>
      </c>
      <c r="L1260" s="39" t="s">
        <v>162</v>
      </c>
      <c r="M1260" s="596" t="s">
        <v>156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IF(OR(TH!L1260=TH!$U$7,M1260=TH!$U$7),"x","")</f>
        <v/>
      </c>
      <c r="V1260" s="52" t="str">
        <f>IF(AND(B1260&gt;='IN-NX'!$P$3,B1260&lt;='IN-NX'!$Q$3,'IN-NX'!$D$7=D1260,OR(LEFT(L1260,2)="15",AND(LEFT(M1260,2)&lt;&gt;"15",LEFT(M1260,2)&lt;&gt;"33"))),"x","")</f>
        <v/>
      </c>
      <c r="W1260" s="52" t="str">
        <f>IF(AND(OR(LEFT(TH!L1260,2)="15",LEFT(TH!M1260,2)="15"),'152-CT'!$J$8=TH!F1260),"x","")</f>
        <v/>
      </c>
      <c r="X1260" s="52" t="str">
        <f>IF(AND(OR(LEFT(TH!L1260,2)="15",LEFT(TH!M1260,2)="15"),TK!$E$7=TH!F1260),"x","")</f>
        <v/>
      </c>
      <c r="Y1260" s="52" t="str">
        <f>IF(AND(B1260&lt;=NKC!$N$8,B1260&gt;=NKC!$M$8),"x","")</f>
        <v>x</v>
      </c>
    </row>
    <row r="1261" spans="1:25" s="208" customFormat="1" ht="15.75" customHeight="1">
      <c r="A1261" s="201" t="str">
        <f>IF(B1261&lt;&gt;"",IF(AND(B1261&gt;=_TM1,B1261&lt;=_TM2,OR(TH!L1261="1111",TH!M1261="1111")),TH!D1261,""),"")</f>
        <v/>
      </c>
      <c r="B1261" s="36">
        <f t="shared" si="60"/>
        <v>8</v>
      </c>
      <c r="C1261" s="188">
        <f t="shared" si="58"/>
        <v>41508</v>
      </c>
      <c r="D1261" s="188" t="s">
        <v>1260</v>
      </c>
      <c r="E1261" s="735">
        <v>41508</v>
      </c>
      <c r="F1261" s="290" t="s">
        <v>1221</v>
      </c>
      <c r="G1261" s="40" t="s">
        <v>888</v>
      </c>
      <c r="H1261" s="7" t="s">
        <v>1252</v>
      </c>
      <c r="I1261" s="249">
        <v>32</v>
      </c>
      <c r="J1261" s="249">
        <v>23102</v>
      </c>
      <c r="K1261" s="595">
        <f t="shared" si="59"/>
        <v>739264</v>
      </c>
      <c r="L1261" s="39" t="s">
        <v>162</v>
      </c>
      <c r="M1261" s="596" t="s">
        <v>156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IF(OR(TH!L1261=TH!$U$7,M1261=TH!$U$7),"x","")</f>
        <v/>
      </c>
      <c r="V1261" s="52" t="str">
        <f>IF(AND(B1261&gt;='IN-NX'!$P$3,B1261&lt;='IN-NX'!$Q$3,'IN-NX'!$D$7=D1261,OR(LEFT(L1261,2)="15",AND(LEFT(M1261,2)&lt;&gt;"15",LEFT(M1261,2)&lt;&gt;"33"))),"x","")</f>
        <v/>
      </c>
      <c r="W1261" s="52" t="str">
        <f>IF(AND(OR(LEFT(TH!L1261,2)="15",LEFT(TH!M1261,2)="15"),'152-CT'!$J$8=TH!F1261),"x","")</f>
        <v/>
      </c>
      <c r="X1261" s="52" t="str">
        <f>IF(AND(OR(LEFT(TH!L1261,2)="15",LEFT(TH!M1261,2)="15"),TK!$E$7=TH!F1261),"x","")</f>
        <v/>
      </c>
      <c r="Y1261" s="52" t="str">
        <f>IF(AND(B1261&lt;=NKC!$N$8,B1261&gt;=NKC!$M$8),"x","")</f>
        <v>x</v>
      </c>
    </row>
    <row r="1262" spans="1:25" s="208" customFormat="1" ht="15.75" customHeight="1">
      <c r="A1262" s="201" t="str">
        <f>IF(B1262&lt;&gt;"",IF(AND(B1262&gt;=_TM1,B1262&lt;=_TM2,OR(TH!L1262="1111",TH!M1262="1111")),TH!D1262,""),"")</f>
        <v/>
      </c>
      <c r="B1262" s="36">
        <f t="shared" si="60"/>
        <v>8</v>
      </c>
      <c r="C1262" s="188">
        <f t="shared" si="58"/>
        <v>41509</v>
      </c>
      <c r="D1262" s="188" t="s">
        <v>1260</v>
      </c>
      <c r="E1262" s="735">
        <v>41509</v>
      </c>
      <c r="F1262" s="40" t="s">
        <v>1234</v>
      </c>
      <c r="G1262" s="40" t="s">
        <v>890</v>
      </c>
      <c r="H1262" s="7" t="s">
        <v>1252</v>
      </c>
      <c r="I1262" s="249">
        <v>240</v>
      </c>
      <c r="J1262" s="249">
        <v>21089</v>
      </c>
      <c r="K1262" s="595">
        <f t="shared" si="59"/>
        <v>5061360</v>
      </c>
      <c r="L1262" s="39" t="s">
        <v>162</v>
      </c>
      <c r="M1262" s="596" t="s">
        <v>156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IF(OR(TH!L1262=TH!$U$7,M1262=TH!$U$7),"x","")</f>
        <v/>
      </c>
      <c r="V1262" s="52" t="str">
        <f>IF(AND(B1262&gt;='IN-NX'!$P$3,B1262&lt;='IN-NX'!$Q$3,'IN-NX'!$D$7=D1262,OR(LEFT(L1262,2)="15",AND(LEFT(M1262,2)&lt;&gt;"15",LEFT(M1262,2)&lt;&gt;"33"))),"x","")</f>
        <v/>
      </c>
      <c r="W1262" s="52" t="str">
        <f>IF(AND(OR(LEFT(TH!L1262,2)="15",LEFT(TH!M1262,2)="15"),'152-CT'!$J$8=TH!F1262),"x","")</f>
        <v/>
      </c>
      <c r="X1262" s="52" t="str">
        <f>IF(AND(OR(LEFT(TH!L1262,2)="15",LEFT(TH!M1262,2)="15"),TK!$E$7=TH!F1262),"x","")</f>
        <v/>
      </c>
      <c r="Y1262" s="52" t="str">
        <f>IF(AND(B1262&lt;=NKC!$N$8,B1262&gt;=NKC!$M$8),"x","")</f>
        <v>x</v>
      </c>
    </row>
    <row r="1263" spans="1:25" s="208" customFormat="1" ht="15.75" customHeight="1">
      <c r="A1263" s="201" t="str">
        <f>IF(B1263&lt;&gt;"",IF(AND(B1263&gt;=_TM1,B1263&lt;=_TM2,OR(TH!L1263="1111",TH!M1263="1111")),TH!D1263,""),"")</f>
        <v/>
      </c>
      <c r="B1263" s="36">
        <f t="shared" si="60"/>
        <v>8</v>
      </c>
      <c r="C1263" s="188">
        <f t="shared" si="58"/>
        <v>41509</v>
      </c>
      <c r="D1263" s="188" t="s">
        <v>1260</v>
      </c>
      <c r="E1263" s="37">
        <v>41509</v>
      </c>
      <c r="F1263" s="40" t="s">
        <v>1198</v>
      </c>
      <c r="G1263" s="40" t="s">
        <v>890</v>
      </c>
      <c r="H1263" s="7" t="s">
        <v>1252</v>
      </c>
      <c r="I1263" s="249">
        <v>391</v>
      </c>
      <c r="J1263" s="249">
        <v>22301</v>
      </c>
      <c r="K1263" s="595">
        <f t="shared" si="59"/>
        <v>8719691</v>
      </c>
      <c r="L1263" s="39" t="s">
        <v>162</v>
      </c>
      <c r="M1263" s="596" t="s">
        <v>156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IF(OR(TH!L1263=TH!$U$7,M1263=TH!$U$7),"x","")</f>
        <v/>
      </c>
      <c r="V1263" s="52" t="str">
        <f>IF(AND(B1263&gt;='IN-NX'!$P$3,B1263&lt;='IN-NX'!$Q$3,'IN-NX'!$D$7=D1263,OR(LEFT(L1263,2)="15",AND(LEFT(M1263,2)&lt;&gt;"15",LEFT(M1263,2)&lt;&gt;"33"))),"x","")</f>
        <v/>
      </c>
      <c r="W1263" s="52" t="str">
        <f>IF(AND(OR(LEFT(TH!L1263,2)="15",LEFT(TH!M1263,2)="15"),'152-CT'!$J$8=TH!F1263),"x","")</f>
        <v/>
      </c>
      <c r="X1263" s="52" t="str">
        <f>IF(AND(OR(LEFT(TH!L1263,2)="15",LEFT(TH!M1263,2)="15"),TK!$E$7=TH!F1263),"x","")</f>
        <v/>
      </c>
      <c r="Y1263" s="52" t="str">
        <f>IF(AND(B1263&lt;=NKC!$N$8,B1263&gt;=NKC!$M$8),"x","")</f>
        <v>x</v>
      </c>
    </row>
    <row r="1264" spans="1:25" s="208" customFormat="1" ht="15.75" customHeight="1">
      <c r="A1264" s="201" t="str">
        <f>IF(B1264&lt;&gt;"",IF(AND(B1264&gt;=_TM1,B1264&lt;=_TM2,OR(TH!L1264="1111",TH!M1264="1111")),TH!D1264,""),"")</f>
        <v/>
      </c>
      <c r="B1264" s="36">
        <f t="shared" si="60"/>
        <v>8</v>
      </c>
      <c r="C1264" s="188">
        <f t="shared" si="58"/>
        <v>41509</v>
      </c>
      <c r="D1264" s="188" t="s">
        <v>1260</v>
      </c>
      <c r="E1264" s="37">
        <v>41509</v>
      </c>
      <c r="F1264" s="189" t="s">
        <v>1238</v>
      </c>
      <c r="G1264" s="40" t="s">
        <v>1082</v>
      </c>
      <c r="H1264" s="7" t="s">
        <v>1252</v>
      </c>
      <c r="I1264" s="249">
        <v>215</v>
      </c>
      <c r="J1264" s="249">
        <v>22361</v>
      </c>
      <c r="K1264" s="595">
        <f t="shared" si="59"/>
        <v>4807615</v>
      </c>
      <c r="L1264" s="39" t="s">
        <v>162</v>
      </c>
      <c r="M1264" s="596" t="s">
        <v>156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IF(OR(TH!L1264=TH!$U$7,M1264=TH!$U$7),"x","")</f>
        <v/>
      </c>
      <c r="V1264" s="52" t="str">
        <f>IF(AND(B1264&gt;='IN-NX'!$P$3,B1264&lt;='IN-NX'!$Q$3,'IN-NX'!$D$7=D1264,OR(LEFT(L1264,2)="15",AND(LEFT(M1264,2)&lt;&gt;"15",LEFT(M1264,2)&lt;&gt;"33"))),"x","")</f>
        <v/>
      </c>
      <c r="W1264" s="52" t="str">
        <f>IF(AND(OR(LEFT(TH!L1264,2)="15",LEFT(TH!M1264,2)="15"),'152-CT'!$J$8=TH!F1264),"x","")</f>
        <v/>
      </c>
      <c r="X1264" s="52" t="str">
        <f>IF(AND(OR(LEFT(TH!L1264,2)="15",LEFT(TH!M1264,2)="15"),TK!$E$7=TH!F1264),"x","")</f>
        <v/>
      </c>
      <c r="Y1264" s="52" t="str">
        <f>IF(AND(B1264&lt;=NKC!$N$8,B1264&gt;=NKC!$M$8),"x","")</f>
        <v>x</v>
      </c>
    </row>
    <row r="1265" spans="1:25" s="208" customFormat="1" ht="15.75" customHeight="1">
      <c r="A1265" s="201" t="str">
        <f>IF(B1265&lt;&gt;"",IF(AND(B1265&gt;=_TM1,B1265&lt;=_TM2,OR(TH!L1265="1111",TH!M1265="1111")),TH!D1265,""),"")</f>
        <v/>
      </c>
      <c r="B1265" s="36">
        <f t="shared" si="60"/>
        <v>8</v>
      </c>
      <c r="C1265" s="188">
        <f t="shared" si="58"/>
        <v>41509</v>
      </c>
      <c r="D1265" s="188" t="s">
        <v>1260</v>
      </c>
      <c r="E1265" s="37">
        <v>41509</v>
      </c>
      <c r="F1265" s="40" t="s">
        <v>583</v>
      </c>
      <c r="G1265" s="40" t="s">
        <v>1082</v>
      </c>
      <c r="H1265" s="7" t="s">
        <v>1252</v>
      </c>
      <c r="I1265" s="249">
        <v>106</v>
      </c>
      <c r="J1265" s="249">
        <v>10886</v>
      </c>
      <c r="K1265" s="595">
        <f t="shared" si="59"/>
        <v>1153916</v>
      </c>
      <c r="L1265" s="39" t="s">
        <v>162</v>
      </c>
      <c r="M1265" s="596" t="s">
        <v>156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IF(OR(TH!L1265=TH!$U$7,M1265=TH!$U$7),"x","")</f>
        <v/>
      </c>
      <c r="V1265" s="52" t="str">
        <f>IF(AND(B1265&gt;='IN-NX'!$P$3,B1265&lt;='IN-NX'!$Q$3,'IN-NX'!$D$7=D1265,OR(LEFT(L1265,2)="15",AND(LEFT(M1265,2)&lt;&gt;"15",LEFT(M1265,2)&lt;&gt;"33"))),"x","")</f>
        <v/>
      </c>
      <c r="W1265" s="52" t="str">
        <f>IF(AND(OR(LEFT(TH!L1265,2)="15",LEFT(TH!M1265,2)="15"),'152-CT'!$J$8=TH!F1265),"x","")</f>
        <v/>
      </c>
      <c r="X1265" s="52" t="str">
        <f>IF(AND(OR(LEFT(TH!L1265,2)="15",LEFT(TH!M1265,2)="15"),TK!$E$7=TH!F1265),"x","")</f>
        <v/>
      </c>
      <c r="Y1265" s="52" t="str">
        <f>IF(AND(B1265&lt;=NKC!$N$8,B1265&gt;=NKC!$M$8),"x","")</f>
        <v>x</v>
      </c>
    </row>
    <row r="1266" spans="1:25" s="208" customFormat="1" ht="15.75" customHeight="1">
      <c r="A1266" s="201" t="str">
        <f>IF(B1266&lt;&gt;"",IF(AND(B1266&gt;=_TM1,B1266&lt;=_TM2,OR(TH!L1266="1111",TH!M1266="1111")),TH!D1266,""),"")</f>
        <v/>
      </c>
      <c r="B1266" s="36">
        <f t="shared" si="60"/>
        <v>8</v>
      </c>
      <c r="C1266" s="188">
        <f t="shared" si="58"/>
        <v>41513</v>
      </c>
      <c r="D1266" s="188" t="s">
        <v>1260</v>
      </c>
      <c r="E1266" s="37">
        <v>41513</v>
      </c>
      <c r="F1266" s="40" t="s">
        <v>1248</v>
      </c>
      <c r="G1266" s="40" t="s">
        <v>1083</v>
      </c>
      <c r="H1266" s="7" t="s">
        <v>1252</v>
      </c>
      <c r="I1266" s="249">
        <v>400</v>
      </c>
      <c r="J1266" s="249">
        <v>10863</v>
      </c>
      <c r="K1266" s="595">
        <f t="shared" si="59"/>
        <v>4345200</v>
      </c>
      <c r="L1266" s="39" t="s">
        <v>162</v>
      </c>
      <c r="M1266" s="596" t="s">
        <v>156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IF(OR(TH!L1266=TH!$U$7,M1266=TH!$U$7),"x","")</f>
        <v/>
      </c>
      <c r="V1266" s="52" t="str">
        <f>IF(AND(B1266&gt;='IN-NX'!$P$3,B1266&lt;='IN-NX'!$Q$3,'IN-NX'!$D$7=D1266,OR(LEFT(L1266,2)="15",AND(LEFT(M1266,2)&lt;&gt;"15",LEFT(M1266,2)&lt;&gt;"33"))),"x","")</f>
        <v/>
      </c>
      <c r="W1266" s="52" t="str">
        <f>IF(AND(OR(LEFT(TH!L1266,2)="15",LEFT(TH!M1266,2)="15"),'152-CT'!$J$8=TH!F1266),"x","")</f>
        <v/>
      </c>
      <c r="X1266" s="52" t="str">
        <f>IF(AND(OR(LEFT(TH!L1266,2)="15",LEFT(TH!M1266,2)="15"),TK!$E$7=TH!F1266),"x","")</f>
        <v/>
      </c>
      <c r="Y1266" s="52" t="str">
        <f>IF(AND(B1266&lt;=NKC!$N$8,B1266&gt;=NKC!$M$8),"x","")</f>
        <v>x</v>
      </c>
    </row>
    <row r="1267" spans="1:25" s="208" customFormat="1" ht="15.75" customHeight="1">
      <c r="A1267" s="201" t="str">
        <f>IF(B1267&lt;&gt;"",IF(AND(B1267&gt;=_TM1,B1267&lt;=_TM2,OR(TH!L1267="1111",TH!M1267="1111")),TH!D1267,""),"")</f>
        <v/>
      </c>
      <c r="B1267" s="36">
        <f t="shared" si="60"/>
        <v>8</v>
      </c>
      <c r="C1267" s="188">
        <f t="shared" si="58"/>
        <v>41513</v>
      </c>
      <c r="D1267" s="188" t="s">
        <v>1260</v>
      </c>
      <c r="E1267" s="37">
        <v>41513</v>
      </c>
      <c r="F1267" s="189" t="s">
        <v>1259</v>
      </c>
      <c r="G1267" s="40" t="s">
        <v>1083</v>
      </c>
      <c r="H1267" s="7" t="s">
        <v>1252</v>
      </c>
      <c r="I1267" s="249">
        <v>210</v>
      </c>
      <c r="J1267" s="249">
        <v>13125</v>
      </c>
      <c r="K1267" s="595">
        <f t="shared" si="59"/>
        <v>2756250</v>
      </c>
      <c r="L1267" s="39" t="s">
        <v>162</v>
      </c>
      <c r="M1267" s="596" t="s">
        <v>156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IF(OR(TH!L1267=TH!$U$7,M1267=TH!$U$7),"x","")</f>
        <v/>
      </c>
      <c r="V1267" s="52" t="str">
        <f>IF(AND(B1267&gt;='IN-NX'!$P$3,B1267&lt;='IN-NX'!$Q$3,'IN-NX'!$D$7=D1267,OR(LEFT(L1267,2)="15",AND(LEFT(M1267,2)&lt;&gt;"15",LEFT(M1267,2)&lt;&gt;"33"))),"x","")</f>
        <v/>
      </c>
      <c r="W1267" s="52" t="str">
        <f>IF(AND(OR(LEFT(TH!L1267,2)="15",LEFT(TH!M1267,2)="15"),'152-CT'!$J$8=TH!F1267),"x","")</f>
        <v/>
      </c>
      <c r="X1267" s="52" t="str">
        <f>IF(AND(OR(LEFT(TH!L1267,2)="15",LEFT(TH!M1267,2)="15"),TK!$E$7=TH!F1267),"x","")</f>
        <v/>
      </c>
      <c r="Y1267" s="52" t="str">
        <f>IF(AND(B1267&lt;=NKC!$N$8,B1267&gt;=NKC!$M$8),"x","")</f>
        <v>x</v>
      </c>
    </row>
    <row r="1268" spans="1:25" s="208" customFormat="1" ht="15.75" customHeight="1">
      <c r="A1268" s="201" t="str">
        <f>IF(B1268&lt;&gt;"",IF(AND(B1268&gt;=_TM1,B1268&lt;=_TM2,OR(TH!L1268="1111",TH!M1268="1111")),TH!D1268,""),"")</f>
        <v/>
      </c>
      <c r="B1268" s="36">
        <f t="shared" si="60"/>
        <v>8</v>
      </c>
      <c r="C1268" s="188">
        <f t="shared" si="58"/>
        <v>41513</v>
      </c>
      <c r="D1268" s="188" t="s">
        <v>1260</v>
      </c>
      <c r="E1268" s="37">
        <v>41513</v>
      </c>
      <c r="F1268" s="186" t="s">
        <v>1202</v>
      </c>
      <c r="G1268" s="40" t="s">
        <v>1083</v>
      </c>
      <c r="H1268" s="7" t="s">
        <v>1252</v>
      </c>
      <c r="I1268" s="249">
        <v>52</v>
      </c>
      <c r="J1268" s="249">
        <v>18306</v>
      </c>
      <c r="K1268" s="595">
        <f t="shared" si="59"/>
        <v>951912</v>
      </c>
      <c r="L1268" s="39" t="s">
        <v>162</v>
      </c>
      <c r="M1268" s="596" t="s">
        <v>156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IF(OR(TH!L1268=TH!$U$7,M1268=TH!$U$7),"x","")</f>
        <v/>
      </c>
      <c r="V1268" s="52" t="str">
        <f>IF(AND(B1268&gt;='IN-NX'!$P$3,B1268&lt;='IN-NX'!$Q$3,'IN-NX'!$D$7=D1268,OR(LEFT(L1268,2)="15",AND(LEFT(M1268,2)&lt;&gt;"15",LEFT(M1268,2)&lt;&gt;"33"))),"x","")</f>
        <v/>
      </c>
      <c r="W1268" s="52" t="str">
        <f>IF(AND(OR(LEFT(TH!L1268,2)="15",LEFT(TH!M1268,2)="15"),'152-CT'!$J$8=TH!F1268),"x","")</f>
        <v/>
      </c>
      <c r="X1268" s="52" t="str">
        <f>IF(AND(OR(LEFT(TH!L1268,2)="15",LEFT(TH!M1268,2)="15"),TK!$E$7=TH!F1268),"x","")</f>
        <v/>
      </c>
      <c r="Y1268" s="52" t="str">
        <f>IF(AND(B1268&lt;=NKC!$N$8,B1268&gt;=NKC!$M$8),"x","")</f>
        <v>x</v>
      </c>
    </row>
    <row r="1269" spans="1:25" s="208" customFormat="1" ht="15.75" customHeight="1">
      <c r="A1269" s="201" t="str">
        <f>IF(B1269&lt;&gt;"",IF(AND(B1269&gt;=_TM1,B1269&lt;=_TM2,OR(TH!L1269="1111",TH!M1269="1111")),TH!D1269,""),"")</f>
        <v/>
      </c>
      <c r="B1269" s="36">
        <f t="shared" si="60"/>
        <v>8</v>
      </c>
      <c r="C1269" s="188">
        <f t="shared" si="58"/>
        <v>41509</v>
      </c>
      <c r="D1269" s="188" t="s">
        <v>1260</v>
      </c>
      <c r="E1269" s="37">
        <v>41509</v>
      </c>
      <c r="F1269" s="40" t="s">
        <v>1198</v>
      </c>
      <c r="G1269" s="40" t="s">
        <v>1084</v>
      </c>
      <c r="H1269" s="7" t="s">
        <v>1252</v>
      </c>
      <c r="I1269" s="249">
        <v>468</v>
      </c>
      <c r="J1269" s="249">
        <v>22301</v>
      </c>
      <c r="K1269" s="595">
        <f t="shared" si="59"/>
        <v>10436868</v>
      </c>
      <c r="L1269" s="39" t="s">
        <v>162</v>
      </c>
      <c r="M1269" s="596" t="s">
        <v>156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IF(OR(TH!L1269=TH!$U$7,M1269=TH!$U$7),"x","")</f>
        <v/>
      </c>
      <c r="V1269" s="52" t="str">
        <f>IF(AND(B1269&gt;='IN-NX'!$P$3,B1269&lt;='IN-NX'!$Q$3,'IN-NX'!$D$7=D1269,OR(LEFT(L1269,2)="15",AND(LEFT(M1269,2)&lt;&gt;"15",LEFT(M1269,2)&lt;&gt;"33"))),"x","")</f>
        <v/>
      </c>
      <c r="W1269" s="52" t="str">
        <f>IF(AND(OR(LEFT(TH!L1269,2)="15",LEFT(TH!M1269,2)="15"),'152-CT'!$J$8=TH!F1269),"x","")</f>
        <v/>
      </c>
      <c r="X1269" s="52" t="str">
        <f>IF(AND(OR(LEFT(TH!L1269,2)="15",LEFT(TH!M1269,2)="15"),TK!$E$7=TH!F1269),"x","")</f>
        <v/>
      </c>
      <c r="Y1269" s="52" t="str">
        <f>IF(AND(B1269&lt;=NKC!$N$8,B1269&gt;=NKC!$M$8),"x","")</f>
        <v>x</v>
      </c>
    </row>
    <row r="1270" spans="1:25" s="208" customFormat="1" ht="15.75" customHeight="1">
      <c r="A1270" s="201" t="str">
        <f>IF(B1270&lt;&gt;"",IF(AND(B1270&gt;=_TM1,B1270&lt;=_TM2,OR(TH!L1270="1111",TH!M1270="1111")),TH!D1270,""),"")</f>
        <v/>
      </c>
      <c r="B1270" s="36">
        <f t="shared" si="60"/>
        <v>8</v>
      </c>
      <c r="C1270" s="188">
        <f t="shared" si="58"/>
        <v>41509</v>
      </c>
      <c r="D1270" s="188" t="s">
        <v>1260</v>
      </c>
      <c r="E1270" s="37">
        <v>41509</v>
      </c>
      <c r="F1270" s="40" t="s">
        <v>560</v>
      </c>
      <c r="G1270" s="40" t="s">
        <v>1084</v>
      </c>
      <c r="H1270" s="7" t="s">
        <v>1252</v>
      </c>
      <c r="I1270" s="249">
        <v>186</v>
      </c>
      <c r="J1270" s="249">
        <v>29568</v>
      </c>
      <c r="K1270" s="595">
        <f t="shared" si="59"/>
        <v>5499648</v>
      </c>
      <c r="L1270" s="39" t="s">
        <v>162</v>
      </c>
      <c r="M1270" s="596" t="s">
        <v>156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IF(OR(TH!L1270=TH!$U$7,M1270=TH!$U$7),"x","")</f>
        <v/>
      </c>
      <c r="V1270" s="52" t="str">
        <f>IF(AND(B1270&gt;='IN-NX'!$P$3,B1270&lt;='IN-NX'!$Q$3,'IN-NX'!$D$7=D1270,OR(LEFT(L1270,2)="15",AND(LEFT(M1270,2)&lt;&gt;"15",LEFT(M1270,2)&lt;&gt;"33"))),"x","")</f>
        <v/>
      </c>
      <c r="W1270" s="52" t="str">
        <f>IF(AND(OR(LEFT(TH!L1270,2)="15",LEFT(TH!M1270,2)="15"),'152-CT'!$J$8=TH!F1270),"x","")</f>
        <v/>
      </c>
      <c r="X1270" s="52" t="str">
        <f>IF(AND(OR(LEFT(TH!L1270,2)="15",LEFT(TH!M1270,2)="15"),TK!$E$7=TH!F1270),"x","")</f>
        <v/>
      </c>
      <c r="Y1270" s="52" t="str">
        <f>IF(AND(B1270&lt;=NKC!$N$8,B1270&gt;=NKC!$M$8),"x","")</f>
        <v>x</v>
      </c>
    </row>
    <row r="1271" spans="1:25" s="208" customFormat="1" ht="15.75" customHeight="1">
      <c r="A1271" s="201" t="str">
        <f>IF(B1271&lt;&gt;"",IF(AND(B1271&gt;=_TM1,B1271&lt;=_TM2,OR(TH!L1271="1111",TH!M1271="1111")),TH!D1271,""),"")</f>
        <v/>
      </c>
      <c r="B1271" s="36">
        <f t="shared" si="60"/>
        <v>9</v>
      </c>
      <c r="C1271" s="188">
        <f t="shared" si="58"/>
        <v>41519</v>
      </c>
      <c r="D1271" s="188" t="s">
        <v>1260</v>
      </c>
      <c r="E1271" s="37">
        <v>41519</v>
      </c>
      <c r="F1271" s="40" t="s">
        <v>1198</v>
      </c>
      <c r="G1271" s="40" t="s">
        <v>1085</v>
      </c>
      <c r="H1271" s="7" t="s">
        <v>1252</v>
      </c>
      <c r="I1271" s="249">
        <v>450</v>
      </c>
      <c r="J1271" s="249">
        <v>22301</v>
      </c>
      <c r="K1271" s="595">
        <f t="shared" si="59"/>
        <v>10035450</v>
      </c>
      <c r="L1271" s="39" t="s">
        <v>162</v>
      </c>
      <c r="M1271" s="596" t="s">
        <v>156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IF(OR(TH!L1271=TH!$U$7,M1271=TH!$U$7),"x","")</f>
        <v/>
      </c>
      <c r="V1271" s="52" t="str">
        <f>IF(AND(B1271&gt;='IN-NX'!$P$3,B1271&lt;='IN-NX'!$Q$3,'IN-NX'!$D$7=D1271,OR(LEFT(L1271,2)="15",AND(LEFT(M1271,2)&lt;&gt;"15",LEFT(M1271,2)&lt;&gt;"33"))),"x","")</f>
        <v/>
      </c>
      <c r="W1271" s="52" t="str">
        <f>IF(AND(OR(LEFT(TH!L1271,2)="15",LEFT(TH!M1271,2)="15"),'152-CT'!$J$8=TH!F1271),"x","")</f>
        <v/>
      </c>
      <c r="X1271" s="52" t="str">
        <f>IF(AND(OR(LEFT(TH!L1271,2)="15",LEFT(TH!M1271,2)="15"),TK!$E$7=TH!F1271),"x","")</f>
        <v/>
      </c>
      <c r="Y1271" s="52" t="str">
        <f>IF(AND(B1271&lt;=NKC!$N$8,B1271&gt;=NKC!$M$8),"x","")</f>
        <v>x</v>
      </c>
    </row>
    <row r="1272" spans="1:25" s="208" customFormat="1" ht="15.75" customHeight="1">
      <c r="A1272" s="201" t="str">
        <f>IF(B1272&lt;&gt;"",IF(AND(B1272&gt;=_TM1,B1272&lt;=_TM2,OR(TH!L1272="1111",TH!M1272="1111")),TH!D1272,""),"")</f>
        <v/>
      </c>
      <c r="B1272" s="36">
        <f t="shared" si="60"/>
        <v>9</v>
      </c>
      <c r="C1272" s="188">
        <f t="shared" si="58"/>
        <v>41520</v>
      </c>
      <c r="D1272" s="188" t="s">
        <v>1260</v>
      </c>
      <c r="E1272" s="37">
        <v>41520</v>
      </c>
      <c r="F1272" s="189" t="s">
        <v>604</v>
      </c>
      <c r="G1272" s="40" t="s">
        <v>1086</v>
      </c>
      <c r="H1272" s="7" t="s">
        <v>1252</v>
      </c>
      <c r="I1272" s="249">
        <v>505</v>
      </c>
      <c r="J1272" s="249">
        <v>13465</v>
      </c>
      <c r="K1272" s="595">
        <f t="shared" si="59"/>
        <v>6799825</v>
      </c>
      <c r="L1272" s="39" t="s">
        <v>162</v>
      </c>
      <c r="M1272" s="596" t="s">
        <v>156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IF(OR(TH!L1272=TH!$U$7,M1272=TH!$U$7),"x","")</f>
        <v/>
      </c>
      <c r="V1272" s="52" t="str">
        <f>IF(AND(B1272&gt;='IN-NX'!$P$3,B1272&lt;='IN-NX'!$Q$3,'IN-NX'!$D$7=D1272,OR(LEFT(L1272,2)="15",AND(LEFT(M1272,2)&lt;&gt;"15",LEFT(M1272,2)&lt;&gt;"33"))),"x","")</f>
        <v/>
      </c>
      <c r="W1272" s="52" t="str">
        <f>IF(AND(OR(LEFT(TH!L1272,2)="15",LEFT(TH!M1272,2)="15"),'152-CT'!$J$8=TH!F1272),"x","")</f>
        <v/>
      </c>
      <c r="X1272" s="52" t="str">
        <f>IF(AND(OR(LEFT(TH!L1272,2)="15",LEFT(TH!M1272,2)="15"),TK!$E$7=TH!F1272),"x","")</f>
        <v/>
      </c>
      <c r="Y1272" s="52" t="str">
        <f>IF(AND(B1272&lt;=NKC!$N$8,B1272&gt;=NKC!$M$8),"x","")</f>
        <v>x</v>
      </c>
    </row>
    <row r="1273" spans="1:25" s="208" customFormat="1" ht="15.75" customHeight="1">
      <c r="A1273" s="201" t="str">
        <f>IF(B1273&lt;&gt;"",IF(AND(B1273&gt;=_TM1,B1273&lt;=_TM2,OR(TH!L1273="1111",TH!M1273="1111")),TH!D1273,""),"")</f>
        <v/>
      </c>
      <c r="B1273" s="36">
        <f t="shared" si="60"/>
        <v>9</v>
      </c>
      <c r="C1273" s="188">
        <f t="shared" si="58"/>
        <v>41520</v>
      </c>
      <c r="D1273" s="188" t="s">
        <v>1260</v>
      </c>
      <c r="E1273" s="37">
        <v>41520</v>
      </c>
      <c r="F1273" s="40" t="s">
        <v>646</v>
      </c>
      <c r="G1273" s="40" t="s">
        <v>1086</v>
      </c>
      <c r="H1273" s="7" t="s">
        <v>1252</v>
      </c>
      <c r="I1273" s="249">
        <v>500</v>
      </c>
      <c r="J1273" s="249">
        <v>11722</v>
      </c>
      <c r="K1273" s="595">
        <f t="shared" si="59"/>
        <v>5861000</v>
      </c>
      <c r="L1273" s="39" t="s">
        <v>162</v>
      </c>
      <c r="M1273" s="596" t="s">
        <v>156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IF(OR(TH!L1273=TH!$U$7,M1273=TH!$U$7),"x","")</f>
        <v/>
      </c>
      <c r="V1273" s="52" t="str">
        <f>IF(AND(B1273&gt;='IN-NX'!$P$3,B1273&lt;='IN-NX'!$Q$3,'IN-NX'!$D$7=D1273,OR(LEFT(L1273,2)="15",AND(LEFT(M1273,2)&lt;&gt;"15",LEFT(M1273,2)&lt;&gt;"33"))),"x","")</f>
        <v/>
      </c>
      <c r="W1273" s="52" t="str">
        <f>IF(AND(OR(LEFT(TH!L1273,2)="15",LEFT(TH!M1273,2)="15"),'152-CT'!$J$8=TH!F1273),"x","")</f>
        <v/>
      </c>
      <c r="X1273" s="52" t="str">
        <f>IF(AND(OR(LEFT(TH!L1273,2)="15",LEFT(TH!M1273,2)="15"),TK!$E$7=TH!F1273),"x","")</f>
        <v/>
      </c>
      <c r="Y1273" s="52" t="str">
        <f>IF(AND(B1273&lt;=NKC!$N$8,B1273&gt;=NKC!$M$8),"x","")</f>
        <v>x</v>
      </c>
    </row>
    <row r="1274" spans="1:25" s="208" customFormat="1" ht="15.75" customHeight="1">
      <c r="A1274" s="201" t="str">
        <f>IF(B1274&lt;&gt;"",IF(AND(B1274&gt;=_TM1,B1274&lt;=_TM2,OR(TH!L1274="1111",TH!M1274="1111")),TH!D1274,""),"")</f>
        <v/>
      </c>
      <c r="B1274" s="36">
        <f t="shared" si="60"/>
        <v>9</v>
      </c>
      <c r="C1274" s="188">
        <f t="shared" si="58"/>
        <v>41523</v>
      </c>
      <c r="D1274" s="188" t="s">
        <v>1260</v>
      </c>
      <c r="E1274" s="37">
        <v>41523</v>
      </c>
      <c r="F1274" s="40" t="s">
        <v>682</v>
      </c>
      <c r="G1274" s="40" t="s">
        <v>1089</v>
      </c>
      <c r="H1274" s="7" t="s">
        <v>1252</v>
      </c>
      <c r="I1274" s="249">
        <v>270</v>
      </c>
      <c r="J1274" s="249">
        <v>20635.247863247863</v>
      </c>
      <c r="K1274" s="595">
        <f t="shared" si="59"/>
        <v>5571517</v>
      </c>
      <c r="L1274" s="39" t="s">
        <v>162</v>
      </c>
      <c r="M1274" s="596" t="s">
        <v>156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IF(OR(TH!L1274=TH!$U$7,M1274=TH!$U$7),"x","")</f>
        <v/>
      </c>
      <c r="V1274" s="52" t="str">
        <f>IF(AND(B1274&gt;='IN-NX'!$P$3,B1274&lt;='IN-NX'!$Q$3,'IN-NX'!$D$7=D1274,OR(LEFT(L1274,2)="15",AND(LEFT(M1274,2)&lt;&gt;"15",LEFT(M1274,2)&lt;&gt;"33"))),"x","")</f>
        <v/>
      </c>
      <c r="W1274" s="52" t="str">
        <f>IF(AND(OR(LEFT(TH!L1274,2)="15",LEFT(TH!M1274,2)="15"),'152-CT'!$J$8=TH!F1274),"x","")</f>
        <v/>
      </c>
      <c r="X1274" s="52" t="str">
        <f>IF(AND(OR(LEFT(TH!L1274,2)="15",LEFT(TH!M1274,2)="15"),TK!$E$7=TH!F1274),"x","")</f>
        <v/>
      </c>
      <c r="Y1274" s="52" t="str">
        <f>IF(AND(B1274&lt;=NKC!$N$8,B1274&gt;=NKC!$M$8),"x","")</f>
        <v>x</v>
      </c>
    </row>
    <row r="1275" spans="1:25" s="208" customFormat="1" ht="15.75" customHeight="1">
      <c r="A1275" s="201" t="str">
        <f>IF(B1275&lt;&gt;"",IF(AND(B1275&gt;=_TM1,B1275&lt;=_TM2,OR(TH!L1275="1111",TH!M1275="1111")),TH!D1275,""),"")</f>
        <v/>
      </c>
      <c r="B1275" s="36">
        <f t="shared" si="60"/>
        <v>9</v>
      </c>
      <c r="C1275" s="188">
        <f t="shared" si="58"/>
        <v>41523</v>
      </c>
      <c r="D1275" s="188" t="s">
        <v>1260</v>
      </c>
      <c r="E1275" s="37">
        <v>41523</v>
      </c>
      <c r="F1275" s="189" t="s">
        <v>1209</v>
      </c>
      <c r="G1275" s="40" t="s">
        <v>1090</v>
      </c>
      <c r="H1275" s="7" t="s">
        <v>1252</v>
      </c>
      <c r="I1275" s="249">
        <v>505</v>
      </c>
      <c r="J1275" s="249">
        <v>19910.059393752887</v>
      </c>
      <c r="K1275" s="595">
        <f t="shared" si="59"/>
        <v>10054580</v>
      </c>
      <c r="L1275" s="39" t="s">
        <v>162</v>
      </c>
      <c r="M1275" s="596" t="s">
        <v>156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IF(OR(TH!L1275=TH!$U$7,M1275=TH!$U$7),"x","")</f>
        <v/>
      </c>
      <c r="V1275" s="52" t="str">
        <f>IF(AND(B1275&gt;='IN-NX'!$P$3,B1275&lt;='IN-NX'!$Q$3,'IN-NX'!$D$7=D1275,OR(LEFT(L1275,2)="15",AND(LEFT(M1275,2)&lt;&gt;"15",LEFT(M1275,2)&lt;&gt;"33"))),"x","")</f>
        <v/>
      </c>
      <c r="W1275" s="52" t="str">
        <f>IF(AND(OR(LEFT(TH!L1275,2)="15",LEFT(TH!M1275,2)="15"),'152-CT'!$J$8=TH!F1275),"x","")</f>
        <v/>
      </c>
      <c r="X1275" s="52" t="str">
        <f>IF(AND(OR(LEFT(TH!L1275,2)="15",LEFT(TH!M1275,2)="15"),TK!$E$7=TH!F1275),"x","")</f>
        <v/>
      </c>
      <c r="Y1275" s="52" t="str">
        <f>IF(AND(B1275&lt;=NKC!$N$8,B1275&gt;=NKC!$M$8),"x","")</f>
        <v>x</v>
      </c>
    </row>
    <row r="1276" spans="1:25" s="208" customFormat="1" ht="15.75" customHeight="1">
      <c r="A1276" s="201" t="str">
        <f>IF(B1276&lt;&gt;"",IF(AND(B1276&gt;=_TM1,B1276&lt;=_TM2,OR(TH!L1276="1111",TH!M1276="1111")),TH!D1276,""),"")</f>
        <v/>
      </c>
      <c r="B1276" s="36">
        <f t="shared" si="60"/>
        <v>9</v>
      </c>
      <c r="C1276" s="188">
        <f t="shared" ref="C1276:C1339" si="61">E1276</f>
        <v>41523</v>
      </c>
      <c r="D1276" s="188" t="s">
        <v>1260</v>
      </c>
      <c r="E1276" s="37">
        <v>41523</v>
      </c>
      <c r="F1276" s="186" t="s">
        <v>1198</v>
      </c>
      <c r="G1276" s="40" t="s">
        <v>1091</v>
      </c>
      <c r="H1276" s="7" t="s">
        <v>1252</v>
      </c>
      <c r="I1276" s="249">
        <v>468</v>
      </c>
      <c r="J1276" s="249">
        <v>22301</v>
      </c>
      <c r="K1276" s="595">
        <f t="shared" ref="K1276:K1339" si="62">ROUND(I1276*J1276,0)</f>
        <v>10436868</v>
      </c>
      <c r="L1276" s="39" t="s">
        <v>162</v>
      </c>
      <c r="M1276" s="596" t="s">
        <v>156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IF(OR(TH!L1276=TH!$U$7,M1276=TH!$U$7),"x","")</f>
        <v/>
      </c>
      <c r="V1276" s="52" t="str">
        <f>IF(AND(B1276&gt;='IN-NX'!$P$3,B1276&lt;='IN-NX'!$Q$3,'IN-NX'!$D$7=D1276,OR(LEFT(L1276,2)="15",AND(LEFT(M1276,2)&lt;&gt;"15",LEFT(M1276,2)&lt;&gt;"33"))),"x","")</f>
        <v/>
      </c>
      <c r="W1276" s="52" t="str">
        <f>IF(AND(OR(LEFT(TH!L1276,2)="15",LEFT(TH!M1276,2)="15"),'152-CT'!$J$8=TH!F1276),"x","")</f>
        <v/>
      </c>
      <c r="X1276" s="52" t="str">
        <f>IF(AND(OR(LEFT(TH!L1276,2)="15",LEFT(TH!M1276,2)="15"),TK!$E$7=TH!F1276),"x","")</f>
        <v/>
      </c>
      <c r="Y1276" s="52" t="str">
        <f>IF(AND(B1276&lt;=NKC!$N$8,B1276&gt;=NKC!$M$8),"x","")</f>
        <v>x</v>
      </c>
    </row>
    <row r="1277" spans="1:25" s="208" customFormat="1" ht="15.75" customHeight="1">
      <c r="A1277" s="201" t="str">
        <f>IF(B1277&lt;&gt;"",IF(AND(B1277&gt;=_TM1,B1277&lt;=_TM2,OR(TH!L1277="1111",TH!M1277="1111")),TH!D1277,""),"")</f>
        <v/>
      </c>
      <c r="B1277" s="36">
        <f t="shared" si="60"/>
        <v>9</v>
      </c>
      <c r="C1277" s="188">
        <f t="shared" si="61"/>
        <v>41523</v>
      </c>
      <c r="D1277" s="188" t="s">
        <v>1260</v>
      </c>
      <c r="E1277" s="37">
        <v>41523</v>
      </c>
      <c r="F1277" s="40" t="s">
        <v>1217</v>
      </c>
      <c r="G1277" s="40" t="s">
        <v>1091</v>
      </c>
      <c r="H1277" s="7" t="s">
        <v>1252</v>
      </c>
      <c r="I1277" s="249">
        <v>150</v>
      </c>
      <c r="J1277" s="249">
        <v>27900</v>
      </c>
      <c r="K1277" s="595">
        <f t="shared" si="62"/>
        <v>4185000</v>
      </c>
      <c r="L1277" s="39" t="s">
        <v>162</v>
      </c>
      <c r="M1277" s="596" t="s">
        <v>156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IF(OR(TH!L1277=TH!$U$7,M1277=TH!$U$7),"x","")</f>
        <v/>
      </c>
      <c r="V1277" s="52" t="str">
        <f>IF(AND(B1277&gt;='IN-NX'!$P$3,B1277&lt;='IN-NX'!$Q$3,'IN-NX'!$D$7=D1277,OR(LEFT(L1277,2)="15",AND(LEFT(M1277,2)&lt;&gt;"15",LEFT(M1277,2)&lt;&gt;"33"))),"x","")</f>
        <v/>
      </c>
      <c r="W1277" s="52" t="str">
        <f>IF(AND(OR(LEFT(TH!L1277,2)="15",LEFT(TH!M1277,2)="15"),'152-CT'!$J$8=TH!F1277),"x","")</f>
        <v/>
      </c>
      <c r="X1277" s="52" t="str">
        <f>IF(AND(OR(LEFT(TH!L1277,2)="15",LEFT(TH!M1277,2)="15"),TK!$E$7=TH!F1277),"x","")</f>
        <v/>
      </c>
      <c r="Y1277" s="52" t="str">
        <f>IF(AND(B1277&lt;=NKC!$N$8,B1277&gt;=NKC!$M$8),"x","")</f>
        <v>x</v>
      </c>
    </row>
    <row r="1278" spans="1:25" s="208" customFormat="1" ht="15.75" customHeight="1">
      <c r="A1278" s="201" t="str">
        <f>IF(B1278&lt;&gt;"",IF(AND(B1278&gt;=_TM1,B1278&lt;=_TM2,OR(TH!L1278="1111",TH!M1278="1111")),TH!D1278,""),"")</f>
        <v/>
      </c>
      <c r="B1278" s="36">
        <f t="shared" si="60"/>
        <v>9</v>
      </c>
      <c r="C1278" s="188">
        <f t="shared" si="61"/>
        <v>41523</v>
      </c>
      <c r="D1278" s="188" t="s">
        <v>1260</v>
      </c>
      <c r="E1278" s="37">
        <v>41523</v>
      </c>
      <c r="F1278" s="40" t="s">
        <v>1198</v>
      </c>
      <c r="G1278" s="40" t="s">
        <v>891</v>
      </c>
      <c r="H1278" s="7" t="s">
        <v>1252</v>
      </c>
      <c r="I1278" s="249">
        <v>440</v>
      </c>
      <c r="J1278" s="249">
        <v>22301</v>
      </c>
      <c r="K1278" s="595">
        <f t="shared" si="62"/>
        <v>9812440</v>
      </c>
      <c r="L1278" s="39" t="s">
        <v>162</v>
      </c>
      <c r="M1278" s="596" t="s">
        <v>156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IF(OR(TH!L1278=TH!$U$7,M1278=TH!$U$7),"x","")</f>
        <v/>
      </c>
      <c r="V1278" s="52" t="str">
        <f>IF(AND(B1278&gt;='IN-NX'!$P$3,B1278&lt;='IN-NX'!$Q$3,'IN-NX'!$D$7=D1278,OR(LEFT(L1278,2)="15",AND(LEFT(M1278,2)&lt;&gt;"15",LEFT(M1278,2)&lt;&gt;"33"))),"x","")</f>
        <v/>
      </c>
      <c r="W1278" s="52" t="str">
        <f>IF(AND(OR(LEFT(TH!L1278,2)="15",LEFT(TH!M1278,2)="15"),'152-CT'!$J$8=TH!F1278),"x","")</f>
        <v/>
      </c>
      <c r="X1278" s="52" t="str">
        <f>IF(AND(OR(LEFT(TH!L1278,2)="15",LEFT(TH!M1278,2)="15"),TK!$E$7=TH!F1278),"x","")</f>
        <v/>
      </c>
      <c r="Y1278" s="52" t="str">
        <f>IF(AND(B1278&lt;=NKC!$N$8,B1278&gt;=NKC!$M$8),"x","")</f>
        <v>x</v>
      </c>
    </row>
    <row r="1279" spans="1:25" s="208" customFormat="1" ht="15.75" customHeight="1">
      <c r="A1279" s="201" t="str">
        <f>IF(B1279&lt;&gt;"",IF(AND(B1279&gt;=_TM1,B1279&lt;=_TM2,OR(TH!L1279="1111",TH!M1279="1111")),TH!D1279,""),"")</f>
        <v/>
      </c>
      <c r="B1279" s="36">
        <f t="shared" si="60"/>
        <v>9</v>
      </c>
      <c r="C1279" s="188">
        <f t="shared" si="61"/>
        <v>41525</v>
      </c>
      <c r="D1279" s="188" t="s">
        <v>1260</v>
      </c>
      <c r="E1279" s="757">
        <v>41525</v>
      </c>
      <c r="F1279" s="189" t="s">
        <v>1248</v>
      </c>
      <c r="G1279" s="480" t="s">
        <v>893</v>
      </c>
      <c r="H1279" s="7" t="s">
        <v>1252</v>
      </c>
      <c r="I1279" s="250">
        <v>100</v>
      </c>
      <c r="J1279" s="250">
        <v>10863</v>
      </c>
      <c r="K1279" s="595">
        <f t="shared" si="62"/>
        <v>1086300</v>
      </c>
      <c r="L1279" s="39" t="s">
        <v>162</v>
      </c>
      <c r="M1279" s="596" t="s">
        <v>156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IF(OR(TH!L1279=TH!$U$7,M1279=TH!$U$7),"x","")</f>
        <v/>
      </c>
      <c r="V1279" s="52" t="str">
        <f>IF(AND(B1279&gt;='IN-NX'!$P$3,B1279&lt;='IN-NX'!$Q$3,'IN-NX'!$D$7=D1279,OR(LEFT(L1279,2)="15",AND(LEFT(M1279,2)&lt;&gt;"15",LEFT(M1279,2)&lt;&gt;"33"))),"x","")</f>
        <v/>
      </c>
      <c r="W1279" s="52" t="str">
        <f>IF(AND(OR(LEFT(TH!L1279,2)="15",LEFT(TH!M1279,2)="15"),'152-CT'!$J$8=TH!F1279),"x","")</f>
        <v/>
      </c>
      <c r="X1279" s="52" t="str">
        <f>IF(AND(OR(LEFT(TH!L1279,2)="15",LEFT(TH!M1279,2)="15"),TK!$E$7=TH!F1279),"x","")</f>
        <v/>
      </c>
      <c r="Y1279" s="52" t="str">
        <f>IF(AND(B1279&lt;=NKC!$N$8,B1279&gt;=NKC!$M$8),"x","")</f>
        <v>x</v>
      </c>
    </row>
    <row r="1280" spans="1:25" s="208" customFormat="1" ht="15.75" customHeight="1">
      <c r="A1280" s="201" t="str">
        <f>IF(B1280&lt;&gt;"",IF(AND(B1280&gt;=_TM1,B1280&lt;=_TM2,OR(TH!L1280="1111",TH!M1280="1111")),TH!D1280,""),"")</f>
        <v/>
      </c>
      <c r="B1280" s="36">
        <f t="shared" si="60"/>
        <v>9</v>
      </c>
      <c r="C1280" s="188">
        <f t="shared" si="61"/>
        <v>41525</v>
      </c>
      <c r="D1280" s="188" t="s">
        <v>1260</v>
      </c>
      <c r="E1280" s="757">
        <v>41525</v>
      </c>
      <c r="F1280" s="186" t="s">
        <v>1259</v>
      </c>
      <c r="G1280" s="480" t="s">
        <v>893</v>
      </c>
      <c r="H1280" s="7" t="s">
        <v>1252</v>
      </c>
      <c r="I1280" s="249">
        <v>102</v>
      </c>
      <c r="J1280" s="249">
        <v>13125</v>
      </c>
      <c r="K1280" s="595">
        <f t="shared" si="62"/>
        <v>1338750</v>
      </c>
      <c r="L1280" s="39" t="s">
        <v>162</v>
      </c>
      <c r="M1280" s="596" t="s">
        <v>156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IF(OR(TH!L1280=TH!$U$7,M1280=TH!$U$7),"x","")</f>
        <v/>
      </c>
      <c r="V1280" s="52" t="str">
        <f>IF(AND(B1280&gt;='IN-NX'!$P$3,B1280&lt;='IN-NX'!$Q$3,'IN-NX'!$D$7=D1280,OR(LEFT(L1280,2)="15",AND(LEFT(M1280,2)&lt;&gt;"15",LEFT(M1280,2)&lt;&gt;"33"))),"x","")</f>
        <v/>
      </c>
      <c r="W1280" s="52" t="str">
        <f>IF(AND(OR(LEFT(TH!L1280,2)="15",LEFT(TH!M1280,2)="15"),'152-CT'!$J$8=TH!F1280),"x","")</f>
        <v/>
      </c>
      <c r="X1280" s="52" t="str">
        <f>IF(AND(OR(LEFT(TH!L1280,2)="15",LEFT(TH!M1280,2)="15"),TK!$E$7=TH!F1280),"x","")</f>
        <v/>
      </c>
      <c r="Y1280" s="52" t="str">
        <f>IF(AND(B1280&lt;=NKC!$N$8,B1280&gt;=NKC!$M$8),"x","")</f>
        <v>x</v>
      </c>
    </row>
    <row r="1281" spans="1:25" s="208" customFormat="1" ht="15.75" customHeight="1">
      <c r="A1281" s="201" t="str">
        <f>IF(B1281&lt;&gt;"",IF(AND(B1281&gt;=_TM1,B1281&lt;=_TM2,OR(TH!L1281="1111",TH!M1281="1111")),TH!D1281,""),"")</f>
        <v/>
      </c>
      <c r="B1281" s="36">
        <f t="shared" si="60"/>
        <v>9</v>
      </c>
      <c r="C1281" s="188">
        <f t="shared" si="61"/>
        <v>41530</v>
      </c>
      <c r="D1281" s="188" t="s">
        <v>1260</v>
      </c>
      <c r="E1281" s="757">
        <v>41530</v>
      </c>
      <c r="F1281" s="186" t="s">
        <v>619</v>
      </c>
      <c r="G1281" s="480" t="s">
        <v>896</v>
      </c>
      <c r="H1281" s="7" t="s">
        <v>1252</v>
      </c>
      <c r="I1281" s="249">
        <v>992</v>
      </c>
      <c r="J1281" s="249">
        <v>8462.418420401089</v>
      </c>
      <c r="K1281" s="595">
        <f t="shared" si="62"/>
        <v>8394719</v>
      </c>
      <c r="L1281" s="39" t="s">
        <v>162</v>
      </c>
      <c r="M1281" s="596" t="s">
        <v>156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IF(OR(TH!L1281=TH!$U$7,M1281=TH!$U$7),"x","")</f>
        <v/>
      </c>
      <c r="V1281" s="52" t="str">
        <f>IF(AND(B1281&gt;='IN-NX'!$P$3,B1281&lt;='IN-NX'!$Q$3,'IN-NX'!$D$7=D1281,OR(LEFT(L1281,2)="15",AND(LEFT(M1281,2)&lt;&gt;"15",LEFT(M1281,2)&lt;&gt;"33"))),"x","")</f>
        <v/>
      </c>
      <c r="W1281" s="52" t="str">
        <f>IF(AND(OR(LEFT(TH!L1281,2)="15",LEFT(TH!M1281,2)="15"),'152-CT'!$J$8=TH!F1281),"x","")</f>
        <v/>
      </c>
      <c r="X1281" s="52" t="str">
        <f>IF(AND(OR(LEFT(TH!L1281,2)="15",LEFT(TH!M1281,2)="15"),TK!$E$7=TH!F1281),"x","")</f>
        <v/>
      </c>
      <c r="Y1281" s="52" t="str">
        <f>IF(AND(B1281&lt;=NKC!$N$8,B1281&gt;=NKC!$M$8),"x","")</f>
        <v>x</v>
      </c>
    </row>
    <row r="1282" spans="1:25" s="208" customFormat="1" ht="15.75" customHeight="1">
      <c r="A1282" s="201" t="str">
        <f>IF(B1282&lt;&gt;"",IF(AND(B1282&gt;=_TM1,B1282&lt;=_TM2,OR(TH!L1282="1111",TH!M1282="1111")),TH!D1282,""),"")</f>
        <v/>
      </c>
      <c r="B1282" s="36">
        <f t="shared" si="60"/>
        <v>9</v>
      </c>
      <c r="C1282" s="188">
        <f t="shared" si="61"/>
        <v>41532</v>
      </c>
      <c r="D1282" s="188" t="s">
        <v>1260</v>
      </c>
      <c r="E1282" s="188">
        <v>41532</v>
      </c>
      <c r="F1282" s="189" t="s">
        <v>1209</v>
      </c>
      <c r="G1282" s="480" t="s">
        <v>897</v>
      </c>
      <c r="H1282" s="7" t="s">
        <v>1252</v>
      </c>
      <c r="I1282" s="249">
        <v>496</v>
      </c>
      <c r="J1282" s="249">
        <v>19910.059393752887</v>
      </c>
      <c r="K1282" s="595">
        <f t="shared" si="62"/>
        <v>9875389</v>
      </c>
      <c r="L1282" s="39" t="s">
        <v>162</v>
      </c>
      <c r="M1282" s="596" t="s">
        <v>156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IF(OR(TH!L1282=TH!$U$7,M1282=TH!$U$7),"x","")</f>
        <v/>
      </c>
      <c r="V1282" s="52" t="str">
        <f>IF(AND(B1282&gt;='IN-NX'!$P$3,B1282&lt;='IN-NX'!$Q$3,'IN-NX'!$D$7=D1282,OR(LEFT(L1282,2)="15",AND(LEFT(M1282,2)&lt;&gt;"15",LEFT(M1282,2)&lt;&gt;"33"))),"x","")</f>
        <v/>
      </c>
      <c r="W1282" s="52" t="str">
        <f>IF(AND(OR(LEFT(TH!L1282,2)="15",LEFT(TH!M1282,2)="15"),'152-CT'!$J$8=TH!F1282),"x","")</f>
        <v/>
      </c>
      <c r="X1282" s="52" t="str">
        <f>IF(AND(OR(LEFT(TH!L1282,2)="15",LEFT(TH!M1282,2)="15"),TK!$E$7=TH!F1282),"x","")</f>
        <v/>
      </c>
      <c r="Y1282" s="52" t="str">
        <f>IF(AND(B1282&lt;=NKC!$N$8,B1282&gt;=NKC!$M$8),"x","")</f>
        <v>x</v>
      </c>
    </row>
    <row r="1283" spans="1:25" s="208" customFormat="1" ht="15.75" customHeight="1">
      <c r="A1283" s="201" t="str">
        <f>IF(B1283&lt;&gt;"",IF(AND(B1283&gt;=_TM1,B1283&lt;=_TM2,OR(TH!L1283="1111",TH!M1283="1111")),TH!D1283,""),"")</f>
        <v/>
      </c>
      <c r="B1283" s="36">
        <f t="shared" si="60"/>
        <v>9</v>
      </c>
      <c r="C1283" s="188">
        <f t="shared" si="61"/>
        <v>41533</v>
      </c>
      <c r="D1283" s="188" t="s">
        <v>1260</v>
      </c>
      <c r="E1283" s="188">
        <v>41533</v>
      </c>
      <c r="F1283" s="189" t="s">
        <v>1135</v>
      </c>
      <c r="G1283" s="480" t="s">
        <v>899</v>
      </c>
      <c r="H1283" s="7" t="s">
        <v>1252</v>
      </c>
      <c r="I1283" s="249">
        <v>50</v>
      </c>
      <c r="J1283" s="249">
        <v>11780</v>
      </c>
      <c r="K1283" s="595">
        <f t="shared" si="62"/>
        <v>589000</v>
      </c>
      <c r="L1283" s="39" t="s">
        <v>162</v>
      </c>
      <c r="M1283" s="596" t="s">
        <v>156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IF(OR(TH!L1283=TH!$U$7,M1283=TH!$U$7),"x","")</f>
        <v/>
      </c>
      <c r="V1283" s="52" t="str">
        <f>IF(AND(B1283&gt;='IN-NX'!$P$3,B1283&lt;='IN-NX'!$Q$3,'IN-NX'!$D$7=D1283,OR(LEFT(L1283,2)="15",AND(LEFT(M1283,2)&lt;&gt;"15",LEFT(M1283,2)&lt;&gt;"33"))),"x","")</f>
        <v/>
      </c>
      <c r="W1283" s="52" t="str">
        <f>IF(AND(OR(LEFT(TH!L1283,2)="15",LEFT(TH!M1283,2)="15"),'152-CT'!$J$8=TH!F1283),"x","")</f>
        <v/>
      </c>
      <c r="X1283" s="52" t="str">
        <f>IF(AND(OR(LEFT(TH!L1283,2)="15",LEFT(TH!M1283,2)="15"),TK!$E$7=TH!F1283),"x","")</f>
        <v/>
      </c>
      <c r="Y1283" s="52" t="str">
        <f>IF(AND(B1283&lt;=NKC!$N$8,B1283&gt;=NKC!$M$8),"x","")</f>
        <v>x</v>
      </c>
    </row>
    <row r="1284" spans="1:25" s="208" customFormat="1" ht="15.75" customHeight="1">
      <c r="A1284" s="201" t="str">
        <f>IF(B1284&lt;&gt;"",IF(AND(B1284&gt;=_TM1,B1284&lt;=_TM2,OR(TH!L1284="1111",TH!M1284="1111")),TH!D1284,""),"")</f>
        <v/>
      </c>
      <c r="B1284" s="36">
        <f t="shared" si="60"/>
        <v>9</v>
      </c>
      <c r="C1284" s="188">
        <f t="shared" si="61"/>
        <v>41534</v>
      </c>
      <c r="D1284" s="188" t="s">
        <v>1260</v>
      </c>
      <c r="E1284" s="188">
        <v>41534</v>
      </c>
      <c r="F1284" s="189" t="s">
        <v>1205</v>
      </c>
      <c r="G1284" s="480" t="s">
        <v>900</v>
      </c>
      <c r="H1284" s="7" t="s">
        <v>1252</v>
      </c>
      <c r="I1284" s="249">
        <v>150</v>
      </c>
      <c r="J1284" s="249">
        <v>22800</v>
      </c>
      <c r="K1284" s="595">
        <f t="shared" si="62"/>
        <v>3420000</v>
      </c>
      <c r="L1284" s="39" t="s">
        <v>162</v>
      </c>
      <c r="M1284" s="596" t="s">
        <v>156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IF(OR(TH!L1284=TH!$U$7,M1284=TH!$U$7),"x","")</f>
        <v/>
      </c>
      <c r="V1284" s="52" t="str">
        <f>IF(AND(B1284&gt;='IN-NX'!$P$3,B1284&lt;='IN-NX'!$Q$3,'IN-NX'!$D$7=D1284,OR(LEFT(L1284,2)="15",AND(LEFT(M1284,2)&lt;&gt;"15",LEFT(M1284,2)&lt;&gt;"33"))),"x","")</f>
        <v/>
      </c>
      <c r="W1284" s="52" t="str">
        <f>IF(AND(OR(LEFT(TH!L1284,2)="15",LEFT(TH!M1284,2)="15"),'152-CT'!$J$8=TH!F1284),"x","")</f>
        <v/>
      </c>
      <c r="X1284" s="52" t="str">
        <f>IF(AND(OR(LEFT(TH!L1284,2)="15",LEFT(TH!M1284,2)="15"),TK!$E$7=TH!F1284),"x","")</f>
        <v/>
      </c>
      <c r="Y1284" s="52" t="str">
        <f>IF(AND(B1284&lt;=NKC!$N$8,B1284&gt;=NKC!$M$8),"x","")</f>
        <v>x</v>
      </c>
    </row>
    <row r="1285" spans="1:25" s="208" customFormat="1" ht="15.75" customHeight="1">
      <c r="A1285" s="201" t="str">
        <f>IF(B1285&lt;&gt;"",IF(AND(B1285&gt;=_TM1,B1285&lt;=_TM2,OR(TH!L1285="1111",TH!M1285="1111")),TH!D1285,""),"")</f>
        <v/>
      </c>
      <c r="B1285" s="36">
        <f t="shared" si="60"/>
        <v>9</v>
      </c>
      <c r="C1285" s="188">
        <f t="shared" si="61"/>
        <v>41535</v>
      </c>
      <c r="D1285" s="188" t="s">
        <v>1260</v>
      </c>
      <c r="E1285" s="188">
        <v>41535</v>
      </c>
      <c r="F1285" s="189" t="s">
        <v>1209</v>
      </c>
      <c r="G1285" s="480" t="s">
        <v>901</v>
      </c>
      <c r="H1285" s="7" t="s">
        <v>1252</v>
      </c>
      <c r="I1285" s="249">
        <v>331</v>
      </c>
      <c r="J1285" s="249">
        <v>19910.059393752887</v>
      </c>
      <c r="K1285" s="595">
        <f t="shared" si="62"/>
        <v>6590230</v>
      </c>
      <c r="L1285" s="39" t="s">
        <v>162</v>
      </c>
      <c r="M1285" s="596" t="s">
        <v>156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IF(OR(TH!L1285=TH!$U$7,M1285=TH!$U$7),"x","")</f>
        <v/>
      </c>
      <c r="V1285" s="52" t="str">
        <f>IF(AND(B1285&gt;='IN-NX'!$P$3,B1285&lt;='IN-NX'!$Q$3,'IN-NX'!$D$7=D1285,OR(LEFT(L1285,2)="15",AND(LEFT(M1285,2)&lt;&gt;"15",LEFT(M1285,2)&lt;&gt;"33"))),"x","")</f>
        <v/>
      </c>
      <c r="W1285" s="52" t="str">
        <f>IF(AND(OR(LEFT(TH!L1285,2)="15",LEFT(TH!M1285,2)="15"),'152-CT'!$J$8=TH!F1285),"x","")</f>
        <v/>
      </c>
      <c r="X1285" s="52" t="str">
        <f>IF(AND(OR(LEFT(TH!L1285,2)="15",LEFT(TH!M1285,2)="15"),TK!$E$7=TH!F1285),"x","")</f>
        <v/>
      </c>
      <c r="Y1285" s="52" t="str">
        <f>IF(AND(B1285&lt;=NKC!$N$8,B1285&gt;=NKC!$M$8),"x","")</f>
        <v>x</v>
      </c>
    </row>
    <row r="1286" spans="1:25" s="208" customFormat="1" ht="15.75" customHeight="1">
      <c r="A1286" s="201" t="str">
        <f>IF(B1286&lt;&gt;"",IF(AND(B1286&gt;=_TM1,B1286&lt;=_TM2,OR(TH!L1286="1111",TH!M1286="1111")),TH!D1286,""),"")</f>
        <v/>
      </c>
      <c r="B1286" s="36">
        <f t="shared" si="60"/>
        <v>9</v>
      </c>
      <c r="C1286" s="188">
        <f t="shared" si="61"/>
        <v>41537</v>
      </c>
      <c r="D1286" s="188" t="s">
        <v>1260</v>
      </c>
      <c r="E1286" s="188">
        <v>41537</v>
      </c>
      <c r="F1286" s="189" t="s">
        <v>1203</v>
      </c>
      <c r="G1286" s="480" t="s">
        <v>1092</v>
      </c>
      <c r="H1286" s="7" t="s">
        <v>1252</v>
      </c>
      <c r="I1286" s="249">
        <v>240</v>
      </c>
      <c r="J1286" s="249">
        <v>12620</v>
      </c>
      <c r="K1286" s="595">
        <f t="shared" si="62"/>
        <v>3028800</v>
      </c>
      <c r="L1286" s="39" t="s">
        <v>162</v>
      </c>
      <c r="M1286" s="596" t="s">
        <v>156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IF(OR(TH!L1286=TH!$U$7,M1286=TH!$U$7),"x","")</f>
        <v/>
      </c>
      <c r="V1286" s="52" t="str">
        <f>IF(AND(B1286&gt;='IN-NX'!$P$3,B1286&lt;='IN-NX'!$Q$3,'IN-NX'!$D$7=D1286,OR(LEFT(L1286,2)="15",AND(LEFT(M1286,2)&lt;&gt;"15",LEFT(M1286,2)&lt;&gt;"33"))),"x","")</f>
        <v/>
      </c>
      <c r="W1286" s="52" t="str">
        <f>IF(AND(OR(LEFT(TH!L1286,2)="15",LEFT(TH!M1286,2)="15"),'152-CT'!$J$8=TH!F1286),"x","")</f>
        <v/>
      </c>
      <c r="X1286" s="52" t="str">
        <f>IF(AND(OR(LEFT(TH!L1286,2)="15",LEFT(TH!M1286,2)="15"),TK!$E$7=TH!F1286),"x","")</f>
        <v/>
      </c>
      <c r="Y1286" s="52" t="str">
        <f>IF(AND(B1286&lt;=NKC!$N$8,B1286&gt;=NKC!$M$8),"x","")</f>
        <v>x</v>
      </c>
    </row>
    <row r="1287" spans="1:25" s="208" customFormat="1" ht="15.75" customHeight="1">
      <c r="A1287" s="201" t="str">
        <f>IF(B1287&lt;&gt;"",IF(AND(B1287&gt;=_TM1,B1287&lt;=_TM2,OR(TH!L1287="1111",TH!M1287="1111")),TH!D1287,""),"")</f>
        <v/>
      </c>
      <c r="B1287" s="36">
        <f t="shared" si="60"/>
        <v>9</v>
      </c>
      <c r="C1287" s="188">
        <f t="shared" si="61"/>
        <v>41537</v>
      </c>
      <c r="D1287" s="188" t="s">
        <v>1260</v>
      </c>
      <c r="E1287" s="188">
        <v>41537</v>
      </c>
      <c r="F1287" s="189" t="s">
        <v>1163</v>
      </c>
      <c r="G1287" s="480" t="s">
        <v>1092</v>
      </c>
      <c r="H1287" s="7" t="s">
        <v>1252</v>
      </c>
      <c r="I1287" s="249">
        <v>210</v>
      </c>
      <c r="J1287" s="249">
        <v>11157</v>
      </c>
      <c r="K1287" s="595">
        <f t="shared" si="62"/>
        <v>2342970</v>
      </c>
      <c r="L1287" s="39" t="s">
        <v>162</v>
      </c>
      <c r="M1287" s="596" t="s">
        <v>156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IF(OR(TH!L1287=TH!$U$7,M1287=TH!$U$7),"x","")</f>
        <v/>
      </c>
      <c r="V1287" s="52" t="str">
        <f>IF(AND(B1287&gt;='IN-NX'!$P$3,B1287&lt;='IN-NX'!$Q$3,'IN-NX'!$D$7=D1287,OR(LEFT(L1287,2)="15",AND(LEFT(M1287,2)&lt;&gt;"15",LEFT(M1287,2)&lt;&gt;"33"))),"x","")</f>
        <v/>
      </c>
      <c r="W1287" s="52" t="str">
        <f>IF(AND(OR(LEFT(TH!L1287,2)="15",LEFT(TH!M1287,2)="15"),'152-CT'!$J$8=TH!F1287),"x","")</f>
        <v/>
      </c>
      <c r="X1287" s="52" t="str">
        <f>IF(AND(OR(LEFT(TH!L1287,2)="15",LEFT(TH!M1287,2)="15"),TK!$E$7=TH!F1287),"x","")</f>
        <v/>
      </c>
      <c r="Y1287" s="52" t="str">
        <f>IF(AND(B1287&lt;=NKC!$N$8,B1287&gt;=NKC!$M$8),"x","")</f>
        <v>x</v>
      </c>
    </row>
    <row r="1288" spans="1:25" s="208" customFormat="1" ht="15.75" customHeight="1">
      <c r="A1288" s="201" t="str">
        <f>IF(B1288&lt;&gt;"",IF(AND(B1288&gt;=_TM1,B1288&lt;=_TM2,OR(TH!L1288="1111",TH!M1288="1111")),TH!D1288,""),"")</f>
        <v/>
      </c>
      <c r="B1288" s="36">
        <f t="shared" si="60"/>
        <v>9</v>
      </c>
      <c r="C1288" s="188">
        <f t="shared" si="61"/>
        <v>41537</v>
      </c>
      <c r="D1288" s="188" t="s">
        <v>1260</v>
      </c>
      <c r="E1288" s="188">
        <v>41537</v>
      </c>
      <c r="F1288" s="189" t="s">
        <v>1197</v>
      </c>
      <c r="G1288" s="480" t="s">
        <v>1092</v>
      </c>
      <c r="H1288" s="7" t="s">
        <v>1252</v>
      </c>
      <c r="I1288" s="249">
        <v>109</v>
      </c>
      <c r="J1288" s="249">
        <v>11873</v>
      </c>
      <c r="K1288" s="595">
        <f t="shared" si="62"/>
        <v>1294157</v>
      </c>
      <c r="L1288" s="39" t="s">
        <v>162</v>
      </c>
      <c r="M1288" s="596" t="s">
        <v>156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IF(OR(TH!L1288=TH!$U$7,M1288=TH!$U$7),"x","")</f>
        <v/>
      </c>
      <c r="V1288" s="52" t="str">
        <f>IF(AND(B1288&gt;='IN-NX'!$P$3,B1288&lt;='IN-NX'!$Q$3,'IN-NX'!$D$7=D1288,OR(LEFT(L1288,2)="15",AND(LEFT(M1288,2)&lt;&gt;"15",LEFT(M1288,2)&lt;&gt;"33"))),"x","")</f>
        <v/>
      </c>
      <c r="W1288" s="52" t="str">
        <f>IF(AND(OR(LEFT(TH!L1288,2)="15",LEFT(TH!M1288,2)="15"),'152-CT'!$J$8=TH!F1288),"x","")</f>
        <v/>
      </c>
      <c r="X1288" s="52" t="str">
        <f>IF(AND(OR(LEFT(TH!L1288,2)="15",LEFT(TH!M1288,2)="15"),TK!$E$7=TH!F1288),"x","")</f>
        <v/>
      </c>
      <c r="Y1288" s="52" t="str">
        <f>IF(AND(B1288&lt;=NKC!$N$8,B1288&gt;=NKC!$M$8),"x","")</f>
        <v>x</v>
      </c>
    </row>
    <row r="1289" spans="1:25" s="208" customFormat="1" ht="15.75" customHeight="1">
      <c r="A1289" s="201" t="str">
        <f>IF(B1289&lt;&gt;"",IF(AND(B1289&gt;=_TM1,B1289&lt;=_TM2,OR(TH!L1289="1111",TH!M1289="1111")),TH!D1289,""),"")</f>
        <v/>
      </c>
      <c r="B1289" s="36">
        <f t="shared" si="60"/>
        <v>9</v>
      </c>
      <c r="C1289" s="188">
        <f t="shared" si="61"/>
        <v>41537</v>
      </c>
      <c r="D1289" s="188" t="s">
        <v>1260</v>
      </c>
      <c r="E1289" s="188">
        <v>41537</v>
      </c>
      <c r="F1289" s="189" t="s">
        <v>1144</v>
      </c>
      <c r="G1289" s="480" t="s">
        <v>1092</v>
      </c>
      <c r="H1289" s="7" t="s">
        <v>1252</v>
      </c>
      <c r="I1289" s="249">
        <v>60</v>
      </c>
      <c r="J1289" s="249">
        <v>26179</v>
      </c>
      <c r="K1289" s="595">
        <f t="shared" si="62"/>
        <v>1570740</v>
      </c>
      <c r="L1289" s="39" t="s">
        <v>162</v>
      </c>
      <c r="M1289" s="596" t="s">
        <v>156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IF(OR(TH!L1289=TH!$U$7,M1289=TH!$U$7),"x","")</f>
        <v/>
      </c>
      <c r="V1289" s="52" t="str">
        <f>IF(AND(B1289&gt;='IN-NX'!$P$3,B1289&lt;='IN-NX'!$Q$3,'IN-NX'!$D$7=D1289,OR(LEFT(L1289,2)="15",AND(LEFT(M1289,2)&lt;&gt;"15",LEFT(M1289,2)&lt;&gt;"33"))),"x","")</f>
        <v/>
      </c>
      <c r="W1289" s="52" t="str">
        <f>IF(AND(OR(LEFT(TH!L1289,2)="15",LEFT(TH!M1289,2)="15"),'152-CT'!$J$8=TH!F1289),"x","")</f>
        <v/>
      </c>
      <c r="X1289" s="52" t="str">
        <f>IF(AND(OR(LEFT(TH!L1289,2)="15",LEFT(TH!M1289,2)="15"),TK!$E$7=TH!F1289),"x","")</f>
        <v/>
      </c>
      <c r="Y1289" s="52" t="str">
        <f>IF(AND(B1289&lt;=NKC!$N$8,B1289&gt;=NKC!$M$8),"x","")</f>
        <v>x</v>
      </c>
    </row>
    <row r="1290" spans="1:25" s="208" customFormat="1" ht="15.75" customHeight="1">
      <c r="A1290" s="201" t="str">
        <f>IF(B1290&lt;&gt;"",IF(AND(B1290&gt;=_TM1,B1290&lt;=_TM2,OR(TH!L1290="1111",TH!M1290="1111")),TH!D1290,""),"")</f>
        <v/>
      </c>
      <c r="B1290" s="36">
        <f t="shared" si="60"/>
        <v>9</v>
      </c>
      <c r="C1290" s="188">
        <f t="shared" si="61"/>
        <v>41537</v>
      </c>
      <c r="D1290" s="188" t="s">
        <v>1260</v>
      </c>
      <c r="E1290" s="188">
        <v>41537</v>
      </c>
      <c r="F1290" s="189" t="s">
        <v>657</v>
      </c>
      <c r="G1290" s="480" t="s">
        <v>902</v>
      </c>
      <c r="H1290" s="7" t="s">
        <v>1252</v>
      </c>
      <c r="I1290" s="249">
        <v>424</v>
      </c>
      <c r="J1290" s="249">
        <v>16000</v>
      </c>
      <c r="K1290" s="595">
        <f t="shared" si="62"/>
        <v>6784000</v>
      </c>
      <c r="L1290" s="39" t="s">
        <v>162</v>
      </c>
      <c r="M1290" s="596" t="s">
        <v>156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IF(OR(TH!L1290=TH!$U$7,M1290=TH!$U$7),"x","")</f>
        <v/>
      </c>
      <c r="V1290" s="52" t="str">
        <f>IF(AND(B1290&gt;='IN-NX'!$P$3,B1290&lt;='IN-NX'!$Q$3,'IN-NX'!$D$7=D1290,OR(LEFT(L1290,2)="15",AND(LEFT(M1290,2)&lt;&gt;"15",LEFT(M1290,2)&lt;&gt;"33"))),"x","")</f>
        <v/>
      </c>
      <c r="W1290" s="52" t="str">
        <f>IF(AND(OR(LEFT(TH!L1290,2)="15",LEFT(TH!M1290,2)="15"),'152-CT'!$J$8=TH!F1290),"x","")</f>
        <v/>
      </c>
      <c r="X1290" s="52" t="str">
        <f>IF(AND(OR(LEFT(TH!L1290,2)="15",LEFT(TH!M1290,2)="15"),TK!$E$7=TH!F1290),"x","")</f>
        <v/>
      </c>
      <c r="Y1290" s="52" t="str">
        <f>IF(AND(B1290&lt;=NKC!$N$8,B1290&gt;=NKC!$M$8),"x","")</f>
        <v>x</v>
      </c>
    </row>
    <row r="1291" spans="1:25" s="208" customFormat="1" ht="15.75" customHeight="1">
      <c r="A1291" s="201" t="str">
        <f>IF(B1291&lt;&gt;"",IF(AND(B1291&gt;=_TM1,B1291&lt;=_TM2,OR(TH!L1291="1111",TH!M1291="1111")),TH!D1291,""),"")</f>
        <v/>
      </c>
      <c r="B1291" s="36">
        <f t="shared" si="60"/>
        <v>9</v>
      </c>
      <c r="C1291" s="188">
        <f t="shared" si="61"/>
        <v>41537</v>
      </c>
      <c r="D1291" s="188" t="s">
        <v>1260</v>
      </c>
      <c r="E1291" s="188">
        <v>41537</v>
      </c>
      <c r="F1291" s="189" t="s">
        <v>646</v>
      </c>
      <c r="G1291" s="480" t="s">
        <v>903</v>
      </c>
      <c r="H1291" s="7" t="s">
        <v>1252</v>
      </c>
      <c r="I1291" s="249">
        <v>495</v>
      </c>
      <c r="J1291" s="249">
        <v>11722</v>
      </c>
      <c r="K1291" s="595">
        <f t="shared" si="62"/>
        <v>5802390</v>
      </c>
      <c r="L1291" s="39" t="s">
        <v>162</v>
      </c>
      <c r="M1291" s="596" t="s">
        <v>156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IF(OR(TH!L1291=TH!$U$7,M1291=TH!$U$7),"x","")</f>
        <v/>
      </c>
      <c r="V1291" s="52" t="str">
        <f>IF(AND(B1291&gt;='IN-NX'!$P$3,B1291&lt;='IN-NX'!$Q$3,'IN-NX'!$D$7=D1291,OR(LEFT(L1291,2)="15",AND(LEFT(M1291,2)&lt;&gt;"15",LEFT(M1291,2)&lt;&gt;"33"))),"x","")</f>
        <v/>
      </c>
      <c r="W1291" s="52" t="str">
        <f>IF(AND(OR(LEFT(TH!L1291,2)="15",LEFT(TH!M1291,2)="15"),'152-CT'!$J$8=TH!F1291),"x","")</f>
        <v/>
      </c>
      <c r="X1291" s="52" t="str">
        <f>IF(AND(OR(LEFT(TH!L1291,2)="15",LEFT(TH!M1291,2)="15"),TK!$E$7=TH!F1291),"x","")</f>
        <v/>
      </c>
      <c r="Y1291" s="52" t="str">
        <f>IF(AND(B1291&lt;=NKC!$N$8,B1291&gt;=NKC!$M$8),"x","")</f>
        <v>x</v>
      </c>
    </row>
    <row r="1292" spans="1:25" s="208" customFormat="1" ht="15.75" customHeight="1">
      <c r="A1292" s="201" t="str">
        <f>IF(B1292&lt;&gt;"",IF(AND(B1292&gt;=_TM1,B1292&lt;=_TM2,OR(TH!L1292="1111",TH!M1292="1111")),TH!D1292,""),"")</f>
        <v/>
      </c>
      <c r="B1292" s="36">
        <f t="shared" si="60"/>
        <v>9</v>
      </c>
      <c r="C1292" s="188">
        <f t="shared" si="61"/>
        <v>41539</v>
      </c>
      <c r="D1292" s="188" t="s">
        <v>1260</v>
      </c>
      <c r="E1292" s="188">
        <v>41539</v>
      </c>
      <c r="F1292" s="189" t="s">
        <v>1209</v>
      </c>
      <c r="G1292" s="480" t="s">
        <v>904</v>
      </c>
      <c r="H1292" s="7" t="s">
        <v>1252</v>
      </c>
      <c r="I1292" s="249">
        <v>450</v>
      </c>
      <c r="J1292" s="249">
        <v>19910.059351276741</v>
      </c>
      <c r="K1292" s="595">
        <f t="shared" si="62"/>
        <v>8959527</v>
      </c>
      <c r="L1292" s="39" t="s">
        <v>162</v>
      </c>
      <c r="M1292" s="596" t="s">
        <v>156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IF(OR(TH!L1292=TH!$U$7,M1292=TH!$U$7),"x","")</f>
        <v/>
      </c>
      <c r="V1292" s="52" t="str">
        <f>IF(AND(B1292&gt;='IN-NX'!$P$3,B1292&lt;='IN-NX'!$Q$3,'IN-NX'!$D$7=D1292,OR(LEFT(L1292,2)="15",AND(LEFT(M1292,2)&lt;&gt;"15",LEFT(M1292,2)&lt;&gt;"33"))),"x","")</f>
        <v/>
      </c>
      <c r="W1292" s="52" t="str">
        <f>IF(AND(OR(LEFT(TH!L1292,2)="15",LEFT(TH!M1292,2)="15"),'152-CT'!$J$8=TH!F1292),"x","")</f>
        <v/>
      </c>
      <c r="X1292" s="52" t="str">
        <f>IF(AND(OR(LEFT(TH!L1292,2)="15",LEFT(TH!M1292,2)="15"),TK!$E$7=TH!F1292),"x","")</f>
        <v/>
      </c>
      <c r="Y1292" s="52" t="str">
        <f>IF(AND(B1292&lt;=NKC!$N$8,B1292&gt;=NKC!$M$8),"x","")</f>
        <v>x</v>
      </c>
    </row>
    <row r="1293" spans="1:25" s="208" customFormat="1" ht="15.75" customHeight="1">
      <c r="A1293" s="201" t="str">
        <f>IF(B1293&lt;&gt;"",IF(AND(B1293&gt;=_TM1,B1293&lt;=_TM2,OR(TH!L1293="1111",TH!M1293="1111")),TH!D1293,""),"")</f>
        <v/>
      </c>
      <c r="B1293" s="36">
        <f t="shared" si="60"/>
        <v>9</v>
      </c>
      <c r="C1293" s="188">
        <f t="shared" si="61"/>
        <v>41540</v>
      </c>
      <c r="D1293" s="188" t="s">
        <v>1260</v>
      </c>
      <c r="E1293" s="188">
        <v>41540</v>
      </c>
      <c r="F1293" s="189" t="s">
        <v>560</v>
      </c>
      <c r="G1293" s="480" t="s">
        <v>905</v>
      </c>
      <c r="H1293" s="7" t="s">
        <v>1252</v>
      </c>
      <c r="I1293" s="249">
        <v>314</v>
      </c>
      <c r="J1293" s="249">
        <v>29568</v>
      </c>
      <c r="K1293" s="595">
        <f t="shared" si="62"/>
        <v>9284352</v>
      </c>
      <c r="L1293" s="39" t="s">
        <v>162</v>
      </c>
      <c r="M1293" s="596" t="s">
        <v>156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IF(OR(TH!L1293=TH!$U$7,M1293=TH!$U$7),"x","")</f>
        <v/>
      </c>
      <c r="V1293" s="52" t="str">
        <f>IF(AND(B1293&gt;='IN-NX'!$P$3,B1293&lt;='IN-NX'!$Q$3,'IN-NX'!$D$7=D1293,OR(LEFT(L1293,2)="15",AND(LEFT(M1293,2)&lt;&gt;"15",LEFT(M1293,2)&lt;&gt;"33"))),"x","")</f>
        <v/>
      </c>
      <c r="W1293" s="52" t="str">
        <f>IF(AND(OR(LEFT(TH!L1293,2)="15",LEFT(TH!M1293,2)="15"),'152-CT'!$J$8=TH!F1293),"x","")</f>
        <v/>
      </c>
      <c r="X1293" s="52" t="str">
        <f>IF(AND(OR(LEFT(TH!L1293,2)="15",LEFT(TH!M1293,2)="15"),TK!$E$7=TH!F1293),"x","")</f>
        <v/>
      </c>
      <c r="Y1293" s="52" t="str">
        <f>IF(AND(B1293&lt;=NKC!$N$8,B1293&gt;=NKC!$M$8),"x","")</f>
        <v>x</v>
      </c>
    </row>
    <row r="1294" spans="1:25" s="208" customFormat="1" ht="15.75" customHeight="1">
      <c r="A1294" s="201" t="str">
        <f>IF(B1294&lt;&gt;"",IF(AND(B1294&gt;=_TM1,B1294&lt;=_TM2,OR(TH!L1294="1111",TH!M1294="1111")),TH!D1294,""),"")</f>
        <v/>
      </c>
      <c r="B1294" s="36">
        <f t="shared" si="60"/>
        <v>9</v>
      </c>
      <c r="C1294" s="188">
        <f t="shared" si="61"/>
        <v>41544</v>
      </c>
      <c r="D1294" s="188" t="s">
        <v>1260</v>
      </c>
      <c r="E1294" s="188">
        <v>41544</v>
      </c>
      <c r="F1294" s="189" t="s">
        <v>619</v>
      </c>
      <c r="G1294" s="480" t="s">
        <v>906</v>
      </c>
      <c r="H1294" s="7" t="s">
        <v>1252</v>
      </c>
      <c r="I1294" s="249">
        <v>1004</v>
      </c>
      <c r="J1294" s="249">
        <v>8462.418420401089</v>
      </c>
      <c r="K1294" s="595">
        <f t="shared" si="62"/>
        <v>8496268</v>
      </c>
      <c r="L1294" s="39" t="s">
        <v>162</v>
      </c>
      <c r="M1294" s="596" t="s">
        <v>156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IF(OR(TH!L1294=TH!$U$7,M1294=TH!$U$7),"x","")</f>
        <v/>
      </c>
      <c r="V1294" s="52" t="str">
        <f>IF(AND(B1294&gt;='IN-NX'!$P$3,B1294&lt;='IN-NX'!$Q$3,'IN-NX'!$D$7=D1294,OR(LEFT(L1294,2)="15",AND(LEFT(M1294,2)&lt;&gt;"15",LEFT(M1294,2)&lt;&gt;"33"))),"x","")</f>
        <v/>
      </c>
      <c r="W1294" s="52" t="str">
        <f>IF(AND(OR(LEFT(TH!L1294,2)="15",LEFT(TH!M1294,2)="15"),'152-CT'!$J$8=TH!F1294),"x","")</f>
        <v/>
      </c>
      <c r="X1294" s="52" t="str">
        <f>IF(AND(OR(LEFT(TH!L1294,2)="15",LEFT(TH!M1294,2)="15"),TK!$E$7=TH!F1294),"x","")</f>
        <v/>
      </c>
      <c r="Y1294" s="52" t="str">
        <f>IF(AND(B1294&lt;=NKC!$N$8,B1294&gt;=NKC!$M$8),"x","")</f>
        <v>x</v>
      </c>
    </row>
    <row r="1295" spans="1:25" s="208" customFormat="1" ht="15.75" customHeight="1">
      <c r="A1295" s="201" t="str">
        <f>IF(B1295&lt;&gt;"",IF(AND(B1295&gt;=_TM1,B1295&lt;=_TM2,OR(TH!L1295="1111",TH!M1295="1111")),TH!D1295,""),"")</f>
        <v/>
      </c>
      <c r="B1295" s="36">
        <f t="shared" si="60"/>
        <v>9</v>
      </c>
      <c r="C1295" s="188">
        <f t="shared" si="61"/>
        <v>41544</v>
      </c>
      <c r="D1295" s="188" t="s">
        <v>1260</v>
      </c>
      <c r="E1295" s="188">
        <v>41544</v>
      </c>
      <c r="F1295" s="189" t="s">
        <v>1198</v>
      </c>
      <c r="G1295" s="480" t="s">
        <v>908</v>
      </c>
      <c r="H1295" s="7" t="s">
        <v>1252</v>
      </c>
      <c r="I1295" s="249">
        <v>420</v>
      </c>
      <c r="J1295" s="249">
        <v>22301</v>
      </c>
      <c r="K1295" s="595">
        <f t="shared" si="62"/>
        <v>9366420</v>
      </c>
      <c r="L1295" s="39" t="s">
        <v>162</v>
      </c>
      <c r="M1295" s="596" t="s">
        <v>156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IF(OR(TH!L1295=TH!$U$7,M1295=TH!$U$7),"x","")</f>
        <v/>
      </c>
      <c r="V1295" s="52" t="str">
        <f>IF(AND(B1295&gt;='IN-NX'!$P$3,B1295&lt;='IN-NX'!$Q$3,'IN-NX'!$D$7=D1295,OR(LEFT(L1295,2)="15",AND(LEFT(M1295,2)&lt;&gt;"15",LEFT(M1295,2)&lt;&gt;"33"))),"x","")</f>
        <v/>
      </c>
      <c r="W1295" s="52" t="str">
        <f>IF(AND(OR(LEFT(TH!L1295,2)="15",LEFT(TH!M1295,2)="15"),'152-CT'!$J$8=TH!F1295),"x","")</f>
        <v/>
      </c>
      <c r="X1295" s="52" t="str">
        <f>IF(AND(OR(LEFT(TH!L1295,2)="15",LEFT(TH!M1295,2)="15"),TK!$E$7=TH!F1295),"x","")</f>
        <v/>
      </c>
      <c r="Y1295" s="52" t="str">
        <f>IF(AND(B1295&lt;=NKC!$N$8,B1295&gt;=NKC!$M$8),"x","")</f>
        <v>x</v>
      </c>
    </row>
    <row r="1296" spans="1:25" s="208" customFormat="1" ht="15.75" customHeight="1">
      <c r="A1296" s="201" t="str">
        <f>IF(B1296&lt;&gt;"",IF(AND(B1296&gt;=_TM1,B1296&lt;=_TM2,OR(TH!L1296="1111",TH!M1296="1111")),TH!D1296,""),"")</f>
        <v/>
      </c>
      <c r="B1296" s="36">
        <f t="shared" si="60"/>
        <v>9</v>
      </c>
      <c r="C1296" s="188">
        <f t="shared" si="61"/>
        <v>41544</v>
      </c>
      <c r="D1296" s="188" t="s">
        <v>1260</v>
      </c>
      <c r="E1296" s="188">
        <v>41544</v>
      </c>
      <c r="F1296" s="189" t="s">
        <v>560</v>
      </c>
      <c r="G1296" s="480" t="s">
        <v>908</v>
      </c>
      <c r="H1296" s="7" t="s">
        <v>1252</v>
      </c>
      <c r="I1296" s="249">
        <v>172</v>
      </c>
      <c r="J1296" s="249">
        <v>29568</v>
      </c>
      <c r="K1296" s="595">
        <f t="shared" si="62"/>
        <v>5085696</v>
      </c>
      <c r="L1296" s="39" t="s">
        <v>162</v>
      </c>
      <c r="M1296" s="596" t="s">
        <v>156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IF(OR(TH!L1296=TH!$U$7,M1296=TH!$U$7),"x","")</f>
        <v/>
      </c>
      <c r="V1296" s="52" t="str">
        <f>IF(AND(B1296&gt;='IN-NX'!$P$3,B1296&lt;='IN-NX'!$Q$3,'IN-NX'!$D$7=D1296,OR(LEFT(L1296,2)="15",AND(LEFT(M1296,2)&lt;&gt;"15",LEFT(M1296,2)&lt;&gt;"33"))),"x","")</f>
        <v/>
      </c>
      <c r="W1296" s="52" t="str">
        <f>IF(AND(OR(LEFT(TH!L1296,2)="15",LEFT(TH!M1296,2)="15"),'152-CT'!$J$8=TH!F1296),"x","")</f>
        <v/>
      </c>
      <c r="X1296" s="52" t="str">
        <f>IF(AND(OR(LEFT(TH!L1296,2)="15",LEFT(TH!M1296,2)="15"),TK!$E$7=TH!F1296),"x","")</f>
        <v/>
      </c>
      <c r="Y1296" s="52" t="str">
        <f>IF(AND(B1296&lt;=NKC!$N$8,B1296&gt;=NKC!$M$8),"x","")</f>
        <v>x</v>
      </c>
    </row>
    <row r="1297" spans="1:25" s="208" customFormat="1" ht="15.75" customHeight="1">
      <c r="A1297" s="201" t="str">
        <f>IF(B1297&lt;&gt;"",IF(AND(B1297&gt;=_TM1,B1297&lt;=_TM2,OR(TH!L1297="1111",TH!M1297="1111")),TH!D1297,""),"")</f>
        <v/>
      </c>
      <c r="B1297" s="36">
        <f t="shared" si="60"/>
        <v>9</v>
      </c>
      <c r="C1297" s="188">
        <f t="shared" si="61"/>
        <v>41544</v>
      </c>
      <c r="D1297" s="188" t="s">
        <v>1260</v>
      </c>
      <c r="E1297" s="188">
        <v>41544</v>
      </c>
      <c r="F1297" s="189" t="s">
        <v>1221</v>
      </c>
      <c r="G1297" s="480" t="s">
        <v>911</v>
      </c>
      <c r="H1297" s="7" t="s">
        <v>1252</v>
      </c>
      <c r="I1297" s="249">
        <v>168</v>
      </c>
      <c r="J1297" s="249">
        <v>23102</v>
      </c>
      <c r="K1297" s="595">
        <f t="shared" si="62"/>
        <v>3881136</v>
      </c>
      <c r="L1297" s="39" t="s">
        <v>162</v>
      </c>
      <c r="M1297" s="596" t="s">
        <v>156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IF(OR(TH!L1297=TH!$U$7,M1297=TH!$U$7),"x","")</f>
        <v/>
      </c>
      <c r="V1297" s="52" t="str">
        <f>IF(AND(B1297&gt;='IN-NX'!$P$3,B1297&lt;='IN-NX'!$Q$3,'IN-NX'!$D$7=D1297,OR(LEFT(L1297,2)="15",AND(LEFT(M1297,2)&lt;&gt;"15",LEFT(M1297,2)&lt;&gt;"33"))),"x","")</f>
        <v/>
      </c>
      <c r="W1297" s="52" t="str">
        <f>IF(AND(OR(LEFT(TH!L1297,2)="15",LEFT(TH!M1297,2)="15"),'152-CT'!$J$8=TH!F1297),"x","")</f>
        <v/>
      </c>
      <c r="X1297" s="52" t="str">
        <f>IF(AND(OR(LEFT(TH!L1297,2)="15",LEFT(TH!M1297,2)="15"),TK!$E$7=TH!F1297),"x","")</f>
        <v/>
      </c>
      <c r="Y1297" s="52" t="str">
        <f>IF(AND(B1297&lt;=NKC!$N$8,B1297&gt;=NKC!$M$8),"x","")</f>
        <v>x</v>
      </c>
    </row>
    <row r="1298" spans="1:25" s="208" customFormat="1" ht="15.75" customHeight="1">
      <c r="A1298" s="201" t="str">
        <f>IF(B1298&lt;&gt;"",IF(AND(B1298&gt;=_TM1,B1298&lt;=_TM2,OR(TH!L1298="1111",TH!M1298="1111")),TH!D1298,""),"")</f>
        <v/>
      </c>
      <c r="B1298" s="36">
        <f t="shared" si="60"/>
        <v>9</v>
      </c>
      <c r="C1298" s="188">
        <f t="shared" si="61"/>
        <v>41544</v>
      </c>
      <c r="D1298" s="188" t="s">
        <v>1260</v>
      </c>
      <c r="E1298" s="188">
        <v>41544</v>
      </c>
      <c r="F1298" s="189" t="s">
        <v>671</v>
      </c>
      <c r="G1298" s="480" t="s">
        <v>911</v>
      </c>
      <c r="H1298" s="7" t="s">
        <v>1252</v>
      </c>
      <c r="I1298" s="249">
        <v>125</v>
      </c>
      <c r="J1298" s="249">
        <v>14112</v>
      </c>
      <c r="K1298" s="595">
        <f t="shared" si="62"/>
        <v>1764000</v>
      </c>
      <c r="L1298" s="39" t="s">
        <v>162</v>
      </c>
      <c r="M1298" s="596" t="s">
        <v>156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IF(OR(TH!L1298=TH!$U$7,M1298=TH!$U$7),"x","")</f>
        <v/>
      </c>
      <c r="V1298" s="52" t="str">
        <f>IF(AND(B1298&gt;='IN-NX'!$P$3,B1298&lt;='IN-NX'!$Q$3,'IN-NX'!$D$7=D1298,OR(LEFT(L1298,2)="15",AND(LEFT(M1298,2)&lt;&gt;"15",LEFT(M1298,2)&lt;&gt;"33"))),"x","")</f>
        <v/>
      </c>
      <c r="W1298" s="52" t="str">
        <f>IF(AND(OR(LEFT(TH!L1298,2)="15",LEFT(TH!M1298,2)="15"),'152-CT'!$J$8=TH!F1298),"x","")</f>
        <v/>
      </c>
      <c r="X1298" s="52" t="str">
        <f>IF(AND(OR(LEFT(TH!L1298,2)="15",LEFT(TH!M1298,2)="15"),TK!$E$7=TH!F1298),"x","")</f>
        <v/>
      </c>
      <c r="Y1298" s="52" t="str">
        <f>IF(AND(B1298&lt;=NKC!$N$8,B1298&gt;=NKC!$M$8),"x","")</f>
        <v>x</v>
      </c>
    </row>
    <row r="1299" spans="1:25" s="208" customFormat="1" ht="15.75" customHeight="1">
      <c r="A1299" s="201" t="str">
        <f>IF(B1299&lt;&gt;"",IF(AND(B1299&gt;=_TM1,B1299&lt;=_TM2,OR(TH!L1299="1111",TH!M1299="1111")),TH!D1299,""),"")</f>
        <v/>
      </c>
      <c r="B1299" s="36">
        <f t="shared" si="60"/>
        <v>9</v>
      </c>
      <c r="C1299" s="188">
        <f t="shared" si="61"/>
        <v>41544</v>
      </c>
      <c r="D1299" s="188" t="s">
        <v>1260</v>
      </c>
      <c r="E1299" s="188">
        <v>41544</v>
      </c>
      <c r="F1299" s="189" t="s">
        <v>671</v>
      </c>
      <c r="G1299" s="480" t="s">
        <v>911</v>
      </c>
      <c r="H1299" s="7" t="s">
        <v>1252</v>
      </c>
      <c r="I1299" s="249">
        <v>125</v>
      </c>
      <c r="J1299" s="249">
        <v>14112</v>
      </c>
      <c r="K1299" s="595">
        <f t="shared" si="62"/>
        <v>1764000</v>
      </c>
      <c r="L1299" s="39" t="s">
        <v>162</v>
      </c>
      <c r="M1299" s="596" t="s">
        <v>156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IF(OR(TH!L1299=TH!$U$7,M1299=TH!$U$7),"x","")</f>
        <v/>
      </c>
      <c r="V1299" s="52" t="str">
        <f>IF(AND(B1299&gt;='IN-NX'!$P$3,B1299&lt;='IN-NX'!$Q$3,'IN-NX'!$D$7=D1299,OR(LEFT(L1299,2)="15",AND(LEFT(M1299,2)&lt;&gt;"15",LEFT(M1299,2)&lt;&gt;"33"))),"x","")</f>
        <v/>
      </c>
      <c r="W1299" s="52" t="str">
        <f>IF(AND(OR(LEFT(TH!L1299,2)="15",LEFT(TH!M1299,2)="15"),'152-CT'!$J$8=TH!F1299),"x","")</f>
        <v/>
      </c>
      <c r="X1299" s="52" t="str">
        <f>IF(AND(OR(LEFT(TH!L1299,2)="15",LEFT(TH!M1299,2)="15"),TK!$E$7=TH!F1299),"x","")</f>
        <v/>
      </c>
      <c r="Y1299" s="52" t="str">
        <f>IF(AND(B1299&lt;=NKC!$N$8,B1299&gt;=NKC!$M$8),"x","")</f>
        <v>x</v>
      </c>
    </row>
    <row r="1300" spans="1:25" s="208" customFormat="1" ht="15.75" customHeight="1">
      <c r="A1300" s="201" t="str">
        <f>IF(B1300&lt;&gt;"",IF(AND(B1300&gt;=_TM1,B1300&lt;=_TM2,OR(TH!L1300="1111",TH!M1300="1111")),TH!D1300,""),"")</f>
        <v/>
      </c>
      <c r="B1300" s="36">
        <f t="shared" si="60"/>
        <v>9</v>
      </c>
      <c r="C1300" s="188">
        <f t="shared" si="61"/>
        <v>41544</v>
      </c>
      <c r="D1300" s="188" t="s">
        <v>1260</v>
      </c>
      <c r="E1300" s="37">
        <v>41544</v>
      </c>
      <c r="F1300" s="40" t="s">
        <v>1164</v>
      </c>
      <c r="G1300" s="40" t="s">
        <v>911</v>
      </c>
      <c r="H1300" s="7" t="s">
        <v>1252</v>
      </c>
      <c r="I1300" s="249">
        <v>105</v>
      </c>
      <c r="J1300" s="249">
        <v>17259</v>
      </c>
      <c r="K1300" s="595">
        <f t="shared" si="62"/>
        <v>1812195</v>
      </c>
      <c r="L1300" s="39" t="s">
        <v>162</v>
      </c>
      <c r="M1300" s="596" t="s">
        <v>156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IF(OR(TH!L1300=TH!$U$7,M1300=TH!$U$7),"x","")</f>
        <v/>
      </c>
      <c r="V1300" s="52" t="str">
        <f>IF(AND(B1300&gt;='IN-NX'!$P$3,B1300&lt;='IN-NX'!$Q$3,'IN-NX'!$D$7=D1300,OR(LEFT(L1300,2)="15",AND(LEFT(M1300,2)&lt;&gt;"15",LEFT(M1300,2)&lt;&gt;"33"))),"x","")</f>
        <v/>
      </c>
      <c r="W1300" s="52" t="str">
        <f>IF(AND(OR(LEFT(TH!L1300,2)="15",LEFT(TH!M1300,2)="15"),'152-CT'!$J$8=TH!F1300),"x","")</f>
        <v/>
      </c>
      <c r="X1300" s="52" t="str">
        <f>IF(AND(OR(LEFT(TH!L1300,2)="15",LEFT(TH!M1300,2)="15"),TK!$E$7=TH!F1300),"x","")</f>
        <v/>
      </c>
      <c r="Y1300" s="52" t="str">
        <f>IF(AND(B1300&lt;=NKC!$N$8,B1300&gt;=NKC!$M$8),"x","")</f>
        <v>x</v>
      </c>
    </row>
    <row r="1301" spans="1:25" s="208" customFormat="1" ht="15.75" customHeight="1">
      <c r="A1301" s="201" t="str">
        <f>IF(B1301&lt;&gt;"",IF(AND(B1301&gt;=_TM1,B1301&lt;=_TM2,OR(TH!L1301="1111",TH!M1301="1111")),TH!D1301,""),"")</f>
        <v/>
      </c>
      <c r="B1301" s="36">
        <f t="shared" si="60"/>
        <v>9</v>
      </c>
      <c r="C1301" s="188">
        <f t="shared" si="61"/>
        <v>41544</v>
      </c>
      <c r="D1301" s="188" t="s">
        <v>1260</v>
      </c>
      <c r="E1301" s="37">
        <v>41544</v>
      </c>
      <c r="F1301" s="40" t="s">
        <v>682</v>
      </c>
      <c r="G1301" s="40" t="s">
        <v>914</v>
      </c>
      <c r="H1301" s="7" t="s">
        <v>1252</v>
      </c>
      <c r="I1301" s="249">
        <v>705</v>
      </c>
      <c r="J1301" s="249">
        <v>20635.247863247863</v>
      </c>
      <c r="K1301" s="595">
        <f t="shared" si="62"/>
        <v>14547850</v>
      </c>
      <c r="L1301" s="39" t="s">
        <v>162</v>
      </c>
      <c r="M1301" s="596" t="s">
        <v>156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IF(OR(TH!L1301=TH!$U$7,M1301=TH!$U$7),"x","")</f>
        <v/>
      </c>
      <c r="V1301" s="52" t="str">
        <f>IF(AND(B1301&gt;='IN-NX'!$P$3,B1301&lt;='IN-NX'!$Q$3,'IN-NX'!$D$7=D1301,OR(LEFT(L1301,2)="15",AND(LEFT(M1301,2)&lt;&gt;"15",LEFT(M1301,2)&lt;&gt;"33"))),"x","")</f>
        <v/>
      </c>
      <c r="W1301" s="52" t="str">
        <f>IF(AND(OR(LEFT(TH!L1301,2)="15",LEFT(TH!M1301,2)="15"),'152-CT'!$J$8=TH!F1301),"x","")</f>
        <v/>
      </c>
      <c r="X1301" s="52" t="str">
        <f>IF(AND(OR(LEFT(TH!L1301,2)="15",LEFT(TH!M1301,2)="15"),TK!$E$7=TH!F1301),"x","")</f>
        <v/>
      </c>
      <c r="Y1301" s="52" t="str">
        <f>IF(AND(B1301&lt;=NKC!$N$8,B1301&gt;=NKC!$M$8),"x","")</f>
        <v>x</v>
      </c>
    </row>
    <row r="1302" spans="1:25" s="798" customFormat="1" ht="15.75" customHeight="1">
      <c r="A1302" s="201" t="str">
        <f>IF(B1302&lt;&gt;"",IF(AND(B1302&gt;=_TM1,B1302&lt;=_TM2,OR(TH!L1302="1111",TH!M1302="1111")),TH!D1302,""),"")</f>
        <v/>
      </c>
      <c r="B1302" s="796">
        <f t="shared" ref="B1302:B1365" si="63">IF(C1302&lt;&gt;"",MONTH(C1302),"")</f>
        <v>9</v>
      </c>
      <c r="C1302" s="853">
        <f t="shared" si="61"/>
        <v>41545</v>
      </c>
      <c r="D1302" s="188" t="s">
        <v>1260</v>
      </c>
      <c r="E1302" s="854">
        <v>41545</v>
      </c>
      <c r="F1302" s="855" t="s">
        <v>657</v>
      </c>
      <c r="G1302" s="855" t="s">
        <v>915</v>
      </c>
      <c r="H1302" s="856" t="s">
        <v>1252</v>
      </c>
      <c r="I1302" s="863">
        <v>64</v>
      </c>
      <c r="J1302" s="863">
        <v>16000</v>
      </c>
      <c r="K1302" s="793">
        <f t="shared" si="62"/>
        <v>1024000</v>
      </c>
      <c r="L1302" s="786" t="s">
        <v>162</v>
      </c>
      <c r="M1302" s="859" t="s">
        <v>156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IF(OR(TH!L1302=TH!$U$7,M1302=TH!$U$7),"x","")</f>
        <v/>
      </c>
      <c r="V1302" s="52" t="str">
        <f>IF(AND(B1302&gt;='IN-NX'!$P$3,B1302&lt;='IN-NX'!$Q$3,'IN-NX'!$D$7=D1302,OR(LEFT(L1302,2)="15",AND(LEFT(M1302,2)&lt;&gt;"15",LEFT(M1302,2)&lt;&gt;"33"))),"x","")</f>
        <v/>
      </c>
      <c r="W1302" s="52" t="str">
        <f>IF(AND(OR(LEFT(TH!L1302,2)="15",LEFT(TH!M1302,2)="15"),'152-CT'!$J$8=TH!F1302),"x","")</f>
        <v/>
      </c>
      <c r="X1302" s="52" t="str">
        <f>IF(AND(OR(LEFT(TH!L1302,2)="15",LEFT(TH!M1302,2)="15"),TK!$E$7=TH!F1302),"x","")</f>
        <v/>
      </c>
      <c r="Y1302" s="52" t="str">
        <f>IF(AND(B1302&lt;=NKC!$N$8,B1302&gt;=NKC!$M$8),"x","")</f>
        <v>x</v>
      </c>
    </row>
    <row r="1303" spans="1:25" s="208" customFormat="1" ht="15.75" customHeight="1">
      <c r="A1303" s="201" t="str">
        <f>IF(B1303&lt;&gt;"",IF(AND(B1303&gt;=_TM1,B1303&lt;=_TM2,OR(TH!L1303="1111",TH!M1303="1111")),TH!D1303,""),"")</f>
        <v/>
      </c>
      <c r="B1303" s="36">
        <f t="shared" si="63"/>
        <v>9</v>
      </c>
      <c r="C1303" s="188">
        <f t="shared" si="61"/>
        <v>41545</v>
      </c>
      <c r="D1303" s="188" t="s">
        <v>1260</v>
      </c>
      <c r="E1303" s="37">
        <v>41545</v>
      </c>
      <c r="F1303" s="40" t="s">
        <v>599</v>
      </c>
      <c r="G1303" s="40" t="s">
        <v>915</v>
      </c>
      <c r="H1303" s="7" t="s">
        <v>1252</v>
      </c>
      <c r="I1303" s="249">
        <v>98</v>
      </c>
      <c r="J1303" s="249">
        <v>14784</v>
      </c>
      <c r="K1303" s="595">
        <f t="shared" si="62"/>
        <v>1448832</v>
      </c>
      <c r="L1303" s="39" t="s">
        <v>162</v>
      </c>
      <c r="M1303" s="596" t="s">
        <v>156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IF(OR(TH!L1303=TH!$U$7,M1303=TH!$U$7),"x","")</f>
        <v/>
      </c>
      <c r="V1303" s="52" t="str">
        <f>IF(AND(B1303&gt;='IN-NX'!$P$3,B1303&lt;='IN-NX'!$Q$3,'IN-NX'!$D$7=D1303,OR(LEFT(L1303,2)="15",AND(LEFT(M1303,2)&lt;&gt;"15",LEFT(M1303,2)&lt;&gt;"33"))),"x","")</f>
        <v/>
      </c>
      <c r="W1303" s="52" t="str">
        <f>IF(AND(OR(LEFT(TH!L1303,2)="15",LEFT(TH!M1303,2)="15"),'152-CT'!$J$8=TH!F1303),"x","")</f>
        <v/>
      </c>
      <c r="X1303" s="52" t="str">
        <f>IF(AND(OR(LEFT(TH!L1303,2)="15",LEFT(TH!M1303,2)="15"),TK!$E$7=TH!F1303),"x","")</f>
        <v/>
      </c>
      <c r="Y1303" s="52" t="str">
        <f>IF(AND(B1303&lt;=NKC!$N$8,B1303&gt;=NKC!$M$8),"x","")</f>
        <v>x</v>
      </c>
    </row>
    <row r="1304" spans="1:25" s="208" customFormat="1" ht="15.75" customHeight="1">
      <c r="A1304" s="201" t="str">
        <f>IF(B1304&lt;&gt;"",IF(AND(B1304&gt;=_TM1,B1304&lt;=_TM2,OR(TH!L1304="1111",TH!M1304="1111")),TH!D1304,""),"")</f>
        <v/>
      </c>
      <c r="B1304" s="36">
        <f t="shared" si="63"/>
        <v>9</v>
      </c>
      <c r="C1304" s="188">
        <f t="shared" si="61"/>
        <v>41545</v>
      </c>
      <c r="D1304" s="188" t="s">
        <v>1260</v>
      </c>
      <c r="E1304" s="37">
        <v>41545</v>
      </c>
      <c r="F1304" s="40" t="s">
        <v>580</v>
      </c>
      <c r="G1304" s="40" t="s">
        <v>916</v>
      </c>
      <c r="H1304" s="7" t="s">
        <v>1252</v>
      </c>
      <c r="I1304" s="249">
        <v>682</v>
      </c>
      <c r="J1304" s="249">
        <v>8461</v>
      </c>
      <c r="K1304" s="595">
        <f t="shared" si="62"/>
        <v>5770402</v>
      </c>
      <c r="L1304" s="39" t="s">
        <v>162</v>
      </c>
      <c r="M1304" s="596" t="s">
        <v>156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IF(OR(TH!L1304=TH!$U$7,M1304=TH!$U$7),"x","")</f>
        <v/>
      </c>
      <c r="V1304" s="52" t="str">
        <f>IF(AND(B1304&gt;='IN-NX'!$P$3,B1304&lt;='IN-NX'!$Q$3,'IN-NX'!$D$7=D1304,OR(LEFT(L1304,2)="15",AND(LEFT(M1304,2)&lt;&gt;"15",LEFT(M1304,2)&lt;&gt;"33"))),"x","")</f>
        <v/>
      </c>
      <c r="W1304" s="52" t="str">
        <f>IF(AND(OR(LEFT(TH!L1304,2)="15",LEFT(TH!M1304,2)="15"),'152-CT'!$J$8=TH!F1304),"x","")</f>
        <v/>
      </c>
      <c r="X1304" s="52" t="str">
        <f>IF(AND(OR(LEFT(TH!L1304,2)="15",LEFT(TH!M1304,2)="15"),TK!$E$7=TH!F1304),"x","")</f>
        <v/>
      </c>
      <c r="Y1304" s="52" t="str">
        <f>IF(AND(B1304&lt;=NKC!$N$8,B1304&gt;=NKC!$M$8),"x","")</f>
        <v>x</v>
      </c>
    </row>
    <row r="1305" spans="1:25" s="208" customFormat="1" ht="15.75" customHeight="1">
      <c r="A1305" s="201" t="str">
        <f>IF(B1305&lt;&gt;"",IF(AND(B1305&gt;=_TM1,B1305&lt;=_TM2,OR(TH!L1305="1111",TH!M1305="1111")),TH!D1305,""),"")</f>
        <v/>
      </c>
      <c r="B1305" s="36">
        <f t="shared" si="63"/>
        <v>9</v>
      </c>
      <c r="C1305" s="188">
        <f t="shared" si="61"/>
        <v>41545</v>
      </c>
      <c r="D1305" s="188" t="s">
        <v>1260</v>
      </c>
      <c r="E1305" s="37">
        <v>41545</v>
      </c>
      <c r="F1305" s="40" t="s">
        <v>643</v>
      </c>
      <c r="G1305" s="40" t="s">
        <v>916</v>
      </c>
      <c r="H1305" s="7" t="s">
        <v>1252</v>
      </c>
      <c r="I1305" s="249">
        <v>575</v>
      </c>
      <c r="J1305" s="249">
        <v>9577</v>
      </c>
      <c r="K1305" s="595">
        <f t="shared" si="62"/>
        <v>5506775</v>
      </c>
      <c r="L1305" s="39" t="s">
        <v>162</v>
      </c>
      <c r="M1305" s="596" t="s">
        <v>156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IF(OR(TH!L1305=TH!$U$7,M1305=TH!$U$7),"x","")</f>
        <v/>
      </c>
      <c r="V1305" s="52" t="str">
        <f>IF(AND(B1305&gt;='IN-NX'!$P$3,B1305&lt;='IN-NX'!$Q$3,'IN-NX'!$D$7=D1305,OR(LEFT(L1305,2)="15",AND(LEFT(M1305,2)&lt;&gt;"15",LEFT(M1305,2)&lt;&gt;"33"))),"x","")</f>
        <v/>
      </c>
      <c r="W1305" s="52" t="str">
        <f>IF(AND(OR(LEFT(TH!L1305,2)="15",LEFT(TH!M1305,2)="15"),'152-CT'!$J$8=TH!F1305),"x","")</f>
        <v/>
      </c>
      <c r="X1305" s="52" t="str">
        <f>IF(AND(OR(LEFT(TH!L1305,2)="15",LEFT(TH!M1305,2)="15"),TK!$E$7=TH!F1305),"x","")</f>
        <v/>
      </c>
      <c r="Y1305" s="52" t="str">
        <f>IF(AND(B1305&lt;=NKC!$N$8,B1305&gt;=NKC!$M$8),"x","")</f>
        <v>x</v>
      </c>
    </row>
    <row r="1306" spans="1:25" s="208" customFormat="1" ht="15.75" customHeight="1">
      <c r="A1306" s="201" t="str">
        <f>IF(B1306&lt;&gt;"",IF(AND(B1306&gt;=_TM1,B1306&lt;=_TM2,OR(TH!L1306="1111",TH!M1306="1111")),TH!D1306,""),"")</f>
        <v/>
      </c>
      <c r="B1306" s="36">
        <f t="shared" si="63"/>
        <v>9</v>
      </c>
      <c r="C1306" s="188">
        <f t="shared" si="61"/>
        <v>41545</v>
      </c>
      <c r="D1306" s="188" t="s">
        <v>1260</v>
      </c>
      <c r="E1306" s="37">
        <v>41545</v>
      </c>
      <c r="F1306" s="189" t="s">
        <v>657</v>
      </c>
      <c r="G1306" s="40" t="s">
        <v>917</v>
      </c>
      <c r="H1306" s="7" t="s">
        <v>1252</v>
      </c>
      <c r="I1306" s="249">
        <v>240</v>
      </c>
      <c r="J1306" s="249">
        <v>16000</v>
      </c>
      <c r="K1306" s="595">
        <f t="shared" si="62"/>
        <v>3840000</v>
      </c>
      <c r="L1306" s="39" t="s">
        <v>162</v>
      </c>
      <c r="M1306" s="596" t="s">
        <v>156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IF(OR(TH!L1306=TH!$U$7,M1306=TH!$U$7),"x","")</f>
        <v/>
      </c>
      <c r="V1306" s="52" t="str">
        <f>IF(AND(B1306&gt;='IN-NX'!$P$3,B1306&lt;='IN-NX'!$Q$3,'IN-NX'!$D$7=D1306,OR(LEFT(L1306,2)="15",AND(LEFT(M1306,2)&lt;&gt;"15",LEFT(M1306,2)&lt;&gt;"33"))),"x","")</f>
        <v/>
      </c>
      <c r="W1306" s="52" t="str">
        <f>IF(AND(OR(LEFT(TH!L1306,2)="15",LEFT(TH!M1306,2)="15"),'152-CT'!$J$8=TH!F1306),"x","")</f>
        <v/>
      </c>
      <c r="X1306" s="52" t="str">
        <f>IF(AND(OR(LEFT(TH!L1306,2)="15",LEFT(TH!M1306,2)="15"),TK!$E$7=TH!F1306),"x","")</f>
        <v/>
      </c>
      <c r="Y1306" s="52" t="str">
        <f>IF(AND(B1306&lt;=NKC!$N$8,B1306&gt;=NKC!$M$8),"x","")</f>
        <v>x</v>
      </c>
    </row>
    <row r="1307" spans="1:25" s="208" customFormat="1" ht="15.75" customHeight="1">
      <c r="A1307" s="201" t="str">
        <f>IF(B1307&lt;&gt;"",IF(AND(B1307&gt;=_TM1,B1307&lt;=_TM2,OR(TH!L1307="1111",TH!M1307="1111")),TH!D1307,""),"")</f>
        <v/>
      </c>
      <c r="B1307" s="36">
        <f t="shared" si="63"/>
        <v>9</v>
      </c>
      <c r="C1307" s="188">
        <f t="shared" si="61"/>
        <v>41546</v>
      </c>
      <c r="D1307" s="188" t="s">
        <v>1260</v>
      </c>
      <c r="E1307" s="37">
        <v>41546</v>
      </c>
      <c r="F1307" s="40" t="s">
        <v>613</v>
      </c>
      <c r="G1307" s="40" t="s">
        <v>918</v>
      </c>
      <c r="H1307" s="7" t="s">
        <v>1252</v>
      </c>
      <c r="I1307" s="249">
        <v>500</v>
      </c>
      <c r="J1307" s="249">
        <v>19312</v>
      </c>
      <c r="K1307" s="595">
        <f t="shared" si="62"/>
        <v>9656000</v>
      </c>
      <c r="L1307" s="39" t="s">
        <v>162</v>
      </c>
      <c r="M1307" s="596" t="s">
        <v>156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IF(OR(TH!L1307=TH!$U$7,M1307=TH!$U$7),"x","")</f>
        <v/>
      </c>
      <c r="V1307" s="52" t="str">
        <f>IF(AND(B1307&gt;='IN-NX'!$P$3,B1307&lt;='IN-NX'!$Q$3,'IN-NX'!$D$7=D1307,OR(LEFT(L1307,2)="15",AND(LEFT(M1307,2)&lt;&gt;"15",LEFT(M1307,2)&lt;&gt;"33"))),"x","")</f>
        <v/>
      </c>
      <c r="W1307" s="52" t="str">
        <f>IF(AND(OR(LEFT(TH!L1307,2)="15",LEFT(TH!M1307,2)="15"),'152-CT'!$J$8=TH!F1307),"x","")</f>
        <v/>
      </c>
      <c r="X1307" s="52" t="str">
        <f>IF(AND(OR(LEFT(TH!L1307,2)="15",LEFT(TH!M1307,2)="15"),TK!$E$7=TH!F1307),"x","")</f>
        <v/>
      </c>
      <c r="Y1307" s="52" t="str">
        <f>IF(AND(B1307&lt;=NKC!$N$8,B1307&gt;=NKC!$M$8),"x","")</f>
        <v>x</v>
      </c>
    </row>
    <row r="1308" spans="1:25" s="208" customFormat="1" ht="15.75" customHeight="1">
      <c r="A1308" s="201" t="str">
        <f>IF(B1308&lt;&gt;"",IF(AND(B1308&gt;=_TM1,B1308&lt;=_TM2,OR(TH!L1308="1111",TH!M1308="1111")),TH!D1308,""),"")</f>
        <v/>
      </c>
      <c r="B1308" s="36">
        <f t="shared" si="63"/>
        <v>9</v>
      </c>
      <c r="C1308" s="188">
        <f t="shared" si="61"/>
        <v>41547</v>
      </c>
      <c r="D1308" s="188" t="s">
        <v>1260</v>
      </c>
      <c r="E1308" s="37">
        <v>41547</v>
      </c>
      <c r="F1308" s="40" t="s">
        <v>1172</v>
      </c>
      <c r="G1308" s="40" t="s">
        <v>920</v>
      </c>
      <c r="H1308" s="7" t="s">
        <v>1252</v>
      </c>
      <c r="I1308" s="249">
        <v>100</v>
      </c>
      <c r="J1308" s="249">
        <v>17876</v>
      </c>
      <c r="K1308" s="595">
        <f t="shared" si="62"/>
        <v>1787600</v>
      </c>
      <c r="L1308" s="39" t="s">
        <v>162</v>
      </c>
      <c r="M1308" s="596" t="s">
        <v>156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IF(OR(TH!L1308=TH!$U$7,M1308=TH!$U$7),"x","")</f>
        <v/>
      </c>
      <c r="V1308" s="52" t="str">
        <f>IF(AND(B1308&gt;='IN-NX'!$P$3,B1308&lt;='IN-NX'!$Q$3,'IN-NX'!$D$7=D1308,OR(LEFT(L1308,2)="15",AND(LEFT(M1308,2)&lt;&gt;"15",LEFT(M1308,2)&lt;&gt;"33"))),"x","")</f>
        <v/>
      </c>
      <c r="W1308" s="52" t="str">
        <f>IF(AND(OR(LEFT(TH!L1308,2)="15",LEFT(TH!M1308,2)="15"),'152-CT'!$J$8=TH!F1308),"x","")</f>
        <v/>
      </c>
      <c r="X1308" s="52" t="str">
        <f>IF(AND(OR(LEFT(TH!L1308,2)="15",LEFT(TH!M1308,2)="15"),TK!$E$7=TH!F1308),"x","")</f>
        <v/>
      </c>
      <c r="Y1308" s="52" t="str">
        <f>IF(AND(B1308&lt;=NKC!$N$8,B1308&gt;=NKC!$M$8),"x","")</f>
        <v>x</v>
      </c>
    </row>
    <row r="1309" spans="1:25" s="208" customFormat="1" ht="15.75" customHeight="1">
      <c r="A1309" s="201" t="str">
        <f>IF(B1309&lt;&gt;"",IF(AND(B1309&gt;=_TM1,B1309&lt;=_TM2,OR(TH!L1309="1111",TH!M1309="1111")),TH!D1309,""),"")</f>
        <v/>
      </c>
      <c r="B1309" s="36">
        <f t="shared" si="63"/>
        <v>9</v>
      </c>
      <c r="C1309" s="188">
        <f t="shared" si="61"/>
        <v>41547</v>
      </c>
      <c r="D1309" s="188" t="s">
        <v>1260</v>
      </c>
      <c r="E1309" s="37">
        <v>41547</v>
      </c>
      <c r="F1309" s="40" t="s">
        <v>1200</v>
      </c>
      <c r="G1309" s="40" t="s">
        <v>920</v>
      </c>
      <c r="H1309" s="7" t="s">
        <v>1252</v>
      </c>
      <c r="I1309" s="249">
        <v>150</v>
      </c>
      <c r="J1309" s="249">
        <v>12635</v>
      </c>
      <c r="K1309" s="595">
        <f t="shared" si="62"/>
        <v>1895250</v>
      </c>
      <c r="L1309" s="39" t="s">
        <v>162</v>
      </c>
      <c r="M1309" s="596" t="s">
        <v>156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IF(OR(TH!L1309=TH!$U$7,M1309=TH!$U$7),"x","")</f>
        <v/>
      </c>
      <c r="V1309" s="52" t="str">
        <f>IF(AND(B1309&gt;='IN-NX'!$P$3,B1309&lt;='IN-NX'!$Q$3,'IN-NX'!$D$7=D1309,OR(LEFT(L1309,2)="15",AND(LEFT(M1309,2)&lt;&gt;"15",LEFT(M1309,2)&lt;&gt;"33"))),"x","")</f>
        <v/>
      </c>
      <c r="W1309" s="52" t="str">
        <f>IF(AND(OR(LEFT(TH!L1309,2)="15",LEFT(TH!M1309,2)="15"),'152-CT'!$J$8=TH!F1309),"x","")</f>
        <v/>
      </c>
      <c r="X1309" s="52" t="str">
        <f>IF(AND(OR(LEFT(TH!L1309,2)="15",LEFT(TH!M1309,2)="15"),TK!$E$7=TH!F1309),"x","")</f>
        <v/>
      </c>
      <c r="Y1309" s="52" t="str">
        <f>IF(AND(B1309&lt;=NKC!$N$8,B1309&gt;=NKC!$M$8),"x","")</f>
        <v>x</v>
      </c>
    </row>
    <row r="1310" spans="1:25" s="208" customFormat="1" ht="15.75" customHeight="1">
      <c r="A1310" s="201" t="str">
        <f>IF(B1310&lt;&gt;"",IF(AND(B1310&gt;=_TM1,B1310&lt;=_TM2,OR(TH!L1310="1111",TH!M1310="1111")),TH!D1310,""),"")</f>
        <v/>
      </c>
      <c r="B1310" s="36">
        <f t="shared" si="63"/>
        <v>10</v>
      </c>
      <c r="C1310" s="188">
        <f t="shared" si="61"/>
        <v>41549</v>
      </c>
      <c r="D1310" s="188" t="s">
        <v>1260</v>
      </c>
      <c r="E1310" s="37">
        <v>41549</v>
      </c>
      <c r="F1310" s="40" t="s">
        <v>597</v>
      </c>
      <c r="G1310" s="40" t="s">
        <v>922</v>
      </c>
      <c r="H1310" s="7" t="s">
        <v>1252</v>
      </c>
      <c r="I1310" s="249">
        <v>37</v>
      </c>
      <c r="J1310" s="249">
        <v>8385</v>
      </c>
      <c r="K1310" s="595">
        <f t="shared" si="62"/>
        <v>310245</v>
      </c>
      <c r="L1310" s="39" t="s">
        <v>162</v>
      </c>
      <c r="M1310" s="596" t="s">
        <v>156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IF(OR(TH!L1310=TH!$U$7,M1310=TH!$U$7),"x","")</f>
        <v/>
      </c>
      <c r="V1310" s="52" t="str">
        <f>IF(AND(B1310&gt;='IN-NX'!$P$3,B1310&lt;='IN-NX'!$Q$3,'IN-NX'!$D$7=D1310,OR(LEFT(L1310,2)="15",AND(LEFT(M1310,2)&lt;&gt;"15",LEFT(M1310,2)&lt;&gt;"33"))),"x","")</f>
        <v/>
      </c>
      <c r="W1310" s="52" t="str">
        <f>IF(AND(OR(LEFT(TH!L1310,2)="15",LEFT(TH!M1310,2)="15"),'152-CT'!$J$8=TH!F1310),"x","")</f>
        <v/>
      </c>
      <c r="X1310" s="52" t="str">
        <f>IF(AND(OR(LEFT(TH!L1310,2)="15",LEFT(TH!M1310,2)="15"),TK!$E$7=TH!F1310),"x","")</f>
        <v/>
      </c>
      <c r="Y1310" s="52" t="str">
        <f>IF(AND(B1310&lt;=NKC!$N$8,B1310&gt;=NKC!$M$8),"x","")</f>
        <v/>
      </c>
    </row>
    <row r="1311" spans="1:25" s="208" customFormat="1" ht="15.75" customHeight="1">
      <c r="A1311" s="201" t="str">
        <f>IF(B1311&lt;&gt;"",IF(AND(B1311&gt;=_TM1,B1311&lt;=_TM2,OR(TH!L1311="1111",TH!M1311="1111")),TH!D1311,""),"")</f>
        <v/>
      </c>
      <c r="B1311" s="36">
        <f t="shared" si="63"/>
        <v>10</v>
      </c>
      <c r="C1311" s="188">
        <f t="shared" si="61"/>
        <v>41549</v>
      </c>
      <c r="D1311" s="188" t="s">
        <v>1260</v>
      </c>
      <c r="E1311" s="37">
        <v>41549</v>
      </c>
      <c r="F1311" s="40" t="s">
        <v>685</v>
      </c>
      <c r="G1311" s="40" t="s">
        <v>922</v>
      </c>
      <c r="H1311" s="7" t="s">
        <v>1252</v>
      </c>
      <c r="I1311" s="249">
        <v>410</v>
      </c>
      <c r="J1311" s="249">
        <v>21907.443037974685</v>
      </c>
      <c r="K1311" s="595">
        <f t="shared" si="62"/>
        <v>8982052</v>
      </c>
      <c r="L1311" s="39" t="s">
        <v>162</v>
      </c>
      <c r="M1311" s="596" t="s">
        <v>156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IF(OR(TH!L1311=TH!$U$7,M1311=TH!$U$7),"x","")</f>
        <v/>
      </c>
      <c r="V1311" s="52" t="str">
        <f>IF(AND(B1311&gt;='IN-NX'!$P$3,B1311&lt;='IN-NX'!$Q$3,'IN-NX'!$D$7=D1311,OR(LEFT(L1311,2)="15",AND(LEFT(M1311,2)&lt;&gt;"15",LEFT(M1311,2)&lt;&gt;"33"))),"x","")</f>
        <v/>
      </c>
      <c r="W1311" s="52" t="str">
        <f>IF(AND(OR(LEFT(TH!L1311,2)="15",LEFT(TH!M1311,2)="15"),'152-CT'!$J$8=TH!F1311),"x","")</f>
        <v/>
      </c>
      <c r="X1311" s="52" t="str">
        <f>IF(AND(OR(LEFT(TH!L1311,2)="15",LEFT(TH!M1311,2)="15"),TK!$E$7=TH!F1311),"x","")</f>
        <v/>
      </c>
      <c r="Y1311" s="52" t="str">
        <f>IF(AND(B1311&lt;=NKC!$N$8,B1311&gt;=NKC!$M$8),"x","")</f>
        <v/>
      </c>
    </row>
    <row r="1312" spans="1:25" s="208" customFormat="1" ht="15.75" customHeight="1">
      <c r="A1312" s="201" t="str">
        <f>IF(B1312&lt;&gt;"",IF(AND(B1312&gt;=_TM1,B1312&lt;=_TM2,OR(TH!L1312="1111",TH!M1312="1111")),TH!D1312,""),"")</f>
        <v/>
      </c>
      <c r="B1312" s="36">
        <f t="shared" si="63"/>
        <v>10</v>
      </c>
      <c r="C1312" s="188">
        <f t="shared" si="61"/>
        <v>41549</v>
      </c>
      <c r="D1312" s="188" t="s">
        <v>1260</v>
      </c>
      <c r="E1312" s="37">
        <v>41549</v>
      </c>
      <c r="F1312" s="40" t="s">
        <v>688</v>
      </c>
      <c r="G1312" s="40" t="s">
        <v>923</v>
      </c>
      <c r="H1312" s="7" t="s">
        <v>1252</v>
      </c>
      <c r="I1312" s="249">
        <v>1130</v>
      </c>
      <c r="J1312" s="249">
        <v>11149</v>
      </c>
      <c r="K1312" s="595">
        <f t="shared" si="62"/>
        <v>12598370</v>
      </c>
      <c r="L1312" s="39" t="s">
        <v>162</v>
      </c>
      <c r="M1312" s="596" t="s">
        <v>156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IF(OR(TH!L1312=TH!$U$7,M1312=TH!$U$7),"x","")</f>
        <v/>
      </c>
      <c r="V1312" s="52" t="str">
        <f>IF(AND(B1312&gt;='IN-NX'!$P$3,B1312&lt;='IN-NX'!$Q$3,'IN-NX'!$D$7=D1312,OR(LEFT(L1312,2)="15",AND(LEFT(M1312,2)&lt;&gt;"15",LEFT(M1312,2)&lt;&gt;"33"))),"x","")</f>
        <v/>
      </c>
      <c r="W1312" s="52" t="str">
        <f>IF(AND(OR(LEFT(TH!L1312,2)="15",LEFT(TH!M1312,2)="15"),'152-CT'!$J$8=TH!F1312),"x","")</f>
        <v/>
      </c>
      <c r="X1312" s="52" t="str">
        <f>IF(AND(OR(LEFT(TH!L1312,2)="15",LEFT(TH!M1312,2)="15"),TK!$E$7=TH!F1312),"x","")</f>
        <v/>
      </c>
      <c r="Y1312" s="52" t="str">
        <f>IF(AND(B1312&lt;=NKC!$N$8,B1312&gt;=NKC!$M$8),"x","")</f>
        <v/>
      </c>
    </row>
    <row r="1313" spans="1:25" s="208" customFormat="1" ht="15.75" customHeight="1">
      <c r="A1313" s="201" t="str">
        <f>IF(B1313&lt;&gt;"",IF(AND(B1313&gt;=_TM1,B1313&lt;=_TM2,OR(TH!L1313="1111",TH!M1313="1111")),TH!D1313,""),"")</f>
        <v/>
      </c>
      <c r="B1313" s="36">
        <f t="shared" si="63"/>
        <v>10</v>
      </c>
      <c r="C1313" s="188">
        <f t="shared" si="61"/>
        <v>41552</v>
      </c>
      <c r="D1313" s="188" t="s">
        <v>1260</v>
      </c>
      <c r="E1313" s="37">
        <v>41552</v>
      </c>
      <c r="F1313" s="189" t="s">
        <v>648</v>
      </c>
      <c r="G1313" s="40" t="s">
        <v>924</v>
      </c>
      <c r="H1313" s="7" t="s">
        <v>1252</v>
      </c>
      <c r="I1313" s="249">
        <v>520</v>
      </c>
      <c r="J1313" s="249">
        <v>18709</v>
      </c>
      <c r="K1313" s="595">
        <f t="shared" si="62"/>
        <v>9728680</v>
      </c>
      <c r="L1313" s="39" t="s">
        <v>162</v>
      </c>
      <c r="M1313" s="596" t="s">
        <v>156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IF(OR(TH!L1313=TH!$U$7,M1313=TH!$U$7),"x","")</f>
        <v/>
      </c>
      <c r="V1313" s="52" t="str">
        <f>IF(AND(B1313&gt;='IN-NX'!$P$3,B1313&lt;='IN-NX'!$Q$3,'IN-NX'!$D$7=D1313,OR(LEFT(L1313,2)="15",AND(LEFT(M1313,2)&lt;&gt;"15",LEFT(M1313,2)&lt;&gt;"33"))),"x","")</f>
        <v/>
      </c>
      <c r="W1313" s="52" t="str">
        <f>IF(AND(OR(LEFT(TH!L1313,2)="15",LEFT(TH!M1313,2)="15"),'152-CT'!$J$8=TH!F1313),"x","")</f>
        <v/>
      </c>
      <c r="X1313" s="52" t="str">
        <f>IF(AND(OR(LEFT(TH!L1313,2)="15",LEFT(TH!M1313,2)="15"),TK!$E$7=TH!F1313),"x","")</f>
        <v/>
      </c>
      <c r="Y1313" s="52" t="str">
        <f>IF(AND(B1313&lt;=NKC!$N$8,B1313&gt;=NKC!$M$8),"x","")</f>
        <v/>
      </c>
    </row>
    <row r="1314" spans="1:25" s="208" customFormat="1" ht="15.75" customHeight="1">
      <c r="A1314" s="201" t="str">
        <f>IF(B1314&lt;&gt;"",IF(AND(B1314&gt;=_TM1,B1314&lt;=_TM2,OR(TH!L1314="1111",TH!M1314="1111")),TH!D1314,""),"")</f>
        <v/>
      </c>
      <c r="B1314" s="36">
        <f t="shared" si="63"/>
        <v>10</v>
      </c>
      <c r="C1314" s="188">
        <f t="shared" si="61"/>
        <v>41554</v>
      </c>
      <c r="D1314" s="188" t="s">
        <v>1260</v>
      </c>
      <c r="E1314" s="37">
        <v>41554</v>
      </c>
      <c r="F1314" s="189" t="s">
        <v>603</v>
      </c>
      <c r="G1314" s="40" t="s">
        <v>925</v>
      </c>
      <c r="H1314" s="7" t="s">
        <v>1252</v>
      </c>
      <c r="I1314" s="249">
        <v>152</v>
      </c>
      <c r="J1314" s="249">
        <v>11126</v>
      </c>
      <c r="K1314" s="595">
        <f t="shared" si="62"/>
        <v>1691152</v>
      </c>
      <c r="L1314" s="39" t="s">
        <v>162</v>
      </c>
      <c r="M1314" s="596" t="s">
        <v>156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IF(OR(TH!L1314=TH!$U$7,M1314=TH!$U$7),"x","")</f>
        <v/>
      </c>
      <c r="V1314" s="52" t="str">
        <f>IF(AND(B1314&gt;='IN-NX'!$P$3,B1314&lt;='IN-NX'!$Q$3,'IN-NX'!$D$7=D1314,OR(LEFT(L1314,2)="15",AND(LEFT(M1314,2)&lt;&gt;"15",LEFT(M1314,2)&lt;&gt;"33"))),"x","")</f>
        <v/>
      </c>
      <c r="W1314" s="52" t="str">
        <f>IF(AND(OR(LEFT(TH!L1314,2)="15",LEFT(TH!M1314,2)="15"),'152-CT'!$J$8=TH!F1314),"x","")</f>
        <v/>
      </c>
      <c r="X1314" s="52" t="str">
        <f>IF(AND(OR(LEFT(TH!L1314,2)="15",LEFT(TH!M1314,2)="15"),TK!$E$7=TH!F1314),"x","")</f>
        <v/>
      </c>
      <c r="Y1314" s="52" t="str">
        <f>IF(AND(B1314&lt;=NKC!$N$8,B1314&gt;=NKC!$M$8),"x","")</f>
        <v/>
      </c>
    </row>
    <row r="1315" spans="1:25" s="208" customFormat="1" ht="15.75" customHeight="1">
      <c r="A1315" s="201" t="str">
        <f>IF(B1315&lt;&gt;"",IF(AND(B1315&gt;=_TM1,B1315&lt;=_TM2,OR(TH!L1315="1111",TH!M1315="1111")),TH!D1315,""),"")</f>
        <v/>
      </c>
      <c r="B1315" s="36">
        <f t="shared" si="63"/>
        <v>10</v>
      </c>
      <c r="C1315" s="188">
        <f t="shared" si="61"/>
        <v>41560</v>
      </c>
      <c r="D1315" s="188" t="s">
        <v>1260</v>
      </c>
      <c r="E1315" s="37">
        <v>41560</v>
      </c>
      <c r="F1315" s="40" t="s">
        <v>654</v>
      </c>
      <c r="G1315" s="40" t="s">
        <v>926</v>
      </c>
      <c r="H1315" s="7" t="s">
        <v>1252</v>
      </c>
      <c r="I1315" s="249">
        <v>1000</v>
      </c>
      <c r="J1315" s="249">
        <v>8500</v>
      </c>
      <c r="K1315" s="595">
        <f t="shared" si="62"/>
        <v>8500000</v>
      </c>
      <c r="L1315" s="39" t="s">
        <v>162</v>
      </c>
      <c r="M1315" s="596" t="s">
        <v>156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IF(OR(TH!L1315=TH!$U$7,M1315=TH!$U$7),"x","")</f>
        <v/>
      </c>
      <c r="V1315" s="52" t="str">
        <f>IF(AND(B1315&gt;='IN-NX'!$P$3,B1315&lt;='IN-NX'!$Q$3,'IN-NX'!$D$7=D1315,OR(LEFT(L1315,2)="15",AND(LEFT(M1315,2)&lt;&gt;"15",LEFT(M1315,2)&lt;&gt;"33"))),"x","")</f>
        <v/>
      </c>
      <c r="W1315" s="52" t="str">
        <f>IF(AND(OR(LEFT(TH!L1315,2)="15",LEFT(TH!M1315,2)="15"),'152-CT'!$J$8=TH!F1315),"x","")</f>
        <v>x</v>
      </c>
      <c r="X1315" s="52" t="str">
        <f>IF(AND(OR(LEFT(TH!L1315,2)="15",LEFT(TH!M1315,2)="15"),TK!$E$7=TH!F1315),"x","")</f>
        <v/>
      </c>
      <c r="Y1315" s="52" t="str">
        <f>IF(AND(B1315&lt;=NKC!$N$8,B1315&gt;=NKC!$M$8),"x","")</f>
        <v/>
      </c>
    </row>
    <row r="1316" spans="1:25" s="208" customFormat="1" ht="15.75" customHeight="1">
      <c r="A1316" s="201" t="str">
        <f>IF(B1316&lt;&gt;"",IF(AND(B1316&gt;=_TM1,B1316&lt;=_TM2,OR(TH!L1316="1111",TH!M1316="1111")),TH!D1316,""),"")</f>
        <v/>
      </c>
      <c r="B1316" s="36">
        <f t="shared" si="63"/>
        <v>10</v>
      </c>
      <c r="C1316" s="188">
        <f t="shared" si="61"/>
        <v>41560</v>
      </c>
      <c r="D1316" s="188" t="s">
        <v>1260</v>
      </c>
      <c r="E1316" s="37">
        <v>41560</v>
      </c>
      <c r="F1316" s="40" t="s">
        <v>688</v>
      </c>
      <c r="G1316" s="40" t="s">
        <v>927</v>
      </c>
      <c r="H1316" s="7" t="s">
        <v>1252</v>
      </c>
      <c r="I1316" s="249">
        <v>490</v>
      </c>
      <c r="J1316" s="249">
        <v>11149</v>
      </c>
      <c r="K1316" s="595">
        <f t="shared" si="62"/>
        <v>5463010</v>
      </c>
      <c r="L1316" s="39" t="s">
        <v>162</v>
      </c>
      <c r="M1316" s="596" t="s">
        <v>156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IF(OR(TH!L1316=TH!$U$7,M1316=TH!$U$7),"x","")</f>
        <v/>
      </c>
      <c r="V1316" s="52" t="str">
        <f>IF(AND(B1316&gt;='IN-NX'!$P$3,B1316&lt;='IN-NX'!$Q$3,'IN-NX'!$D$7=D1316,OR(LEFT(L1316,2)="15",AND(LEFT(M1316,2)&lt;&gt;"15",LEFT(M1316,2)&lt;&gt;"33"))),"x","")</f>
        <v/>
      </c>
      <c r="W1316" s="52" t="str">
        <f>IF(AND(OR(LEFT(TH!L1316,2)="15",LEFT(TH!M1316,2)="15"),'152-CT'!$J$8=TH!F1316),"x","")</f>
        <v/>
      </c>
      <c r="X1316" s="52" t="str">
        <f>IF(AND(OR(LEFT(TH!L1316,2)="15",LEFT(TH!M1316,2)="15"),TK!$E$7=TH!F1316),"x","")</f>
        <v/>
      </c>
      <c r="Y1316" s="52" t="str">
        <f>IF(AND(B1316&lt;=NKC!$N$8,B1316&gt;=NKC!$M$8),"x","")</f>
        <v/>
      </c>
    </row>
    <row r="1317" spans="1:25" s="208" customFormat="1" ht="15.75" customHeight="1">
      <c r="A1317" s="201" t="str">
        <f>IF(B1317&lt;&gt;"",IF(AND(B1317&gt;=_TM1,B1317&lt;=_TM2,OR(TH!L1317="1111",TH!M1317="1111")),TH!D1317,""),"")</f>
        <v/>
      </c>
      <c r="B1317" s="36">
        <f t="shared" si="63"/>
        <v>10</v>
      </c>
      <c r="C1317" s="188">
        <f t="shared" si="61"/>
        <v>41560</v>
      </c>
      <c r="D1317" s="188" t="s">
        <v>1260</v>
      </c>
      <c r="E1317" s="37">
        <v>41560</v>
      </c>
      <c r="F1317" s="40" t="s">
        <v>672</v>
      </c>
      <c r="G1317" s="40" t="s">
        <v>928</v>
      </c>
      <c r="H1317" s="7" t="s">
        <v>1252</v>
      </c>
      <c r="I1317" s="249">
        <v>1000</v>
      </c>
      <c r="J1317" s="249">
        <v>16800</v>
      </c>
      <c r="K1317" s="595">
        <f t="shared" si="62"/>
        <v>16800000</v>
      </c>
      <c r="L1317" s="39" t="s">
        <v>162</v>
      </c>
      <c r="M1317" s="596" t="s">
        <v>156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IF(OR(TH!L1317=TH!$U$7,M1317=TH!$U$7),"x","")</f>
        <v/>
      </c>
      <c r="V1317" s="52" t="str">
        <f>IF(AND(B1317&gt;='IN-NX'!$P$3,B1317&lt;='IN-NX'!$Q$3,'IN-NX'!$D$7=D1317,OR(LEFT(L1317,2)="15",AND(LEFT(M1317,2)&lt;&gt;"15",LEFT(M1317,2)&lt;&gt;"33"))),"x","")</f>
        <v/>
      </c>
      <c r="W1317" s="52" t="str">
        <f>IF(AND(OR(LEFT(TH!L1317,2)="15",LEFT(TH!M1317,2)="15"),'152-CT'!$J$8=TH!F1317),"x","")</f>
        <v/>
      </c>
      <c r="X1317" s="52" t="str">
        <f>IF(AND(OR(LEFT(TH!L1317,2)="15",LEFT(TH!M1317,2)="15"),TK!$E$7=TH!F1317),"x","")</f>
        <v/>
      </c>
      <c r="Y1317" s="52" t="str">
        <f>IF(AND(B1317&lt;=NKC!$N$8,B1317&gt;=NKC!$M$8),"x","")</f>
        <v/>
      </c>
    </row>
    <row r="1318" spans="1:25" s="208" customFormat="1" ht="15.75" customHeight="1">
      <c r="A1318" s="201" t="str">
        <f>IF(B1318&lt;&gt;"",IF(AND(B1318&gt;=_TM1,B1318&lt;=_TM2,OR(TH!L1318="1111",TH!M1318="1111")),TH!D1318,""),"")</f>
        <v/>
      </c>
      <c r="B1318" s="36">
        <f t="shared" si="63"/>
        <v>10</v>
      </c>
      <c r="C1318" s="188">
        <f t="shared" si="61"/>
        <v>41562</v>
      </c>
      <c r="D1318" s="188" t="s">
        <v>1260</v>
      </c>
      <c r="E1318" s="37">
        <v>41562</v>
      </c>
      <c r="F1318" s="40" t="s">
        <v>657</v>
      </c>
      <c r="G1318" s="40" t="s">
        <v>929</v>
      </c>
      <c r="H1318" s="7" t="s">
        <v>1252</v>
      </c>
      <c r="I1318" s="249">
        <v>106</v>
      </c>
      <c r="J1318" s="249">
        <v>16000</v>
      </c>
      <c r="K1318" s="595">
        <f t="shared" si="62"/>
        <v>1696000</v>
      </c>
      <c r="L1318" s="39" t="s">
        <v>162</v>
      </c>
      <c r="M1318" s="596" t="s">
        <v>156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IF(OR(TH!L1318=TH!$U$7,M1318=TH!$U$7),"x","")</f>
        <v/>
      </c>
      <c r="V1318" s="52" t="str">
        <f>IF(AND(B1318&gt;='IN-NX'!$P$3,B1318&lt;='IN-NX'!$Q$3,'IN-NX'!$D$7=D1318,OR(LEFT(L1318,2)="15",AND(LEFT(M1318,2)&lt;&gt;"15",LEFT(M1318,2)&lt;&gt;"33"))),"x","")</f>
        <v/>
      </c>
      <c r="W1318" s="52" t="str">
        <f>IF(AND(OR(LEFT(TH!L1318,2)="15",LEFT(TH!M1318,2)="15"),'152-CT'!$J$8=TH!F1318),"x","")</f>
        <v/>
      </c>
      <c r="X1318" s="52" t="str">
        <f>IF(AND(OR(LEFT(TH!L1318,2)="15",LEFT(TH!M1318,2)="15"),TK!$E$7=TH!F1318),"x","")</f>
        <v/>
      </c>
      <c r="Y1318" s="52" t="str">
        <f>IF(AND(B1318&lt;=NKC!$N$8,B1318&gt;=NKC!$M$8),"x","")</f>
        <v/>
      </c>
    </row>
    <row r="1319" spans="1:25" s="208" customFormat="1" ht="15.75" customHeight="1">
      <c r="A1319" s="201" t="str">
        <f>IF(B1319&lt;&gt;"",IF(AND(B1319&gt;=_TM1,B1319&lt;=_TM2,OR(TH!L1319="1111",TH!M1319="1111")),TH!D1319,""),"")</f>
        <v/>
      </c>
      <c r="B1319" s="36">
        <f t="shared" si="63"/>
        <v>10</v>
      </c>
      <c r="C1319" s="188">
        <f t="shared" si="61"/>
        <v>41563</v>
      </c>
      <c r="D1319" s="188" t="s">
        <v>1260</v>
      </c>
      <c r="E1319" s="37">
        <v>41563</v>
      </c>
      <c r="F1319" s="40" t="s">
        <v>567</v>
      </c>
      <c r="G1319" s="40" t="s">
        <v>930</v>
      </c>
      <c r="H1319" s="7" t="s">
        <v>1252</v>
      </c>
      <c r="I1319" s="249">
        <v>244</v>
      </c>
      <c r="J1319" s="249">
        <v>17722</v>
      </c>
      <c r="K1319" s="595">
        <f t="shared" si="62"/>
        <v>4324168</v>
      </c>
      <c r="L1319" s="39" t="s">
        <v>162</v>
      </c>
      <c r="M1319" s="596" t="s">
        <v>156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IF(OR(TH!L1319=TH!$U$7,M1319=TH!$U$7),"x","")</f>
        <v/>
      </c>
      <c r="V1319" s="52" t="str">
        <f>IF(AND(B1319&gt;='IN-NX'!$P$3,B1319&lt;='IN-NX'!$Q$3,'IN-NX'!$D$7=D1319,OR(LEFT(L1319,2)="15",AND(LEFT(M1319,2)&lt;&gt;"15",LEFT(M1319,2)&lt;&gt;"33"))),"x","")</f>
        <v/>
      </c>
      <c r="W1319" s="52" t="str">
        <f>IF(AND(OR(LEFT(TH!L1319,2)="15",LEFT(TH!M1319,2)="15"),'152-CT'!$J$8=TH!F1319),"x","")</f>
        <v/>
      </c>
      <c r="X1319" s="52" t="str">
        <f>IF(AND(OR(LEFT(TH!L1319,2)="15",LEFT(TH!M1319,2)="15"),TK!$E$7=TH!F1319),"x","")</f>
        <v/>
      </c>
      <c r="Y1319" s="52" t="str">
        <f>IF(AND(B1319&lt;=NKC!$N$8,B1319&gt;=NKC!$M$8),"x","")</f>
        <v/>
      </c>
    </row>
    <row r="1320" spans="1:25" s="208" customFormat="1" ht="15.75" customHeight="1">
      <c r="A1320" s="201" t="str">
        <f>IF(B1320&lt;&gt;"",IF(AND(B1320&gt;=_TM1,B1320&lt;=_TM2,OR(TH!L1320="1111",TH!M1320="1111")),TH!D1320,""),"")</f>
        <v/>
      </c>
      <c r="B1320" s="36">
        <f t="shared" si="63"/>
        <v>10</v>
      </c>
      <c r="C1320" s="188">
        <f t="shared" si="61"/>
        <v>41563</v>
      </c>
      <c r="D1320" s="188" t="s">
        <v>1260</v>
      </c>
      <c r="E1320" s="37">
        <v>41563</v>
      </c>
      <c r="F1320" s="40" t="s">
        <v>663</v>
      </c>
      <c r="G1320" s="40" t="s">
        <v>930</v>
      </c>
      <c r="H1320" s="7" t="s">
        <v>1252</v>
      </c>
      <c r="I1320" s="249">
        <v>230</v>
      </c>
      <c r="J1320" s="249">
        <v>6656</v>
      </c>
      <c r="K1320" s="595">
        <f t="shared" si="62"/>
        <v>1530880</v>
      </c>
      <c r="L1320" s="39" t="s">
        <v>162</v>
      </c>
      <c r="M1320" s="596" t="s">
        <v>156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IF(OR(TH!L1320=TH!$U$7,M1320=TH!$U$7),"x","")</f>
        <v/>
      </c>
      <c r="V1320" s="52" t="str">
        <f>IF(AND(B1320&gt;='IN-NX'!$P$3,B1320&lt;='IN-NX'!$Q$3,'IN-NX'!$D$7=D1320,OR(LEFT(L1320,2)="15",AND(LEFT(M1320,2)&lt;&gt;"15",LEFT(M1320,2)&lt;&gt;"33"))),"x","")</f>
        <v/>
      </c>
      <c r="W1320" s="52" t="str">
        <f>IF(AND(OR(LEFT(TH!L1320,2)="15",LEFT(TH!M1320,2)="15"),'152-CT'!$J$8=TH!F1320),"x","")</f>
        <v/>
      </c>
      <c r="X1320" s="52" t="str">
        <f>IF(AND(OR(LEFT(TH!L1320,2)="15",LEFT(TH!M1320,2)="15"),TK!$E$7=TH!F1320),"x","")</f>
        <v/>
      </c>
      <c r="Y1320" s="52" t="str">
        <f>IF(AND(B1320&lt;=NKC!$N$8,B1320&gt;=NKC!$M$8),"x","")</f>
        <v/>
      </c>
    </row>
    <row r="1321" spans="1:25" s="208" customFormat="1" ht="15.75" customHeight="1">
      <c r="A1321" s="201" t="str">
        <f>IF(B1321&lt;&gt;"",IF(AND(B1321&gt;=_TM1,B1321&lt;=_TM2,OR(TH!L1321="1111",TH!M1321="1111")),TH!D1321,""),"")</f>
        <v/>
      </c>
      <c r="B1321" s="36">
        <f t="shared" si="63"/>
        <v>10</v>
      </c>
      <c r="C1321" s="188">
        <f t="shared" si="61"/>
        <v>41565</v>
      </c>
      <c r="D1321" s="188" t="s">
        <v>1260</v>
      </c>
      <c r="E1321" s="37">
        <v>41565</v>
      </c>
      <c r="F1321" s="40" t="s">
        <v>615</v>
      </c>
      <c r="G1321" s="40" t="s">
        <v>932</v>
      </c>
      <c r="H1321" s="7" t="s">
        <v>1252</v>
      </c>
      <c r="I1321" s="249">
        <v>530</v>
      </c>
      <c r="J1321" s="249">
        <v>7400</v>
      </c>
      <c r="K1321" s="595">
        <f t="shared" si="62"/>
        <v>3922000</v>
      </c>
      <c r="L1321" s="39" t="s">
        <v>162</v>
      </c>
      <c r="M1321" s="596" t="s">
        <v>156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IF(OR(TH!L1321=TH!$U$7,M1321=TH!$U$7),"x","")</f>
        <v/>
      </c>
      <c r="V1321" s="52" t="str">
        <f>IF(AND(B1321&gt;='IN-NX'!$P$3,B1321&lt;='IN-NX'!$Q$3,'IN-NX'!$D$7=D1321,OR(LEFT(L1321,2)="15",AND(LEFT(M1321,2)&lt;&gt;"15",LEFT(M1321,2)&lt;&gt;"33"))),"x","")</f>
        <v/>
      </c>
      <c r="W1321" s="52" t="str">
        <f>IF(AND(OR(LEFT(TH!L1321,2)="15",LEFT(TH!M1321,2)="15"),'152-CT'!$J$8=TH!F1321),"x","")</f>
        <v/>
      </c>
      <c r="X1321" s="52" t="str">
        <f>IF(AND(OR(LEFT(TH!L1321,2)="15",LEFT(TH!M1321,2)="15"),TK!$E$7=TH!F1321),"x","")</f>
        <v/>
      </c>
      <c r="Y1321" s="52" t="str">
        <f>IF(AND(B1321&lt;=NKC!$N$8,B1321&gt;=NKC!$M$8),"x","")</f>
        <v/>
      </c>
    </row>
    <row r="1322" spans="1:25" s="208" customFormat="1" ht="15.75" customHeight="1">
      <c r="A1322" s="201" t="str">
        <f>IF(B1322&lt;&gt;"",IF(AND(B1322&gt;=_TM1,B1322&lt;=_TM2,OR(TH!L1322="1111",TH!M1322="1111")),TH!D1322,""),"")</f>
        <v/>
      </c>
      <c r="B1322" s="36">
        <f t="shared" si="63"/>
        <v>10</v>
      </c>
      <c r="C1322" s="188">
        <f t="shared" si="61"/>
        <v>41565</v>
      </c>
      <c r="D1322" s="188" t="s">
        <v>1260</v>
      </c>
      <c r="E1322" s="37">
        <v>41565</v>
      </c>
      <c r="F1322" s="189" t="s">
        <v>581</v>
      </c>
      <c r="G1322" s="40" t="s">
        <v>934</v>
      </c>
      <c r="H1322" s="7" t="s">
        <v>1252</v>
      </c>
      <c r="I1322" s="249">
        <v>27</v>
      </c>
      <c r="J1322" s="249">
        <v>7274</v>
      </c>
      <c r="K1322" s="595">
        <f t="shared" si="62"/>
        <v>196398</v>
      </c>
      <c r="L1322" s="39" t="s">
        <v>162</v>
      </c>
      <c r="M1322" s="596" t="s">
        <v>156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IF(OR(TH!L1322=TH!$U$7,M1322=TH!$U$7),"x","")</f>
        <v/>
      </c>
      <c r="V1322" s="52" t="str">
        <f>IF(AND(B1322&gt;='IN-NX'!$P$3,B1322&lt;='IN-NX'!$Q$3,'IN-NX'!$D$7=D1322,OR(LEFT(L1322,2)="15",AND(LEFT(M1322,2)&lt;&gt;"15",LEFT(M1322,2)&lt;&gt;"33"))),"x","")</f>
        <v/>
      </c>
      <c r="W1322" s="52" t="str">
        <f>IF(AND(OR(LEFT(TH!L1322,2)="15",LEFT(TH!M1322,2)="15"),'152-CT'!$J$8=TH!F1322),"x","")</f>
        <v/>
      </c>
      <c r="X1322" s="52" t="str">
        <f>IF(AND(OR(LEFT(TH!L1322,2)="15",LEFT(TH!M1322,2)="15"),TK!$E$7=TH!F1322),"x","")</f>
        <v/>
      </c>
      <c r="Y1322" s="52" t="str">
        <f>IF(AND(B1322&lt;=NKC!$N$8,B1322&gt;=NKC!$M$8),"x","")</f>
        <v/>
      </c>
    </row>
    <row r="1323" spans="1:25" s="208" customFormat="1" ht="15.75" customHeight="1">
      <c r="A1323" s="201" t="str">
        <f>IF(B1323&lt;&gt;"",IF(AND(B1323&gt;=_TM1,B1323&lt;=_TM2,OR(TH!L1323="1111",TH!M1323="1111")),TH!D1323,""),"")</f>
        <v/>
      </c>
      <c r="B1323" s="36">
        <f t="shared" si="63"/>
        <v>10</v>
      </c>
      <c r="C1323" s="188">
        <f t="shared" si="61"/>
        <v>41565</v>
      </c>
      <c r="D1323" s="188" t="s">
        <v>1260</v>
      </c>
      <c r="E1323" s="37">
        <v>41565</v>
      </c>
      <c r="F1323" s="40" t="s">
        <v>1197</v>
      </c>
      <c r="G1323" s="40" t="s">
        <v>934</v>
      </c>
      <c r="H1323" s="7" t="s">
        <v>1252</v>
      </c>
      <c r="I1323" s="249">
        <v>20</v>
      </c>
      <c r="J1323" s="249">
        <v>11873</v>
      </c>
      <c r="K1323" s="595">
        <f t="shared" si="62"/>
        <v>237460</v>
      </c>
      <c r="L1323" s="39" t="s">
        <v>162</v>
      </c>
      <c r="M1323" s="596" t="s">
        <v>156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IF(OR(TH!L1323=TH!$U$7,M1323=TH!$U$7),"x","")</f>
        <v/>
      </c>
      <c r="V1323" s="52" t="str">
        <f>IF(AND(B1323&gt;='IN-NX'!$P$3,B1323&lt;='IN-NX'!$Q$3,'IN-NX'!$D$7=D1323,OR(LEFT(L1323,2)="15",AND(LEFT(M1323,2)&lt;&gt;"15",LEFT(M1323,2)&lt;&gt;"33"))),"x","")</f>
        <v/>
      </c>
      <c r="W1323" s="52" t="str">
        <f>IF(AND(OR(LEFT(TH!L1323,2)="15",LEFT(TH!M1323,2)="15"),'152-CT'!$J$8=TH!F1323),"x","")</f>
        <v/>
      </c>
      <c r="X1323" s="52" t="str">
        <f>IF(AND(OR(LEFT(TH!L1323,2)="15",LEFT(TH!M1323,2)="15"),TK!$E$7=TH!F1323),"x","")</f>
        <v/>
      </c>
      <c r="Y1323" s="52" t="str">
        <f>IF(AND(B1323&lt;=NKC!$N$8,B1323&gt;=NKC!$M$8),"x","")</f>
        <v/>
      </c>
    </row>
    <row r="1324" spans="1:25" s="208" customFormat="1" ht="15.75" customHeight="1">
      <c r="A1324" s="201" t="str">
        <f>IF(B1324&lt;&gt;"",IF(AND(B1324&gt;=_TM1,B1324&lt;=_TM2,OR(TH!L1324="1111",TH!M1324="1111")),TH!D1324,""),"")</f>
        <v/>
      </c>
      <c r="B1324" s="36">
        <f t="shared" si="63"/>
        <v>10</v>
      </c>
      <c r="C1324" s="188">
        <f t="shared" si="61"/>
        <v>41565</v>
      </c>
      <c r="D1324" s="188" t="s">
        <v>1260</v>
      </c>
      <c r="E1324" s="37">
        <v>41565</v>
      </c>
      <c r="F1324" s="40" t="s">
        <v>581</v>
      </c>
      <c r="G1324" s="40" t="s">
        <v>934</v>
      </c>
      <c r="H1324" s="7" t="s">
        <v>1252</v>
      </c>
      <c r="I1324" s="249">
        <v>40</v>
      </c>
      <c r="J1324" s="249">
        <v>7274</v>
      </c>
      <c r="K1324" s="595">
        <f t="shared" si="62"/>
        <v>290960</v>
      </c>
      <c r="L1324" s="39" t="s">
        <v>162</v>
      </c>
      <c r="M1324" s="596" t="s">
        <v>156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IF(OR(TH!L1324=TH!$U$7,M1324=TH!$U$7),"x","")</f>
        <v/>
      </c>
      <c r="V1324" s="52" t="str">
        <f>IF(AND(B1324&gt;='IN-NX'!$P$3,B1324&lt;='IN-NX'!$Q$3,'IN-NX'!$D$7=D1324,OR(LEFT(L1324,2)="15",AND(LEFT(M1324,2)&lt;&gt;"15",LEFT(M1324,2)&lt;&gt;"33"))),"x","")</f>
        <v/>
      </c>
      <c r="W1324" s="52" t="str">
        <f>IF(AND(OR(LEFT(TH!L1324,2)="15",LEFT(TH!M1324,2)="15"),'152-CT'!$J$8=TH!F1324),"x","")</f>
        <v/>
      </c>
      <c r="X1324" s="52" t="str">
        <f>IF(AND(OR(LEFT(TH!L1324,2)="15",LEFT(TH!M1324,2)="15"),TK!$E$7=TH!F1324),"x","")</f>
        <v/>
      </c>
      <c r="Y1324" s="52" t="str">
        <f>IF(AND(B1324&lt;=NKC!$N$8,B1324&gt;=NKC!$M$8),"x","")</f>
        <v/>
      </c>
    </row>
    <row r="1325" spans="1:25" s="208" customFormat="1" ht="15.75" customHeight="1">
      <c r="A1325" s="201" t="str">
        <f>IF(B1325&lt;&gt;"",IF(AND(B1325&gt;=_TM1,B1325&lt;=_TM2,OR(TH!L1325="1111",TH!M1325="1111")),TH!D1325,""),"")</f>
        <v/>
      </c>
      <c r="B1325" s="36">
        <f t="shared" si="63"/>
        <v>10</v>
      </c>
      <c r="C1325" s="188">
        <f t="shared" si="61"/>
        <v>41565</v>
      </c>
      <c r="D1325" s="188" t="s">
        <v>1260</v>
      </c>
      <c r="E1325" s="37">
        <v>41565</v>
      </c>
      <c r="F1325" s="40" t="s">
        <v>580</v>
      </c>
      <c r="G1325" s="40" t="s">
        <v>934</v>
      </c>
      <c r="H1325" s="7" t="s">
        <v>1252</v>
      </c>
      <c r="I1325" s="249">
        <v>30</v>
      </c>
      <c r="J1325" s="249">
        <v>8461</v>
      </c>
      <c r="K1325" s="595">
        <f t="shared" si="62"/>
        <v>253830</v>
      </c>
      <c r="L1325" s="39" t="s">
        <v>162</v>
      </c>
      <c r="M1325" s="596" t="s">
        <v>156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IF(OR(TH!L1325=TH!$U$7,M1325=TH!$U$7),"x","")</f>
        <v/>
      </c>
      <c r="V1325" s="52" t="str">
        <f>IF(AND(B1325&gt;='IN-NX'!$P$3,B1325&lt;='IN-NX'!$Q$3,'IN-NX'!$D$7=D1325,OR(LEFT(L1325,2)="15",AND(LEFT(M1325,2)&lt;&gt;"15",LEFT(M1325,2)&lt;&gt;"33"))),"x","")</f>
        <v/>
      </c>
      <c r="W1325" s="52" t="str">
        <f>IF(AND(OR(LEFT(TH!L1325,2)="15",LEFT(TH!M1325,2)="15"),'152-CT'!$J$8=TH!F1325),"x","")</f>
        <v/>
      </c>
      <c r="X1325" s="52" t="str">
        <f>IF(AND(OR(LEFT(TH!L1325,2)="15",LEFT(TH!M1325,2)="15"),TK!$E$7=TH!F1325),"x","")</f>
        <v/>
      </c>
      <c r="Y1325" s="52" t="str">
        <f>IF(AND(B1325&lt;=NKC!$N$8,B1325&gt;=NKC!$M$8),"x","")</f>
        <v/>
      </c>
    </row>
    <row r="1326" spans="1:25" s="208" customFormat="1" ht="15.75" customHeight="1">
      <c r="A1326" s="201" t="str">
        <f>IF(B1326&lt;&gt;"",IF(AND(B1326&gt;=_TM1,B1326&lt;=_TM2,OR(TH!L1326="1111",TH!M1326="1111")),TH!D1326,""),"")</f>
        <v/>
      </c>
      <c r="B1326" s="36">
        <f t="shared" si="63"/>
        <v>10</v>
      </c>
      <c r="C1326" s="188">
        <f t="shared" si="61"/>
        <v>41565</v>
      </c>
      <c r="D1326" s="188" t="s">
        <v>1260</v>
      </c>
      <c r="E1326" s="37">
        <v>41565</v>
      </c>
      <c r="F1326" s="40" t="s">
        <v>603</v>
      </c>
      <c r="G1326" s="40" t="s">
        <v>934</v>
      </c>
      <c r="H1326" s="7" t="s">
        <v>1252</v>
      </c>
      <c r="I1326" s="249">
        <v>40</v>
      </c>
      <c r="J1326" s="249">
        <v>11126</v>
      </c>
      <c r="K1326" s="595">
        <f t="shared" si="62"/>
        <v>445040</v>
      </c>
      <c r="L1326" s="39" t="s">
        <v>162</v>
      </c>
      <c r="M1326" s="596" t="s">
        <v>156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IF(OR(TH!L1326=TH!$U$7,M1326=TH!$U$7),"x","")</f>
        <v/>
      </c>
      <c r="V1326" s="52" t="str">
        <f>IF(AND(B1326&gt;='IN-NX'!$P$3,B1326&lt;='IN-NX'!$Q$3,'IN-NX'!$D$7=D1326,OR(LEFT(L1326,2)="15",AND(LEFT(M1326,2)&lt;&gt;"15",LEFT(M1326,2)&lt;&gt;"33"))),"x","")</f>
        <v/>
      </c>
      <c r="W1326" s="52" t="str">
        <f>IF(AND(OR(LEFT(TH!L1326,2)="15",LEFT(TH!M1326,2)="15"),'152-CT'!$J$8=TH!F1326),"x","")</f>
        <v/>
      </c>
      <c r="X1326" s="52" t="str">
        <f>IF(AND(OR(LEFT(TH!L1326,2)="15",LEFT(TH!M1326,2)="15"),TK!$E$7=TH!F1326),"x","")</f>
        <v/>
      </c>
      <c r="Y1326" s="52" t="str">
        <f>IF(AND(B1326&lt;=NKC!$N$8,B1326&gt;=NKC!$M$8),"x","")</f>
        <v/>
      </c>
    </row>
    <row r="1327" spans="1:25" s="208" customFormat="1" ht="15.75" customHeight="1">
      <c r="A1327" s="201" t="str">
        <f>IF(B1327&lt;&gt;"",IF(AND(B1327&gt;=_TM1,B1327&lt;=_TM2,OR(TH!L1327="1111",TH!M1327="1111")),TH!D1327,""),"")</f>
        <v/>
      </c>
      <c r="B1327" s="36">
        <f t="shared" si="63"/>
        <v>10</v>
      </c>
      <c r="C1327" s="188">
        <f t="shared" si="61"/>
        <v>41565</v>
      </c>
      <c r="D1327" s="188" t="s">
        <v>1260</v>
      </c>
      <c r="E1327" s="37">
        <v>41565</v>
      </c>
      <c r="F1327" s="40" t="s">
        <v>1186</v>
      </c>
      <c r="G1327" s="40" t="s">
        <v>934</v>
      </c>
      <c r="H1327" s="7" t="s">
        <v>1252</v>
      </c>
      <c r="I1327" s="249">
        <v>100</v>
      </c>
      <c r="J1327" s="249">
        <v>4429</v>
      </c>
      <c r="K1327" s="595">
        <f t="shared" si="62"/>
        <v>442900</v>
      </c>
      <c r="L1327" s="39" t="s">
        <v>162</v>
      </c>
      <c r="M1327" s="596" t="s">
        <v>156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IF(OR(TH!L1327=TH!$U$7,M1327=TH!$U$7),"x","")</f>
        <v/>
      </c>
      <c r="V1327" s="52" t="str">
        <f>IF(AND(B1327&gt;='IN-NX'!$P$3,B1327&lt;='IN-NX'!$Q$3,'IN-NX'!$D$7=D1327,OR(LEFT(L1327,2)="15",AND(LEFT(M1327,2)&lt;&gt;"15",LEFT(M1327,2)&lt;&gt;"33"))),"x","")</f>
        <v/>
      </c>
      <c r="W1327" s="52" t="str">
        <f>IF(AND(OR(LEFT(TH!L1327,2)="15",LEFT(TH!M1327,2)="15"),'152-CT'!$J$8=TH!F1327),"x","")</f>
        <v/>
      </c>
      <c r="X1327" s="52" t="str">
        <f>IF(AND(OR(LEFT(TH!L1327,2)="15",LEFT(TH!M1327,2)="15"),TK!$E$7=TH!F1327),"x","")</f>
        <v/>
      </c>
      <c r="Y1327" s="52" t="str">
        <f>IF(AND(B1327&lt;=NKC!$N$8,B1327&gt;=NKC!$M$8),"x","")</f>
        <v/>
      </c>
    </row>
    <row r="1328" spans="1:25" s="208" customFormat="1" ht="15.75" customHeight="1">
      <c r="A1328" s="201" t="str">
        <f>IF(B1328&lt;&gt;"",IF(AND(B1328&gt;=_TM1,B1328&lt;=_TM2,OR(TH!L1328="1111",TH!M1328="1111")),TH!D1328,""),"")</f>
        <v/>
      </c>
      <c r="B1328" s="36">
        <f t="shared" si="63"/>
        <v>10</v>
      </c>
      <c r="C1328" s="188">
        <f t="shared" si="61"/>
        <v>41565</v>
      </c>
      <c r="D1328" s="188" t="s">
        <v>1260</v>
      </c>
      <c r="E1328" s="37">
        <v>41565</v>
      </c>
      <c r="F1328" s="40" t="s">
        <v>1209</v>
      </c>
      <c r="G1328" s="40" t="s">
        <v>939</v>
      </c>
      <c r="H1328" s="7" t="s">
        <v>1252</v>
      </c>
      <c r="I1328" s="249">
        <v>15</v>
      </c>
      <c r="J1328" s="249">
        <v>19910.04</v>
      </c>
      <c r="K1328" s="595">
        <f t="shared" si="62"/>
        <v>298651</v>
      </c>
      <c r="L1328" s="39" t="s">
        <v>162</v>
      </c>
      <c r="M1328" s="596" t="s">
        <v>156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IF(OR(TH!L1328=TH!$U$7,M1328=TH!$U$7),"x","")</f>
        <v/>
      </c>
      <c r="V1328" s="52" t="str">
        <f>IF(AND(B1328&gt;='IN-NX'!$P$3,B1328&lt;='IN-NX'!$Q$3,'IN-NX'!$D$7=D1328,OR(LEFT(L1328,2)="15",AND(LEFT(M1328,2)&lt;&gt;"15",LEFT(M1328,2)&lt;&gt;"33"))),"x","")</f>
        <v/>
      </c>
      <c r="W1328" s="52" t="str">
        <f>IF(AND(OR(LEFT(TH!L1328,2)="15",LEFT(TH!M1328,2)="15"),'152-CT'!$J$8=TH!F1328),"x","")</f>
        <v/>
      </c>
      <c r="X1328" s="52" t="str">
        <f>IF(AND(OR(LEFT(TH!L1328,2)="15",LEFT(TH!M1328,2)="15"),TK!$E$7=TH!F1328),"x","")</f>
        <v/>
      </c>
      <c r="Y1328" s="52" t="str">
        <f>IF(AND(B1328&lt;=NKC!$N$8,B1328&gt;=NKC!$M$8),"x","")</f>
        <v/>
      </c>
    </row>
    <row r="1329" spans="1:25" s="208" customFormat="1" ht="15.75" customHeight="1">
      <c r="A1329" s="201" t="str">
        <f>IF(B1329&lt;&gt;"",IF(AND(B1329&gt;=_TM1,B1329&lt;=_TM2,OR(TH!L1329="1111",TH!M1329="1111")),TH!D1329,""),"")</f>
        <v/>
      </c>
      <c r="B1329" s="36">
        <f t="shared" si="63"/>
        <v>10</v>
      </c>
      <c r="C1329" s="188">
        <f t="shared" si="61"/>
        <v>41565</v>
      </c>
      <c r="D1329" s="188" t="s">
        <v>1260</v>
      </c>
      <c r="E1329" s="37">
        <v>41565</v>
      </c>
      <c r="F1329" s="189" t="s">
        <v>581</v>
      </c>
      <c r="G1329" s="40" t="s">
        <v>939</v>
      </c>
      <c r="H1329" s="7" t="s">
        <v>1252</v>
      </c>
      <c r="I1329" s="249">
        <v>30</v>
      </c>
      <c r="J1329" s="249">
        <v>7274</v>
      </c>
      <c r="K1329" s="595">
        <f t="shared" si="62"/>
        <v>218220</v>
      </c>
      <c r="L1329" s="39" t="s">
        <v>162</v>
      </c>
      <c r="M1329" s="596" t="s">
        <v>156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IF(OR(TH!L1329=TH!$U$7,M1329=TH!$U$7),"x","")</f>
        <v/>
      </c>
      <c r="V1329" s="52" t="str">
        <f>IF(AND(B1329&gt;='IN-NX'!$P$3,B1329&lt;='IN-NX'!$Q$3,'IN-NX'!$D$7=D1329,OR(LEFT(L1329,2)="15",AND(LEFT(M1329,2)&lt;&gt;"15",LEFT(M1329,2)&lt;&gt;"33"))),"x","")</f>
        <v/>
      </c>
      <c r="W1329" s="52" t="str">
        <f>IF(AND(OR(LEFT(TH!L1329,2)="15",LEFT(TH!M1329,2)="15"),'152-CT'!$J$8=TH!F1329),"x","")</f>
        <v/>
      </c>
      <c r="X1329" s="52" t="str">
        <f>IF(AND(OR(LEFT(TH!L1329,2)="15",LEFT(TH!M1329,2)="15"),TK!$E$7=TH!F1329),"x","")</f>
        <v/>
      </c>
      <c r="Y1329" s="52" t="str">
        <f>IF(AND(B1329&lt;=NKC!$N$8,B1329&gt;=NKC!$M$8),"x","")</f>
        <v/>
      </c>
    </row>
    <row r="1330" spans="1:25" s="208" customFormat="1" ht="15.75" customHeight="1">
      <c r="A1330" s="201" t="str">
        <f>IF(B1330&lt;&gt;"",IF(AND(B1330&gt;=_TM1,B1330&lt;=_TM2,OR(TH!L1330="1111",TH!M1330="1111")),TH!D1330,""),"")</f>
        <v/>
      </c>
      <c r="B1330" s="36">
        <f t="shared" si="63"/>
        <v>10</v>
      </c>
      <c r="C1330" s="188">
        <f t="shared" si="61"/>
        <v>41565</v>
      </c>
      <c r="D1330" s="188" t="s">
        <v>1260</v>
      </c>
      <c r="E1330" s="37">
        <v>41565</v>
      </c>
      <c r="F1330" s="189" t="s">
        <v>1186</v>
      </c>
      <c r="G1330" s="40" t="s">
        <v>939</v>
      </c>
      <c r="H1330" s="7" t="s">
        <v>1252</v>
      </c>
      <c r="I1330" s="249">
        <v>100</v>
      </c>
      <c r="J1330" s="249">
        <v>4429</v>
      </c>
      <c r="K1330" s="595">
        <f t="shared" si="62"/>
        <v>442900</v>
      </c>
      <c r="L1330" s="39" t="s">
        <v>162</v>
      </c>
      <c r="M1330" s="596" t="s">
        <v>156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IF(OR(TH!L1330=TH!$U$7,M1330=TH!$U$7),"x","")</f>
        <v/>
      </c>
      <c r="V1330" s="52" t="str">
        <f>IF(AND(B1330&gt;='IN-NX'!$P$3,B1330&lt;='IN-NX'!$Q$3,'IN-NX'!$D$7=D1330,OR(LEFT(L1330,2)="15",AND(LEFT(M1330,2)&lt;&gt;"15",LEFT(M1330,2)&lt;&gt;"33"))),"x","")</f>
        <v/>
      </c>
      <c r="W1330" s="52" t="str">
        <f>IF(AND(OR(LEFT(TH!L1330,2)="15",LEFT(TH!M1330,2)="15"),'152-CT'!$J$8=TH!F1330),"x","")</f>
        <v/>
      </c>
      <c r="X1330" s="52" t="str">
        <f>IF(AND(OR(LEFT(TH!L1330,2)="15",LEFT(TH!M1330,2)="15"),TK!$E$7=TH!F1330),"x","")</f>
        <v/>
      </c>
      <c r="Y1330" s="52" t="str">
        <f>IF(AND(B1330&lt;=NKC!$N$8,B1330&gt;=NKC!$M$8),"x","")</f>
        <v/>
      </c>
    </row>
    <row r="1331" spans="1:25" s="208" customFormat="1" ht="15.75" customHeight="1">
      <c r="A1331" s="201" t="str">
        <f>IF(B1331&lt;&gt;"",IF(AND(B1331&gt;=_TM1,B1331&lt;=_TM2,OR(TH!L1331="1111",TH!M1331="1111")),TH!D1331,""),"")</f>
        <v/>
      </c>
      <c r="B1331" s="36">
        <f t="shared" si="63"/>
        <v>10</v>
      </c>
      <c r="C1331" s="188">
        <f t="shared" si="61"/>
        <v>41565</v>
      </c>
      <c r="D1331" s="188" t="s">
        <v>1260</v>
      </c>
      <c r="E1331" s="37">
        <v>41565</v>
      </c>
      <c r="F1331" s="40" t="s">
        <v>597</v>
      </c>
      <c r="G1331" s="40" t="s">
        <v>939</v>
      </c>
      <c r="H1331" s="7" t="s">
        <v>1252</v>
      </c>
      <c r="I1331" s="249">
        <v>15</v>
      </c>
      <c r="J1331" s="249">
        <v>8385</v>
      </c>
      <c r="K1331" s="595">
        <f t="shared" si="62"/>
        <v>125775</v>
      </c>
      <c r="L1331" s="39" t="s">
        <v>162</v>
      </c>
      <c r="M1331" s="596" t="s">
        <v>156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IF(OR(TH!L1331=TH!$U$7,M1331=TH!$U$7),"x","")</f>
        <v/>
      </c>
      <c r="V1331" s="52" t="str">
        <f>IF(AND(B1331&gt;='IN-NX'!$P$3,B1331&lt;='IN-NX'!$Q$3,'IN-NX'!$D$7=D1331,OR(LEFT(L1331,2)="15",AND(LEFT(M1331,2)&lt;&gt;"15",LEFT(M1331,2)&lt;&gt;"33"))),"x","")</f>
        <v/>
      </c>
      <c r="W1331" s="52" t="str">
        <f>IF(AND(OR(LEFT(TH!L1331,2)="15",LEFT(TH!M1331,2)="15"),'152-CT'!$J$8=TH!F1331),"x","")</f>
        <v/>
      </c>
      <c r="X1331" s="52" t="str">
        <f>IF(AND(OR(LEFT(TH!L1331,2)="15",LEFT(TH!M1331,2)="15"),TK!$E$7=TH!F1331),"x","")</f>
        <v/>
      </c>
      <c r="Y1331" s="52" t="str">
        <f>IF(AND(B1331&lt;=NKC!$N$8,B1331&gt;=NKC!$M$8),"x","")</f>
        <v/>
      </c>
    </row>
    <row r="1332" spans="1:25" s="208" customFormat="1" ht="15.75" customHeight="1">
      <c r="A1332" s="201" t="str">
        <f>IF(B1332&lt;&gt;"",IF(AND(B1332&gt;=_TM1,B1332&lt;=_TM2,OR(TH!L1332="1111",TH!M1332="1111")),TH!D1332,""),"")</f>
        <v/>
      </c>
      <c r="B1332" s="36">
        <f t="shared" si="63"/>
        <v>10</v>
      </c>
      <c r="C1332" s="188">
        <f t="shared" si="61"/>
        <v>41565</v>
      </c>
      <c r="D1332" s="188" t="s">
        <v>1260</v>
      </c>
      <c r="E1332" s="37">
        <v>41565</v>
      </c>
      <c r="F1332" s="40" t="s">
        <v>625</v>
      </c>
      <c r="G1332" s="40" t="s">
        <v>939</v>
      </c>
      <c r="H1332" s="7" t="s">
        <v>1252</v>
      </c>
      <c r="I1332" s="249">
        <v>15</v>
      </c>
      <c r="J1332" s="249">
        <v>13832</v>
      </c>
      <c r="K1332" s="595">
        <f t="shared" si="62"/>
        <v>207480</v>
      </c>
      <c r="L1332" s="39" t="s">
        <v>162</v>
      </c>
      <c r="M1332" s="596" t="s">
        <v>156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IF(OR(TH!L1332=TH!$U$7,M1332=TH!$U$7),"x","")</f>
        <v/>
      </c>
      <c r="V1332" s="52" t="str">
        <f>IF(AND(B1332&gt;='IN-NX'!$P$3,B1332&lt;='IN-NX'!$Q$3,'IN-NX'!$D$7=D1332,OR(LEFT(L1332,2)="15",AND(LEFT(M1332,2)&lt;&gt;"15",LEFT(M1332,2)&lt;&gt;"33"))),"x","")</f>
        <v/>
      </c>
      <c r="W1332" s="52" t="str">
        <f>IF(AND(OR(LEFT(TH!L1332,2)="15",LEFT(TH!M1332,2)="15"),'152-CT'!$J$8=TH!F1332),"x","")</f>
        <v/>
      </c>
      <c r="X1332" s="52" t="str">
        <f>IF(AND(OR(LEFT(TH!L1332,2)="15",LEFT(TH!M1332,2)="15"),TK!$E$7=TH!F1332),"x","")</f>
        <v/>
      </c>
      <c r="Y1332" s="52" t="str">
        <f>IF(AND(B1332&lt;=NKC!$N$8,B1332&gt;=NKC!$M$8),"x","")</f>
        <v/>
      </c>
    </row>
    <row r="1333" spans="1:25" s="208" customFormat="1" ht="15.75" customHeight="1">
      <c r="A1333" s="201" t="str">
        <f>IF(B1333&lt;&gt;"",IF(AND(B1333&gt;=_TM1,B1333&lt;=_TM2,OR(TH!L1333="1111",TH!M1333="1111")),TH!D1333,""),"")</f>
        <v/>
      </c>
      <c r="B1333" s="36">
        <f t="shared" si="63"/>
        <v>10</v>
      </c>
      <c r="C1333" s="188">
        <f t="shared" si="61"/>
        <v>41565</v>
      </c>
      <c r="D1333" s="188" t="s">
        <v>1260</v>
      </c>
      <c r="E1333" s="188">
        <v>41565</v>
      </c>
      <c r="F1333" s="189" t="s">
        <v>597</v>
      </c>
      <c r="G1333" s="480" t="s">
        <v>939</v>
      </c>
      <c r="H1333" s="7" t="s">
        <v>1252</v>
      </c>
      <c r="I1333" s="249">
        <v>8</v>
      </c>
      <c r="J1333" s="249">
        <v>8385</v>
      </c>
      <c r="K1333" s="595">
        <f t="shared" si="62"/>
        <v>67080</v>
      </c>
      <c r="L1333" s="39" t="s">
        <v>162</v>
      </c>
      <c r="M1333" s="596" t="s">
        <v>156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IF(OR(TH!L1333=TH!$U$7,M1333=TH!$U$7),"x","")</f>
        <v/>
      </c>
      <c r="V1333" s="52" t="str">
        <f>IF(AND(B1333&gt;='IN-NX'!$P$3,B1333&lt;='IN-NX'!$Q$3,'IN-NX'!$D$7=D1333,OR(LEFT(L1333,2)="15",AND(LEFT(M1333,2)&lt;&gt;"15",LEFT(M1333,2)&lt;&gt;"33"))),"x","")</f>
        <v/>
      </c>
      <c r="W1333" s="52" t="str">
        <f>IF(AND(OR(LEFT(TH!L1333,2)="15",LEFT(TH!M1333,2)="15"),'152-CT'!$J$8=TH!F1333),"x","")</f>
        <v/>
      </c>
      <c r="X1333" s="52" t="str">
        <f>IF(AND(OR(LEFT(TH!L1333,2)="15",LEFT(TH!M1333,2)="15"),TK!$E$7=TH!F1333),"x","")</f>
        <v/>
      </c>
      <c r="Y1333" s="52" t="str">
        <f>IF(AND(B1333&lt;=NKC!$N$8,B1333&gt;=NKC!$M$8),"x","")</f>
        <v/>
      </c>
    </row>
    <row r="1334" spans="1:25" s="208" customFormat="1" ht="15.75" customHeight="1">
      <c r="A1334" s="201" t="str">
        <f>IF(B1334&lt;&gt;"",IF(AND(B1334&gt;=_TM1,B1334&lt;=_TM2,OR(TH!L1334="1111",TH!M1334="1111")),TH!D1334,""),"")</f>
        <v/>
      </c>
      <c r="B1334" s="36">
        <f t="shared" si="63"/>
        <v>10</v>
      </c>
      <c r="C1334" s="188">
        <f t="shared" si="61"/>
        <v>41565</v>
      </c>
      <c r="D1334" s="188" t="s">
        <v>1260</v>
      </c>
      <c r="E1334" s="188">
        <v>41565</v>
      </c>
      <c r="F1334" s="189" t="s">
        <v>1209</v>
      </c>
      <c r="G1334" s="480" t="s">
        <v>939</v>
      </c>
      <c r="H1334" s="7" t="s">
        <v>1252</v>
      </c>
      <c r="I1334" s="249">
        <v>5</v>
      </c>
      <c r="J1334" s="249">
        <v>19910.05909888824</v>
      </c>
      <c r="K1334" s="595">
        <f t="shared" si="62"/>
        <v>99550</v>
      </c>
      <c r="L1334" s="39" t="s">
        <v>162</v>
      </c>
      <c r="M1334" s="596" t="s">
        <v>156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IF(OR(TH!L1334=TH!$U$7,M1334=TH!$U$7),"x","")</f>
        <v/>
      </c>
      <c r="V1334" s="52" t="str">
        <f>IF(AND(B1334&gt;='IN-NX'!$P$3,B1334&lt;='IN-NX'!$Q$3,'IN-NX'!$D$7=D1334,OR(LEFT(L1334,2)="15",AND(LEFT(M1334,2)&lt;&gt;"15",LEFT(M1334,2)&lt;&gt;"33"))),"x","")</f>
        <v/>
      </c>
      <c r="W1334" s="52" t="str">
        <f>IF(AND(OR(LEFT(TH!L1334,2)="15",LEFT(TH!M1334,2)="15"),'152-CT'!$J$8=TH!F1334),"x","")</f>
        <v/>
      </c>
      <c r="X1334" s="52" t="str">
        <f>IF(AND(OR(LEFT(TH!L1334,2)="15",LEFT(TH!M1334,2)="15"),TK!$E$7=TH!F1334),"x","")</f>
        <v/>
      </c>
      <c r="Y1334" s="52" t="str">
        <f>IF(AND(B1334&lt;=NKC!$N$8,B1334&gt;=NKC!$M$8),"x","")</f>
        <v/>
      </c>
    </row>
    <row r="1335" spans="1:25" s="208" customFormat="1" ht="15.75" customHeight="1">
      <c r="A1335" s="201" t="str">
        <f>IF(B1335&lt;&gt;"",IF(AND(B1335&gt;=_TM1,B1335&lt;=_TM2,OR(TH!L1335="1111",TH!M1335="1111")),TH!D1335,""),"")</f>
        <v/>
      </c>
      <c r="B1335" s="36">
        <f t="shared" si="63"/>
        <v>10</v>
      </c>
      <c r="C1335" s="188">
        <f t="shared" si="61"/>
        <v>41565</v>
      </c>
      <c r="D1335" s="188" t="s">
        <v>1260</v>
      </c>
      <c r="E1335" s="188">
        <v>41565</v>
      </c>
      <c r="F1335" s="189" t="s">
        <v>643</v>
      </c>
      <c r="G1335" s="480" t="s">
        <v>939</v>
      </c>
      <c r="H1335" s="7" t="s">
        <v>1252</v>
      </c>
      <c r="I1335" s="250">
        <v>15</v>
      </c>
      <c r="J1335" s="250">
        <v>9577</v>
      </c>
      <c r="K1335" s="595">
        <f t="shared" si="62"/>
        <v>143655</v>
      </c>
      <c r="L1335" s="39" t="s">
        <v>162</v>
      </c>
      <c r="M1335" s="596" t="s">
        <v>156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IF(OR(TH!L1335=TH!$U$7,M1335=TH!$U$7),"x","")</f>
        <v/>
      </c>
      <c r="V1335" s="52" t="str">
        <f>IF(AND(B1335&gt;='IN-NX'!$P$3,B1335&lt;='IN-NX'!$Q$3,'IN-NX'!$D$7=D1335,OR(LEFT(L1335,2)="15",AND(LEFT(M1335,2)&lt;&gt;"15",LEFT(M1335,2)&lt;&gt;"33"))),"x","")</f>
        <v/>
      </c>
      <c r="W1335" s="52" t="str">
        <f>IF(AND(OR(LEFT(TH!L1335,2)="15",LEFT(TH!M1335,2)="15"),'152-CT'!$J$8=TH!F1335),"x","")</f>
        <v/>
      </c>
      <c r="X1335" s="52" t="str">
        <f>IF(AND(OR(LEFT(TH!L1335,2)="15",LEFT(TH!M1335,2)="15"),TK!$E$7=TH!F1335),"x","")</f>
        <v/>
      </c>
      <c r="Y1335" s="52" t="str">
        <f>IF(AND(B1335&lt;=NKC!$N$8,B1335&gt;=NKC!$M$8),"x","")</f>
        <v/>
      </c>
    </row>
    <row r="1336" spans="1:25" s="208" customFormat="1" ht="15.75" customHeight="1">
      <c r="A1336" s="201" t="str">
        <f>IF(B1336&lt;&gt;"",IF(AND(B1336&gt;=_TM1,B1336&lt;=_TM2,OR(TH!L1336="1111",TH!M1336="1111")),TH!D1336,""),"")</f>
        <v/>
      </c>
      <c r="B1336" s="36">
        <f t="shared" si="63"/>
        <v>10</v>
      </c>
      <c r="C1336" s="188">
        <f t="shared" si="61"/>
        <v>41565</v>
      </c>
      <c r="D1336" s="188" t="s">
        <v>1260</v>
      </c>
      <c r="E1336" s="188">
        <v>41565</v>
      </c>
      <c r="F1336" s="189" t="s">
        <v>648</v>
      </c>
      <c r="G1336" s="480" t="s">
        <v>948</v>
      </c>
      <c r="H1336" s="7" t="s">
        <v>1252</v>
      </c>
      <c r="I1336" s="249">
        <v>20</v>
      </c>
      <c r="J1336" s="249">
        <v>18709</v>
      </c>
      <c r="K1336" s="595">
        <f t="shared" si="62"/>
        <v>374180</v>
      </c>
      <c r="L1336" s="39" t="s">
        <v>162</v>
      </c>
      <c r="M1336" s="596" t="s">
        <v>156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IF(OR(TH!L1336=TH!$U$7,M1336=TH!$U$7),"x","")</f>
        <v/>
      </c>
      <c r="V1336" s="52" t="str">
        <f>IF(AND(B1336&gt;='IN-NX'!$P$3,B1336&lt;='IN-NX'!$Q$3,'IN-NX'!$D$7=D1336,OR(LEFT(L1336,2)="15",AND(LEFT(M1336,2)&lt;&gt;"15",LEFT(M1336,2)&lt;&gt;"33"))),"x","")</f>
        <v/>
      </c>
      <c r="W1336" s="52" t="str">
        <f>IF(AND(OR(LEFT(TH!L1336,2)="15",LEFT(TH!M1336,2)="15"),'152-CT'!$J$8=TH!F1336),"x","")</f>
        <v/>
      </c>
      <c r="X1336" s="52" t="str">
        <f>IF(AND(OR(LEFT(TH!L1336,2)="15",LEFT(TH!M1336,2)="15"),TK!$E$7=TH!F1336),"x","")</f>
        <v/>
      </c>
      <c r="Y1336" s="52" t="str">
        <f>IF(AND(B1336&lt;=NKC!$N$8,B1336&gt;=NKC!$M$8),"x","")</f>
        <v/>
      </c>
    </row>
    <row r="1337" spans="1:25" s="208" customFormat="1" ht="15.75" customHeight="1">
      <c r="A1337" s="201" t="str">
        <f>IF(B1337&lt;&gt;"",IF(AND(B1337&gt;=_TM1,B1337&lt;=_TM2,OR(TH!L1337="1111",TH!M1337="1111")),TH!D1337,""),"")</f>
        <v/>
      </c>
      <c r="B1337" s="36">
        <f t="shared" si="63"/>
        <v>10</v>
      </c>
      <c r="C1337" s="188">
        <f t="shared" si="61"/>
        <v>41565</v>
      </c>
      <c r="D1337" s="188" t="s">
        <v>1260</v>
      </c>
      <c r="E1337" s="188">
        <v>41565</v>
      </c>
      <c r="F1337" s="189" t="s">
        <v>643</v>
      </c>
      <c r="G1337" s="480" t="s">
        <v>950</v>
      </c>
      <c r="H1337" s="7" t="s">
        <v>1252</v>
      </c>
      <c r="I1337" s="249">
        <v>60</v>
      </c>
      <c r="J1337" s="249">
        <v>9577</v>
      </c>
      <c r="K1337" s="595">
        <f t="shared" si="62"/>
        <v>574620</v>
      </c>
      <c r="L1337" s="39" t="s">
        <v>162</v>
      </c>
      <c r="M1337" s="596" t="s">
        <v>156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IF(OR(TH!L1337=TH!$U$7,M1337=TH!$U$7),"x","")</f>
        <v/>
      </c>
      <c r="V1337" s="52" t="str">
        <f>IF(AND(B1337&gt;='IN-NX'!$P$3,B1337&lt;='IN-NX'!$Q$3,'IN-NX'!$D$7=D1337,OR(LEFT(L1337,2)="15",AND(LEFT(M1337,2)&lt;&gt;"15",LEFT(M1337,2)&lt;&gt;"33"))),"x","")</f>
        <v/>
      </c>
      <c r="W1337" s="52" t="str">
        <f>IF(AND(OR(LEFT(TH!L1337,2)="15",LEFT(TH!M1337,2)="15"),'152-CT'!$J$8=TH!F1337),"x","")</f>
        <v/>
      </c>
      <c r="X1337" s="52" t="str">
        <f>IF(AND(OR(LEFT(TH!L1337,2)="15",LEFT(TH!M1337,2)="15"),TK!$E$7=TH!F1337),"x","")</f>
        <v/>
      </c>
      <c r="Y1337" s="52" t="str">
        <f>IF(AND(B1337&lt;=NKC!$N$8,B1337&gt;=NKC!$M$8),"x","")</f>
        <v/>
      </c>
    </row>
    <row r="1338" spans="1:25" s="208" customFormat="1" ht="15.75" customHeight="1">
      <c r="A1338" s="201" t="str">
        <f>IF(B1338&lt;&gt;"",IF(AND(B1338&gt;=_TM1,B1338&lt;=_TM2,OR(TH!L1338="1111",TH!M1338="1111")),TH!D1338,""),"")</f>
        <v/>
      </c>
      <c r="B1338" s="36">
        <f t="shared" si="63"/>
        <v>10</v>
      </c>
      <c r="C1338" s="188">
        <f t="shared" si="61"/>
        <v>41565</v>
      </c>
      <c r="D1338" s="188" t="s">
        <v>1260</v>
      </c>
      <c r="E1338" s="188">
        <v>41565</v>
      </c>
      <c r="F1338" s="189" t="s">
        <v>639</v>
      </c>
      <c r="G1338" s="480" t="s">
        <v>952</v>
      </c>
      <c r="H1338" s="7" t="s">
        <v>1252</v>
      </c>
      <c r="I1338" s="249">
        <v>51</v>
      </c>
      <c r="J1338" s="249">
        <v>10801</v>
      </c>
      <c r="K1338" s="595">
        <f t="shared" si="62"/>
        <v>550851</v>
      </c>
      <c r="L1338" s="39" t="s">
        <v>162</v>
      </c>
      <c r="M1338" s="596" t="s">
        <v>156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IF(OR(TH!L1338=TH!$U$7,M1338=TH!$U$7),"x","")</f>
        <v/>
      </c>
      <c r="V1338" s="52" t="str">
        <f>IF(AND(B1338&gt;='IN-NX'!$P$3,B1338&lt;='IN-NX'!$Q$3,'IN-NX'!$D$7=D1338,OR(LEFT(L1338,2)="15",AND(LEFT(M1338,2)&lt;&gt;"15",LEFT(M1338,2)&lt;&gt;"33"))),"x","")</f>
        <v/>
      </c>
      <c r="W1338" s="52" t="str">
        <f>IF(AND(OR(LEFT(TH!L1338,2)="15",LEFT(TH!M1338,2)="15"),'152-CT'!$J$8=TH!F1338),"x","")</f>
        <v/>
      </c>
      <c r="X1338" s="52" t="str">
        <f>IF(AND(OR(LEFT(TH!L1338,2)="15",LEFT(TH!M1338,2)="15"),TK!$E$7=TH!F1338),"x","")</f>
        <v/>
      </c>
      <c r="Y1338" s="52" t="str">
        <f>IF(AND(B1338&lt;=NKC!$N$8,B1338&gt;=NKC!$M$8),"x","")</f>
        <v/>
      </c>
    </row>
    <row r="1339" spans="1:25" s="208" customFormat="1" ht="15.75" customHeight="1">
      <c r="A1339" s="201" t="str">
        <f>IF(B1339&lt;&gt;"",IF(AND(B1339&gt;=_TM1,B1339&lt;=_TM2,OR(TH!L1339="1111",TH!M1339="1111")),TH!D1339,""),"")</f>
        <v/>
      </c>
      <c r="B1339" s="36">
        <f t="shared" si="63"/>
        <v>10</v>
      </c>
      <c r="C1339" s="188">
        <f t="shared" si="61"/>
        <v>41565</v>
      </c>
      <c r="D1339" s="188" t="s">
        <v>1260</v>
      </c>
      <c r="E1339" s="188">
        <v>41565</v>
      </c>
      <c r="F1339" s="189" t="s">
        <v>581</v>
      </c>
      <c r="G1339" s="480" t="s">
        <v>953</v>
      </c>
      <c r="H1339" s="7" t="s">
        <v>1252</v>
      </c>
      <c r="I1339" s="249">
        <v>33</v>
      </c>
      <c r="J1339" s="249">
        <v>7274</v>
      </c>
      <c r="K1339" s="595">
        <f t="shared" si="62"/>
        <v>240042</v>
      </c>
      <c r="L1339" s="39" t="s">
        <v>162</v>
      </c>
      <c r="M1339" s="596" t="s">
        <v>156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IF(OR(TH!L1339=TH!$U$7,M1339=TH!$U$7),"x","")</f>
        <v/>
      </c>
      <c r="V1339" s="52" t="str">
        <f>IF(AND(B1339&gt;='IN-NX'!$P$3,B1339&lt;='IN-NX'!$Q$3,'IN-NX'!$D$7=D1339,OR(LEFT(L1339,2)="15",AND(LEFT(M1339,2)&lt;&gt;"15",LEFT(M1339,2)&lt;&gt;"33"))),"x","")</f>
        <v/>
      </c>
      <c r="W1339" s="52" t="str">
        <f>IF(AND(OR(LEFT(TH!L1339,2)="15",LEFT(TH!M1339,2)="15"),'152-CT'!$J$8=TH!F1339),"x","")</f>
        <v/>
      </c>
      <c r="X1339" s="52" t="str">
        <f>IF(AND(OR(LEFT(TH!L1339,2)="15",LEFT(TH!M1339,2)="15"),TK!$E$7=TH!F1339),"x","")</f>
        <v/>
      </c>
      <c r="Y1339" s="52" t="str">
        <f>IF(AND(B1339&lt;=NKC!$N$8,B1339&gt;=NKC!$M$8),"x","")</f>
        <v/>
      </c>
    </row>
    <row r="1340" spans="1:25" s="208" customFormat="1" ht="15.75" customHeight="1">
      <c r="A1340" s="201" t="str">
        <f>IF(B1340&lt;&gt;"",IF(AND(B1340&gt;=_TM1,B1340&lt;=_TM2,OR(TH!L1340="1111",TH!M1340="1111")),TH!D1340,""),"")</f>
        <v/>
      </c>
      <c r="B1340" s="36">
        <f t="shared" si="63"/>
        <v>10</v>
      </c>
      <c r="C1340" s="188">
        <f t="shared" ref="C1340:C1403" si="64">E1340</f>
        <v>41565</v>
      </c>
      <c r="D1340" s="188" t="s">
        <v>1260</v>
      </c>
      <c r="E1340" s="188">
        <v>41565</v>
      </c>
      <c r="F1340" s="189" t="s">
        <v>608</v>
      </c>
      <c r="G1340" s="480" t="s">
        <v>611</v>
      </c>
      <c r="H1340" s="7" t="s">
        <v>1252</v>
      </c>
      <c r="I1340" s="249">
        <v>12</v>
      </c>
      <c r="J1340" s="249">
        <v>20420</v>
      </c>
      <c r="K1340" s="595">
        <f t="shared" ref="K1340:K1403" si="65">ROUND(I1340*J1340,0)</f>
        <v>245040</v>
      </c>
      <c r="L1340" s="39" t="s">
        <v>162</v>
      </c>
      <c r="M1340" s="596" t="s">
        <v>156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IF(OR(TH!L1340=TH!$U$7,M1340=TH!$U$7),"x","")</f>
        <v/>
      </c>
      <c r="V1340" s="52" t="str">
        <f>IF(AND(B1340&gt;='IN-NX'!$P$3,B1340&lt;='IN-NX'!$Q$3,'IN-NX'!$D$7=D1340,OR(LEFT(L1340,2)="15",AND(LEFT(M1340,2)&lt;&gt;"15",LEFT(M1340,2)&lt;&gt;"33"))),"x","")</f>
        <v/>
      </c>
      <c r="W1340" s="52" t="str">
        <f>IF(AND(OR(LEFT(TH!L1340,2)="15",LEFT(TH!M1340,2)="15"),'152-CT'!$J$8=TH!F1340),"x","")</f>
        <v/>
      </c>
      <c r="X1340" s="52" t="str">
        <f>IF(AND(OR(LEFT(TH!L1340,2)="15",LEFT(TH!M1340,2)="15"),TK!$E$7=TH!F1340),"x","")</f>
        <v/>
      </c>
      <c r="Y1340" s="52" t="str">
        <f>IF(AND(B1340&lt;=NKC!$N$8,B1340&gt;=NKC!$M$8),"x","")</f>
        <v/>
      </c>
    </row>
    <row r="1341" spans="1:25" s="208" customFormat="1" ht="15.75" customHeight="1">
      <c r="A1341" s="201" t="str">
        <f>IF(B1341&lt;&gt;"",IF(AND(B1341&gt;=_TM1,B1341&lt;=_TM2,OR(TH!L1341="1111",TH!M1341="1111")),TH!D1341,""),"")</f>
        <v/>
      </c>
      <c r="B1341" s="36">
        <f t="shared" si="63"/>
        <v>10</v>
      </c>
      <c r="C1341" s="188">
        <f t="shared" si="64"/>
        <v>41565</v>
      </c>
      <c r="D1341" s="188" t="s">
        <v>1260</v>
      </c>
      <c r="E1341" s="188">
        <v>41565</v>
      </c>
      <c r="F1341" s="189" t="s">
        <v>678</v>
      </c>
      <c r="G1341" s="480" t="s">
        <v>955</v>
      </c>
      <c r="H1341" s="7" t="s">
        <v>1252</v>
      </c>
      <c r="I1341" s="249">
        <v>16</v>
      </c>
      <c r="J1341" s="249">
        <v>15000</v>
      </c>
      <c r="K1341" s="595">
        <f t="shared" si="65"/>
        <v>240000</v>
      </c>
      <c r="L1341" s="39" t="s">
        <v>162</v>
      </c>
      <c r="M1341" s="596" t="s">
        <v>156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IF(OR(TH!L1341=TH!$U$7,M1341=TH!$U$7),"x","")</f>
        <v/>
      </c>
      <c r="V1341" s="52" t="str">
        <f>IF(AND(B1341&gt;='IN-NX'!$P$3,B1341&lt;='IN-NX'!$Q$3,'IN-NX'!$D$7=D1341,OR(LEFT(L1341,2)="15",AND(LEFT(M1341,2)&lt;&gt;"15",LEFT(M1341,2)&lt;&gt;"33"))),"x","")</f>
        <v/>
      </c>
      <c r="W1341" s="52" t="str">
        <f>IF(AND(OR(LEFT(TH!L1341,2)="15",LEFT(TH!M1341,2)="15"),'152-CT'!$J$8=TH!F1341),"x","")</f>
        <v/>
      </c>
      <c r="X1341" s="52" t="str">
        <f>IF(AND(OR(LEFT(TH!L1341,2)="15",LEFT(TH!M1341,2)="15"),TK!$E$7=TH!F1341),"x","")</f>
        <v/>
      </c>
      <c r="Y1341" s="52" t="str">
        <f>IF(AND(B1341&lt;=NKC!$N$8,B1341&gt;=NKC!$M$8),"x","")</f>
        <v/>
      </c>
    </row>
    <row r="1342" spans="1:25" s="208" customFormat="1" ht="15.75" customHeight="1">
      <c r="A1342" s="201" t="str">
        <f>IF(B1342&lt;&gt;"",IF(AND(B1342&gt;=_TM1,B1342&lt;=_TM2,OR(TH!L1342="1111",TH!M1342="1111")),TH!D1342,""),"")</f>
        <v/>
      </c>
      <c r="B1342" s="36">
        <f t="shared" si="63"/>
        <v>10</v>
      </c>
      <c r="C1342" s="188">
        <f t="shared" si="64"/>
        <v>41565</v>
      </c>
      <c r="D1342" s="188" t="s">
        <v>1260</v>
      </c>
      <c r="E1342" s="735">
        <v>41565</v>
      </c>
      <c r="F1342" s="186" t="s">
        <v>678</v>
      </c>
      <c r="G1342" s="40" t="s">
        <v>957</v>
      </c>
      <c r="H1342" s="7" t="s">
        <v>1252</v>
      </c>
      <c r="I1342" s="772">
        <v>13</v>
      </c>
      <c r="J1342" s="249">
        <v>15000</v>
      </c>
      <c r="K1342" s="595">
        <f t="shared" si="65"/>
        <v>195000</v>
      </c>
      <c r="L1342" s="39" t="s">
        <v>162</v>
      </c>
      <c r="M1342" s="596" t="s">
        <v>156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IF(OR(TH!L1342=TH!$U$7,M1342=TH!$U$7),"x","")</f>
        <v/>
      </c>
      <c r="V1342" s="52" t="str">
        <f>IF(AND(B1342&gt;='IN-NX'!$P$3,B1342&lt;='IN-NX'!$Q$3,'IN-NX'!$D$7=D1342,OR(LEFT(L1342,2)="15",AND(LEFT(M1342,2)&lt;&gt;"15",LEFT(M1342,2)&lt;&gt;"33"))),"x","")</f>
        <v/>
      </c>
      <c r="W1342" s="52" t="str">
        <f>IF(AND(OR(LEFT(TH!L1342,2)="15",LEFT(TH!M1342,2)="15"),'152-CT'!$J$8=TH!F1342),"x","")</f>
        <v/>
      </c>
      <c r="X1342" s="52" t="str">
        <f>IF(AND(OR(LEFT(TH!L1342,2)="15",LEFT(TH!M1342,2)="15"),TK!$E$7=TH!F1342),"x","")</f>
        <v/>
      </c>
      <c r="Y1342" s="52" t="str">
        <f>IF(AND(B1342&lt;=NKC!$N$8,B1342&gt;=NKC!$M$8),"x","")</f>
        <v/>
      </c>
    </row>
    <row r="1343" spans="1:25" s="208" customFormat="1" ht="15.75" customHeight="1">
      <c r="A1343" s="201" t="str">
        <f>IF(B1343&lt;&gt;"",IF(AND(B1343&gt;=_TM1,B1343&lt;=_TM2,OR(TH!L1343="1111",TH!M1343="1111")),TH!D1343,""),"")</f>
        <v/>
      </c>
      <c r="B1343" s="36">
        <f t="shared" si="63"/>
        <v>10</v>
      </c>
      <c r="C1343" s="188">
        <f t="shared" si="64"/>
        <v>41565</v>
      </c>
      <c r="D1343" s="188" t="s">
        <v>1260</v>
      </c>
      <c r="E1343" s="735">
        <v>41565</v>
      </c>
      <c r="F1343" s="186" t="s">
        <v>1219</v>
      </c>
      <c r="G1343" s="40" t="s">
        <v>959</v>
      </c>
      <c r="H1343" s="7" t="s">
        <v>1252</v>
      </c>
      <c r="I1343" s="249">
        <v>13</v>
      </c>
      <c r="J1343" s="249">
        <v>23028</v>
      </c>
      <c r="K1343" s="595">
        <f t="shared" si="65"/>
        <v>299364</v>
      </c>
      <c r="L1343" s="39" t="s">
        <v>162</v>
      </c>
      <c r="M1343" s="596" t="s">
        <v>156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IF(OR(TH!L1343=TH!$U$7,M1343=TH!$U$7),"x","")</f>
        <v/>
      </c>
      <c r="V1343" s="52" t="str">
        <f>IF(AND(B1343&gt;='IN-NX'!$P$3,B1343&lt;='IN-NX'!$Q$3,'IN-NX'!$D$7=D1343,OR(LEFT(L1343,2)="15",AND(LEFT(M1343,2)&lt;&gt;"15",LEFT(M1343,2)&lt;&gt;"33"))),"x","")</f>
        <v/>
      </c>
      <c r="W1343" s="52" t="str">
        <f>IF(AND(OR(LEFT(TH!L1343,2)="15",LEFT(TH!M1343,2)="15"),'152-CT'!$J$8=TH!F1343),"x","")</f>
        <v/>
      </c>
      <c r="X1343" s="52" t="str">
        <f>IF(AND(OR(LEFT(TH!L1343,2)="15",LEFT(TH!M1343,2)="15"),TK!$E$7=TH!F1343),"x","")</f>
        <v/>
      </c>
      <c r="Y1343" s="52" t="str">
        <f>IF(AND(B1343&lt;=NKC!$N$8,B1343&gt;=NKC!$M$8),"x","")</f>
        <v/>
      </c>
    </row>
    <row r="1344" spans="1:25" s="208" customFormat="1" ht="15.75" customHeight="1">
      <c r="A1344" s="201" t="str">
        <f>IF(B1344&lt;&gt;"",IF(AND(B1344&gt;=_TM1,B1344&lt;=_TM2,OR(TH!L1344="1111",TH!M1344="1111")),TH!D1344,""),"")</f>
        <v/>
      </c>
      <c r="B1344" s="36">
        <f t="shared" si="63"/>
        <v>10</v>
      </c>
      <c r="C1344" s="188">
        <f t="shared" si="64"/>
        <v>41565</v>
      </c>
      <c r="D1344" s="188" t="s">
        <v>1260</v>
      </c>
      <c r="E1344" s="735">
        <v>41565</v>
      </c>
      <c r="F1344" s="40" t="s">
        <v>617</v>
      </c>
      <c r="G1344" s="40" t="s">
        <v>950</v>
      </c>
      <c r="H1344" s="7" t="s">
        <v>1252</v>
      </c>
      <c r="I1344" s="249">
        <v>105</v>
      </c>
      <c r="J1344" s="249">
        <v>6600</v>
      </c>
      <c r="K1344" s="595">
        <f t="shared" si="65"/>
        <v>693000</v>
      </c>
      <c r="L1344" s="39" t="s">
        <v>162</v>
      </c>
      <c r="M1344" s="596" t="s">
        <v>156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IF(OR(TH!L1344=TH!$U$7,M1344=TH!$U$7),"x","")</f>
        <v/>
      </c>
      <c r="V1344" s="52" t="str">
        <f>IF(AND(B1344&gt;='IN-NX'!$P$3,B1344&lt;='IN-NX'!$Q$3,'IN-NX'!$D$7=D1344,OR(LEFT(L1344,2)="15",AND(LEFT(M1344,2)&lt;&gt;"15",LEFT(M1344,2)&lt;&gt;"33"))),"x","")</f>
        <v/>
      </c>
      <c r="W1344" s="52" t="str">
        <f>IF(AND(OR(LEFT(TH!L1344,2)="15",LEFT(TH!M1344,2)="15"),'152-CT'!$J$8=TH!F1344),"x","")</f>
        <v/>
      </c>
      <c r="X1344" s="52" t="str">
        <f>IF(AND(OR(LEFT(TH!L1344,2)="15",LEFT(TH!M1344,2)="15"),TK!$E$7=TH!F1344),"x","")</f>
        <v/>
      </c>
      <c r="Y1344" s="52" t="str">
        <f>IF(AND(B1344&lt;=NKC!$N$8,B1344&gt;=NKC!$M$8),"x","")</f>
        <v/>
      </c>
    </row>
    <row r="1345" spans="1:25" s="208" customFormat="1" ht="15.75" customHeight="1">
      <c r="A1345" s="201" t="str">
        <f>IF(B1345&lt;&gt;"",IF(AND(B1345&gt;=_TM1,B1345&lt;=_TM2,OR(TH!L1345="1111",TH!M1345="1111")),TH!D1345,""),"")</f>
        <v/>
      </c>
      <c r="B1345" s="36">
        <f t="shared" si="63"/>
        <v>10</v>
      </c>
      <c r="C1345" s="188">
        <f t="shared" si="64"/>
        <v>41565</v>
      </c>
      <c r="D1345" s="188" t="s">
        <v>1260</v>
      </c>
      <c r="E1345" s="735">
        <v>41565</v>
      </c>
      <c r="F1345" s="186" t="s">
        <v>1145</v>
      </c>
      <c r="G1345" s="40" t="s">
        <v>955</v>
      </c>
      <c r="H1345" s="7" t="s">
        <v>1252</v>
      </c>
      <c r="I1345" s="249">
        <v>50</v>
      </c>
      <c r="J1345" s="249">
        <v>32832</v>
      </c>
      <c r="K1345" s="595">
        <f t="shared" si="65"/>
        <v>1641600</v>
      </c>
      <c r="L1345" s="39" t="s">
        <v>162</v>
      </c>
      <c r="M1345" s="596" t="s">
        <v>156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IF(OR(TH!L1345=TH!$U$7,M1345=TH!$U$7),"x","")</f>
        <v/>
      </c>
      <c r="V1345" s="52" t="str">
        <f>IF(AND(B1345&gt;='IN-NX'!$P$3,B1345&lt;='IN-NX'!$Q$3,'IN-NX'!$D$7=D1345,OR(LEFT(L1345,2)="15",AND(LEFT(M1345,2)&lt;&gt;"15",LEFT(M1345,2)&lt;&gt;"33"))),"x","")</f>
        <v/>
      </c>
      <c r="W1345" s="52" t="str">
        <f>IF(AND(OR(LEFT(TH!L1345,2)="15",LEFT(TH!M1345,2)="15"),'152-CT'!$J$8=TH!F1345),"x","")</f>
        <v/>
      </c>
      <c r="X1345" s="52" t="str">
        <f>IF(AND(OR(LEFT(TH!L1345,2)="15",LEFT(TH!M1345,2)="15"),TK!$E$7=TH!F1345),"x","")</f>
        <v/>
      </c>
      <c r="Y1345" s="52" t="str">
        <f>IF(AND(B1345&lt;=NKC!$N$8,B1345&gt;=NKC!$M$8),"x","")</f>
        <v/>
      </c>
    </row>
    <row r="1346" spans="1:25" s="208" customFormat="1" ht="15.75" customHeight="1">
      <c r="A1346" s="201" t="str">
        <f>IF(B1346&lt;&gt;"",IF(AND(B1346&gt;=_TM1,B1346&lt;=_TM2,OR(TH!L1346="1111",TH!M1346="1111")),TH!D1346,""),"")</f>
        <v/>
      </c>
      <c r="B1346" s="36">
        <f t="shared" si="63"/>
        <v>10</v>
      </c>
      <c r="C1346" s="188">
        <f t="shared" si="64"/>
        <v>41565</v>
      </c>
      <c r="D1346" s="188" t="s">
        <v>1260</v>
      </c>
      <c r="E1346" s="735">
        <v>41565</v>
      </c>
      <c r="F1346" s="40" t="s">
        <v>605</v>
      </c>
      <c r="G1346" s="40" t="s">
        <v>955</v>
      </c>
      <c r="H1346" s="7" t="s">
        <v>1252</v>
      </c>
      <c r="I1346" s="249">
        <v>85</v>
      </c>
      <c r="J1346" s="249">
        <v>36234</v>
      </c>
      <c r="K1346" s="595">
        <f t="shared" si="65"/>
        <v>3079890</v>
      </c>
      <c r="L1346" s="39" t="s">
        <v>162</v>
      </c>
      <c r="M1346" s="596" t="s">
        <v>156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IF(OR(TH!L1346=TH!$U$7,M1346=TH!$U$7),"x","")</f>
        <v/>
      </c>
      <c r="V1346" s="52" t="str">
        <f>IF(AND(B1346&gt;='IN-NX'!$P$3,B1346&lt;='IN-NX'!$Q$3,'IN-NX'!$D$7=D1346,OR(LEFT(L1346,2)="15",AND(LEFT(M1346,2)&lt;&gt;"15",LEFT(M1346,2)&lt;&gt;"33"))),"x","")</f>
        <v/>
      </c>
      <c r="W1346" s="52" t="str">
        <f>IF(AND(OR(LEFT(TH!L1346,2)="15",LEFT(TH!M1346,2)="15"),'152-CT'!$J$8=TH!F1346),"x","")</f>
        <v/>
      </c>
      <c r="X1346" s="52" t="str">
        <f>IF(AND(OR(LEFT(TH!L1346,2)="15",LEFT(TH!M1346,2)="15"),TK!$E$7=TH!F1346),"x","")</f>
        <v/>
      </c>
      <c r="Y1346" s="52" t="str">
        <f>IF(AND(B1346&lt;=NKC!$N$8,B1346&gt;=NKC!$M$8),"x","")</f>
        <v/>
      </c>
    </row>
    <row r="1347" spans="1:25" s="208" customFormat="1" ht="15.75" customHeight="1">
      <c r="A1347" s="201" t="str">
        <f>IF(B1347&lt;&gt;"",IF(AND(B1347&gt;=_TM1,B1347&lt;=_TM2,OR(TH!L1347="1111",TH!M1347="1111")),TH!D1347,""),"")</f>
        <v/>
      </c>
      <c r="B1347" s="36">
        <f t="shared" si="63"/>
        <v>10</v>
      </c>
      <c r="C1347" s="188">
        <f t="shared" si="64"/>
        <v>41566</v>
      </c>
      <c r="D1347" s="188" t="s">
        <v>1260</v>
      </c>
      <c r="E1347" s="37">
        <v>41566</v>
      </c>
      <c r="F1347" s="40" t="s">
        <v>572</v>
      </c>
      <c r="G1347" s="40" t="s">
        <v>957</v>
      </c>
      <c r="H1347" s="7" t="s">
        <v>1252</v>
      </c>
      <c r="I1347" s="249">
        <v>336</v>
      </c>
      <c r="J1347" s="249">
        <v>20553</v>
      </c>
      <c r="K1347" s="595">
        <f t="shared" si="65"/>
        <v>6905808</v>
      </c>
      <c r="L1347" s="39" t="s">
        <v>162</v>
      </c>
      <c r="M1347" s="596" t="s">
        <v>156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IF(OR(TH!L1347=TH!$U$7,M1347=TH!$U$7),"x","")</f>
        <v/>
      </c>
      <c r="V1347" s="52" t="str">
        <f>IF(AND(B1347&gt;='IN-NX'!$P$3,B1347&lt;='IN-NX'!$Q$3,'IN-NX'!$D$7=D1347,OR(LEFT(L1347,2)="15",AND(LEFT(M1347,2)&lt;&gt;"15",LEFT(M1347,2)&lt;&gt;"33"))),"x","")</f>
        <v/>
      </c>
      <c r="W1347" s="52" t="str">
        <f>IF(AND(OR(LEFT(TH!L1347,2)="15",LEFT(TH!M1347,2)="15"),'152-CT'!$J$8=TH!F1347),"x","")</f>
        <v/>
      </c>
      <c r="X1347" s="52" t="str">
        <f>IF(AND(OR(LEFT(TH!L1347,2)="15",LEFT(TH!M1347,2)="15"),TK!$E$7=TH!F1347),"x","")</f>
        <v/>
      </c>
      <c r="Y1347" s="52" t="str">
        <f>IF(AND(B1347&lt;=NKC!$N$8,B1347&gt;=NKC!$M$8),"x","")</f>
        <v/>
      </c>
    </row>
    <row r="1348" spans="1:25" s="208" customFormat="1" ht="15.75" customHeight="1">
      <c r="A1348" s="201" t="str">
        <f>IF(B1348&lt;&gt;"",IF(AND(B1348&gt;=_TM1,B1348&lt;=_TM2,OR(TH!L1348="1111",TH!M1348="1111")),TH!D1348,""),"")</f>
        <v/>
      </c>
      <c r="B1348" s="36">
        <f t="shared" si="63"/>
        <v>10</v>
      </c>
      <c r="C1348" s="188">
        <f t="shared" si="64"/>
        <v>41568</v>
      </c>
      <c r="D1348" s="188" t="s">
        <v>1260</v>
      </c>
      <c r="E1348" s="37">
        <v>41568</v>
      </c>
      <c r="F1348" s="40" t="s">
        <v>1209</v>
      </c>
      <c r="G1348" s="40" t="s">
        <v>959</v>
      </c>
      <c r="H1348" s="7" t="s">
        <v>1252</v>
      </c>
      <c r="I1348" s="249">
        <v>25</v>
      </c>
      <c r="J1348" s="249">
        <v>19910.04</v>
      </c>
      <c r="K1348" s="595">
        <f t="shared" si="65"/>
        <v>497751</v>
      </c>
      <c r="L1348" s="39" t="s">
        <v>162</v>
      </c>
      <c r="M1348" s="596" t="s">
        <v>156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IF(OR(TH!L1348=TH!$U$7,M1348=TH!$U$7),"x","")</f>
        <v/>
      </c>
      <c r="V1348" s="52" t="str">
        <f>IF(AND(B1348&gt;='IN-NX'!$P$3,B1348&lt;='IN-NX'!$Q$3,'IN-NX'!$D$7=D1348,OR(LEFT(L1348,2)="15",AND(LEFT(M1348,2)&lt;&gt;"15",LEFT(M1348,2)&lt;&gt;"33"))),"x","")</f>
        <v/>
      </c>
      <c r="W1348" s="52" t="str">
        <f>IF(AND(OR(LEFT(TH!L1348,2)="15",LEFT(TH!M1348,2)="15"),'152-CT'!$J$8=TH!F1348),"x","")</f>
        <v/>
      </c>
      <c r="X1348" s="52" t="str">
        <f>IF(AND(OR(LEFT(TH!L1348,2)="15",LEFT(TH!M1348,2)="15"),TK!$E$7=TH!F1348),"x","")</f>
        <v/>
      </c>
      <c r="Y1348" s="52" t="str">
        <f>IF(AND(B1348&lt;=NKC!$N$8,B1348&gt;=NKC!$M$8),"x","")</f>
        <v/>
      </c>
    </row>
    <row r="1349" spans="1:25" s="208" customFormat="1" ht="15.75" customHeight="1">
      <c r="A1349" s="201" t="str">
        <f>IF(B1349&lt;&gt;"",IF(AND(B1349&gt;=_TM1,B1349&lt;=_TM2,OR(TH!L1349="1111",TH!M1349="1111")),TH!D1349,""),"")</f>
        <v/>
      </c>
      <c r="B1349" s="36">
        <f t="shared" si="63"/>
        <v>10</v>
      </c>
      <c r="C1349" s="188">
        <f t="shared" si="64"/>
        <v>41568</v>
      </c>
      <c r="D1349" s="188" t="s">
        <v>1260</v>
      </c>
      <c r="E1349" s="37">
        <v>41568</v>
      </c>
      <c r="F1349" s="40" t="s">
        <v>1166</v>
      </c>
      <c r="G1349" s="40" t="s">
        <v>959</v>
      </c>
      <c r="H1349" s="7" t="s">
        <v>1252</v>
      </c>
      <c r="I1349" s="249">
        <v>200</v>
      </c>
      <c r="J1349" s="249">
        <v>8165</v>
      </c>
      <c r="K1349" s="595">
        <f t="shared" si="65"/>
        <v>1633000</v>
      </c>
      <c r="L1349" s="39" t="s">
        <v>162</v>
      </c>
      <c r="M1349" s="596" t="s">
        <v>156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IF(OR(TH!L1349=TH!$U$7,M1349=TH!$U$7),"x","")</f>
        <v/>
      </c>
      <c r="V1349" s="52" t="str">
        <f>IF(AND(B1349&gt;='IN-NX'!$P$3,B1349&lt;='IN-NX'!$Q$3,'IN-NX'!$D$7=D1349,OR(LEFT(L1349,2)="15",AND(LEFT(M1349,2)&lt;&gt;"15",LEFT(M1349,2)&lt;&gt;"33"))),"x","")</f>
        <v/>
      </c>
      <c r="W1349" s="52" t="str">
        <f>IF(AND(OR(LEFT(TH!L1349,2)="15",LEFT(TH!M1349,2)="15"),'152-CT'!$J$8=TH!F1349),"x","")</f>
        <v/>
      </c>
      <c r="X1349" s="52" t="str">
        <f>IF(AND(OR(LEFT(TH!L1349,2)="15",LEFT(TH!M1349,2)="15"),TK!$E$7=TH!F1349),"x","")</f>
        <v/>
      </c>
      <c r="Y1349" s="52" t="str">
        <f>IF(AND(B1349&lt;=NKC!$N$8,B1349&gt;=NKC!$M$8),"x","")</f>
        <v/>
      </c>
    </row>
    <row r="1350" spans="1:25" s="208" customFormat="1" ht="15.75" customHeight="1">
      <c r="A1350" s="201" t="str">
        <f>IF(B1350&lt;&gt;"",IF(AND(B1350&gt;=_TM1,B1350&lt;=_TM2,OR(TH!L1350="1111",TH!M1350="1111")),TH!D1350,""),"")</f>
        <v/>
      </c>
      <c r="B1350" s="36">
        <f t="shared" si="63"/>
        <v>10</v>
      </c>
      <c r="C1350" s="188">
        <f t="shared" si="64"/>
        <v>41568</v>
      </c>
      <c r="D1350" s="188" t="s">
        <v>1260</v>
      </c>
      <c r="E1350" s="37">
        <v>41568</v>
      </c>
      <c r="F1350" s="40" t="s">
        <v>632</v>
      </c>
      <c r="G1350" s="40" t="s">
        <v>959</v>
      </c>
      <c r="H1350" s="7" t="s">
        <v>1252</v>
      </c>
      <c r="I1350" s="249">
        <v>100</v>
      </c>
      <c r="J1350" s="249">
        <v>11238</v>
      </c>
      <c r="K1350" s="595">
        <f t="shared" si="65"/>
        <v>1123800</v>
      </c>
      <c r="L1350" s="39" t="s">
        <v>162</v>
      </c>
      <c r="M1350" s="596" t="s">
        <v>156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IF(OR(TH!L1350=TH!$U$7,M1350=TH!$U$7),"x","")</f>
        <v/>
      </c>
      <c r="V1350" s="52" t="str">
        <f>IF(AND(B1350&gt;='IN-NX'!$P$3,B1350&lt;='IN-NX'!$Q$3,'IN-NX'!$D$7=D1350,OR(LEFT(L1350,2)="15",AND(LEFT(M1350,2)&lt;&gt;"15",LEFT(M1350,2)&lt;&gt;"33"))),"x","")</f>
        <v/>
      </c>
      <c r="W1350" s="52" t="str">
        <f>IF(AND(OR(LEFT(TH!L1350,2)="15",LEFT(TH!M1350,2)="15"),'152-CT'!$J$8=TH!F1350),"x","")</f>
        <v/>
      </c>
      <c r="X1350" s="52" t="str">
        <f>IF(AND(OR(LEFT(TH!L1350,2)="15",LEFT(TH!M1350,2)="15"),TK!$E$7=TH!F1350),"x","")</f>
        <v/>
      </c>
      <c r="Y1350" s="52" t="str">
        <f>IF(AND(B1350&lt;=NKC!$N$8,B1350&gt;=NKC!$M$8),"x","")</f>
        <v/>
      </c>
    </row>
    <row r="1351" spans="1:25" s="208" customFormat="1" ht="15.75" customHeight="1">
      <c r="A1351" s="201" t="str">
        <f>IF(B1351&lt;&gt;"",IF(AND(B1351&gt;=_TM1,B1351&lt;=_TM2,OR(TH!L1351="1111",TH!M1351="1111")),TH!D1351,""),"")</f>
        <v/>
      </c>
      <c r="B1351" s="36">
        <f t="shared" si="63"/>
        <v>10</v>
      </c>
      <c r="C1351" s="188">
        <f t="shared" si="64"/>
        <v>41568</v>
      </c>
      <c r="D1351" s="188" t="s">
        <v>1260</v>
      </c>
      <c r="E1351" s="37">
        <v>41568</v>
      </c>
      <c r="F1351" s="40" t="s">
        <v>657</v>
      </c>
      <c r="G1351" s="40" t="s">
        <v>962</v>
      </c>
      <c r="H1351" s="7" t="s">
        <v>1252</v>
      </c>
      <c r="I1351" s="249">
        <v>600</v>
      </c>
      <c r="J1351" s="249">
        <v>16000</v>
      </c>
      <c r="K1351" s="595">
        <f t="shared" si="65"/>
        <v>9600000</v>
      </c>
      <c r="L1351" s="39" t="s">
        <v>162</v>
      </c>
      <c r="M1351" s="596" t="s">
        <v>156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IF(OR(TH!L1351=TH!$U$7,M1351=TH!$U$7),"x","")</f>
        <v/>
      </c>
      <c r="V1351" s="52" t="str">
        <f>IF(AND(B1351&gt;='IN-NX'!$P$3,B1351&lt;='IN-NX'!$Q$3,'IN-NX'!$D$7=D1351,OR(LEFT(L1351,2)="15",AND(LEFT(M1351,2)&lt;&gt;"15",LEFT(M1351,2)&lt;&gt;"33"))),"x","")</f>
        <v/>
      </c>
      <c r="W1351" s="52" t="str">
        <f>IF(AND(OR(LEFT(TH!L1351,2)="15",LEFT(TH!M1351,2)="15"),'152-CT'!$J$8=TH!F1351),"x","")</f>
        <v/>
      </c>
      <c r="X1351" s="52" t="str">
        <f>IF(AND(OR(LEFT(TH!L1351,2)="15",LEFT(TH!M1351,2)="15"),TK!$E$7=TH!F1351),"x","")</f>
        <v/>
      </c>
      <c r="Y1351" s="52" t="str">
        <f>IF(AND(B1351&lt;=NKC!$N$8,B1351&gt;=NKC!$M$8),"x","")</f>
        <v/>
      </c>
    </row>
    <row r="1352" spans="1:25" s="208" customFormat="1" ht="15.75" customHeight="1">
      <c r="A1352" s="201" t="str">
        <f>IF(B1352&lt;&gt;"",IF(AND(B1352&gt;=_TM1,B1352&lt;=_TM2,OR(TH!L1352="1111",TH!M1352="1111")),TH!D1352,""),"")</f>
        <v/>
      </c>
      <c r="B1352" s="36">
        <f t="shared" si="63"/>
        <v>10</v>
      </c>
      <c r="C1352" s="188">
        <f t="shared" si="64"/>
        <v>41570</v>
      </c>
      <c r="D1352" s="188" t="s">
        <v>1260</v>
      </c>
      <c r="E1352" s="37">
        <v>41570</v>
      </c>
      <c r="F1352" s="40" t="s">
        <v>1209</v>
      </c>
      <c r="G1352" s="40" t="s">
        <v>963</v>
      </c>
      <c r="H1352" s="7" t="s">
        <v>1252</v>
      </c>
      <c r="I1352" s="249">
        <v>10</v>
      </c>
      <c r="J1352" s="249">
        <v>19910.04</v>
      </c>
      <c r="K1352" s="595">
        <f t="shared" si="65"/>
        <v>199100</v>
      </c>
      <c r="L1352" s="39" t="s">
        <v>162</v>
      </c>
      <c r="M1352" s="596" t="s">
        <v>156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IF(OR(TH!L1352=TH!$U$7,M1352=TH!$U$7),"x","")</f>
        <v/>
      </c>
      <c r="V1352" s="52" t="str">
        <f>IF(AND(B1352&gt;='IN-NX'!$P$3,B1352&lt;='IN-NX'!$Q$3,'IN-NX'!$D$7=D1352,OR(LEFT(L1352,2)="15",AND(LEFT(M1352,2)&lt;&gt;"15",LEFT(M1352,2)&lt;&gt;"33"))),"x","")</f>
        <v/>
      </c>
      <c r="W1352" s="52" t="str">
        <f>IF(AND(OR(LEFT(TH!L1352,2)="15",LEFT(TH!M1352,2)="15"),'152-CT'!$J$8=TH!F1352),"x","")</f>
        <v/>
      </c>
      <c r="X1352" s="52" t="str">
        <f>IF(AND(OR(LEFT(TH!L1352,2)="15",LEFT(TH!M1352,2)="15"),TK!$E$7=TH!F1352),"x","")</f>
        <v/>
      </c>
      <c r="Y1352" s="52" t="str">
        <f>IF(AND(B1352&lt;=NKC!$N$8,B1352&gt;=NKC!$M$8),"x","")</f>
        <v/>
      </c>
    </row>
    <row r="1353" spans="1:25" s="208" customFormat="1" ht="15.75" customHeight="1">
      <c r="A1353" s="201" t="str">
        <f>IF(B1353&lt;&gt;"",IF(AND(B1353&gt;=_TM1,B1353&lt;=_TM2,OR(TH!L1353="1111",TH!M1353="1111")),TH!D1353,""),"")</f>
        <v/>
      </c>
      <c r="B1353" s="36">
        <f t="shared" si="63"/>
        <v>10</v>
      </c>
      <c r="C1353" s="188">
        <f t="shared" si="64"/>
        <v>41570</v>
      </c>
      <c r="D1353" s="188" t="s">
        <v>1260</v>
      </c>
      <c r="E1353" s="37">
        <v>41570</v>
      </c>
      <c r="F1353" s="40" t="s">
        <v>675</v>
      </c>
      <c r="G1353" s="40" t="s">
        <v>963</v>
      </c>
      <c r="H1353" s="7" t="s">
        <v>1252</v>
      </c>
      <c r="I1353" s="249">
        <v>1000</v>
      </c>
      <c r="J1353" s="249">
        <v>9500</v>
      </c>
      <c r="K1353" s="595">
        <f t="shared" si="65"/>
        <v>9500000</v>
      </c>
      <c r="L1353" s="39" t="s">
        <v>162</v>
      </c>
      <c r="M1353" s="596" t="s">
        <v>156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IF(OR(TH!L1353=TH!$U$7,M1353=TH!$U$7),"x","")</f>
        <v/>
      </c>
      <c r="V1353" s="52" t="str">
        <f>IF(AND(B1353&gt;='IN-NX'!$P$3,B1353&lt;='IN-NX'!$Q$3,'IN-NX'!$D$7=D1353,OR(LEFT(L1353,2)="15",AND(LEFT(M1353,2)&lt;&gt;"15",LEFT(M1353,2)&lt;&gt;"33"))),"x","")</f>
        <v/>
      </c>
      <c r="W1353" s="52" t="str">
        <f>IF(AND(OR(LEFT(TH!L1353,2)="15",LEFT(TH!M1353,2)="15"),'152-CT'!$J$8=TH!F1353),"x","")</f>
        <v/>
      </c>
      <c r="X1353" s="52" t="str">
        <f>IF(AND(OR(LEFT(TH!L1353,2)="15",LEFT(TH!M1353,2)="15"),TK!$E$7=TH!F1353),"x","")</f>
        <v/>
      </c>
      <c r="Y1353" s="52" t="str">
        <f>IF(AND(B1353&lt;=NKC!$N$8,B1353&gt;=NKC!$M$8),"x","")</f>
        <v/>
      </c>
    </row>
    <row r="1354" spans="1:25" s="208" customFormat="1" ht="15.75" customHeight="1">
      <c r="A1354" s="201" t="str">
        <f>IF(B1354&lt;&gt;"",IF(AND(B1354&gt;=_TM1,B1354&lt;=_TM2,OR(TH!L1354="1111",TH!M1354="1111")),TH!D1354,""),"")</f>
        <v/>
      </c>
      <c r="B1354" s="36">
        <f t="shared" si="63"/>
        <v>10</v>
      </c>
      <c r="C1354" s="188">
        <f t="shared" si="64"/>
        <v>41574</v>
      </c>
      <c r="D1354" s="188" t="s">
        <v>1260</v>
      </c>
      <c r="E1354" s="37">
        <v>41574</v>
      </c>
      <c r="F1354" s="40" t="s">
        <v>599</v>
      </c>
      <c r="G1354" s="40" t="s">
        <v>964</v>
      </c>
      <c r="H1354" s="7" t="s">
        <v>1252</v>
      </c>
      <c r="I1354" s="249">
        <v>371</v>
      </c>
      <c r="J1354" s="249">
        <v>14784</v>
      </c>
      <c r="K1354" s="595">
        <f t="shared" si="65"/>
        <v>5484864</v>
      </c>
      <c r="L1354" s="39" t="s">
        <v>162</v>
      </c>
      <c r="M1354" s="596" t="s">
        <v>156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IF(OR(TH!L1354=TH!$U$7,M1354=TH!$U$7),"x","")</f>
        <v/>
      </c>
      <c r="V1354" s="52" t="str">
        <f>IF(AND(B1354&gt;='IN-NX'!$P$3,B1354&lt;='IN-NX'!$Q$3,'IN-NX'!$D$7=D1354,OR(LEFT(L1354,2)="15",AND(LEFT(M1354,2)&lt;&gt;"15",LEFT(M1354,2)&lt;&gt;"33"))),"x","")</f>
        <v/>
      </c>
      <c r="W1354" s="52" t="str">
        <f>IF(AND(OR(LEFT(TH!L1354,2)="15",LEFT(TH!M1354,2)="15"),'152-CT'!$J$8=TH!F1354),"x","")</f>
        <v/>
      </c>
      <c r="X1354" s="52" t="str">
        <f>IF(AND(OR(LEFT(TH!L1354,2)="15",LEFT(TH!M1354,2)="15"),TK!$E$7=TH!F1354),"x","")</f>
        <v/>
      </c>
      <c r="Y1354" s="52" t="str">
        <f>IF(AND(B1354&lt;=NKC!$N$8,B1354&gt;=NKC!$M$8),"x","")</f>
        <v/>
      </c>
    </row>
    <row r="1355" spans="1:25" s="208" customFormat="1" ht="15.75" customHeight="1">
      <c r="A1355" s="201" t="str">
        <f>IF(B1355&lt;&gt;"",IF(AND(B1355&gt;=_TM1,B1355&lt;=_TM2,OR(TH!L1355="1111",TH!M1355="1111")),TH!D1355,""),"")</f>
        <v/>
      </c>
      <c r="B1355" s="36">
        <f t="shared" si="63"/>
        <v>10</v>
      </c>
      <c r="C1355" s="188">
        <f t="shared" si="64"/>
        <v>41575</v>
      </c>
      <c r="D1355" s="188" t="s">
        <v>1260</v>
      </c>
      <c r="E1355" s="37">
        <v>41575</v>
      </c>
      <c r="F1355" s="40" t="s">
        <v>680</v>
      </c>
      <c r="G1355" s="40" t="s">
        <v>965</v>
      </c>
      <c r="H1355" s="7" t="s">
        <v>1252</v>
      </c>
      <c r="I1355" s="249">
        <v>1000</v>
      </c>
      <c r="J1355" s="249">
        <v>6760</v>
      </c>
      <c r="K1355" s="595">
        <f t="shared" si="65"/>
        <v>6760000</v>
      </c>
      <c r="L1355" s="39" t="s">
        <v>162</v>
      </c>
      <c r="M1355" s="596" t="s">
        <v>156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IF(OR(TH!L1355=TH!$U$7,M1355=TH!$U$7),"x","")</f>
        <v/>
      </c>
      <c r="V1355" s="52" t="str">
        <f>IF(AND(B1355&gt;='IN-NX'!$P$3,B1355&lt;='IN-NX'!$Q$3,'IN-NX'!$D$7=D1355,OR(LEFT(L1355,2)="15",AND(LEFT(M1355,2)&lt;&gt;"15",LEFT(M1355,2)&lt;&gt;"33"))),"x","")</f>
        <v/>
      </c>
      <c r="W1355" s="52" t="str">
        <f>IF(AND(OR(LEFT(TH!L1355,2)="15",LEFT(TH!M1355,2)="15"),'152-CT'!$J$8=TH!F1355),"x","")</f>
        <v/>
      </c>
      <c r="X1355" s="52" t="str">
        <f>IF(AND(OR(LEFT(TH!L1355,2)="15",LEFT(TH!M1355,2)="15"),TK!$E$7=TH!F1355),"x","")</f>
        <v/>
      </c>
      <c r="Y1355" s="52" t="str">
        <f>IF(AND(B1355&lt;=NKC!$N$8,B1355&gt;=NKC!$M$8),"x","")</f>
        <v/>
      </c>
    </row>
    <row r="1356" spans="1:25" s="208" customFormat="1" ht="15.75" customHeight="1">
      <c r="A1356" s="201" t="str">
        <f>IF(B1356&lt;&gt;"",IF(AND(B1356&gt;=_TM1,B1356&lt;=_TM2,OR(TH!L1356="1111",TH!M1356="1111")),TH!D1356,""),"")</f>
        <v/>
      </c>
      <c r="B1356" s="36">
        <f t="shared" si="63"/>
        <v>10</v>
      </c>
      <c r="C1356" s="188">
        <f t="shared" si="64"/>
        <v>41575</v>
      </c>
      <c r="D1356" s="188" t="s">
        <v>1260</v>
      </c>
      <c r="E1356" s="37">
        <v>41575</v>
      </c>
      <c r="F1356" s="40" t="s">
        <v>654</v>
      </c>
      <c r="G1356" s="40" t="s">
        <v>966</v>
      </c>
      <c r="H1356" s="7" t="s">
        <v>1252</v>
      </c>
      <c r="I1356" s="249">
        <v>400</v>
      </c>
      <c r="J1356" s="249">
        <v>8500</v>
      </c>
      <c r="K1356" s="595">
        <f t="shared" si="65"/>
        <v>3400000</v>
      </c>
      <c r="L1356" s="39" t="s">
        <v>162</v>
      </c>
      <c r="M1356" s="596" t="s">
        <v>156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IF(OR(TH!L1356=TH!$U$7,M1356=TH!$U$7),"x","")</f>
        <v/>
      </c>
      <c r="V1356" s="52" t="str">
        <f>IF(AND(B1356&gt;='IN-NX'!$P$3,B1356&lt;='IN-NX'!$Q$3,'IN-NX'!$D$7=D1356,OR(LEFT(L1356,2)="15",AND(LEFT(M1356,2)&lt;&gt;"15",LEFT(M1356,2)&lt;&gt;"33"))),"x","")</f>
        <v/>
      </c>
      <c r="W1356" s="52" t="str">
        <f>IF(AND(OR(LEFT(TH!L1356,2)="15",LEFT(TH!M1356,2)="15"),'152-CT'!$J$8=TH!F1356),"x","")</f>
        <v>x</v>
      </c>
      <c r="X1356" s="52" t="str">
        <f>IF(AND(OR(LEFT(TH!L1356,2)="15",LEFT(TH!M1356,2)="15"),TK!$E$7=TH!F1356),"x","")</f>
        <v/>
      </c>
      <c r="Y1356" s="52" t="str">
        <f>IF(AND(B1356&lt;=NKC!$N$8,B1356&gt;=NKC!$M$8),"x","")</f>
        <v/>
      </c>
    </row>
    <row r="1357" spans="1:25" s="208" customFormat="1" ht="15.75" customHeight="1">
      <c r="A1357" s="201" t="str">
        <f>IF(B1357&lt;&gt;"",IF(AND(B1357&gt;=_TM1,B1357&lt;=_TM2,OR(TH!L1357="1111",TH!M1357="1111")),TH!D1357,""),"")</f>
        <v/>
      </c>
      <c r="B1357" s="36">
        <f t="shared" si="63"/>
        <v>10</v>
      </c>
      <c r="C1357" s="188">
        <f t="shared" si="64"/>
        <v>41575</v>
      </c>
      <c r="D1357" s="188" t="s">
        <v>1260</v>
      </c>
      <c r="E1357" s="37">
        <v>41575</v>
      </c>
      <c r="F1357" s="40" t="s">
        <v>1192</v>
      </c>
      <c r="G1357" s="40" t="s">
        <v>967</v>
      </c>
      <c r="H1357" s="7" t="s">
        <v>1252</v>
      </c>
      <c r="I1357" s="249">
        <v>200</v>
      </c>
      <c r="J1357" s="249">
        <v>19950</v>
      </c>
      <c r="K1357" s="595">
        <f t="shared" si="65"/>
        <v>3990000</v>
      </c>
      <c r="L1357" s="39" t="s">
        <v>162</v>
      </c>
      <c r="M1357" s="596" t="s">
        <v>156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IF(OR(TH!L1357=TH!$U$7,M1357=TH!$U$7),"x","")</f>
        <v/>
      </c>
      <c r="V1357" s="52" t="str">
        <f>IF(AND(B1357&gt;='IN-NX'!$P$3,B1357&lt;='IN-NX'!$Q$3,'IN-NX'!$D$7=D1357,OR(LEFT(L1357,2)="15",AND(LEFT(M1357,2)&lt;&gt;"15",LEFT(M1357,2)&lt;&gt;"33"))),"x","")</f>
        <v/>
      </c>
      <c r="W1357" s="52" t="str">
        <f>IF(AND(OR(LEFT(TH!L1357,2)="15",LEFT(TH!M1357,2)="15"),'152-CT'!$J$8=TH!F1357),"x","")</f>
        <v/>
      </c>
      <c r="X1357" s="52" t="str">
        <f>IF(AND(OR(LEFT(TH!L1357,2)="15",LEFT(TH!M1357,2)="15"),TK!$E$7=TH!F1357),"x","")</f>
        <v/>
      </c>
      <c r="Y1357" s="52" t="str">
        <f>IF(AND(B1357&lt;=NKC!$N$8,B1357&gt;=NKC!$M$8),"x","")</f>
        <v/>
      </c>
    </row>
    <row r="1358" spans="1:25" s="208" customFormat="1" ht="15.75" customHeight="1">
      <c r="A1358" s="201" t="str">
        <f>IF(B1358&lt;&gt;"",IF(AND(B1358&gt;=_TM1,B1358&lt;=_TM2,OR(TH!L1358="1111",TH!M1358="1111")),TH!D1358,""),"")</f>
        <v/>
      </c>
      <c r="B1358" s="36">
        <f t="shared" si="63"/>
        <v>10</v>
      </c>
      <c r="C1358" s="188">
        <f t="shared" si="64"/>
        <v>41575</v>
      </c>
      <c r="D1358" s="188" t="s">
        <v>1260</v>
      </c>
      <c r="E1358" s="37">
        <v>41575</v>
      </c>
      <c r="F1358" s="40" t="s">
        <v>597</v>
      </c>
      <c r="G1358" s="40" t="s">
        <v>968</v>
      </c>
      <c r="H1358" s="7" t="s">
        <v>1252</v>
      </c>
      <c r="I1358" s="249">
        <v>292</v>
      </c>
      <c r="J1358" s="249">
        <v>8385</v>
      </c>
      <c r="K1358" s="595">
        <f t="shared" si="65"/>
        <v>2448420</v>
      </c>
      <c r="L1358" s="39" t="s">
        <v>162</v>
      </c>
      <c r="M1358" s="596" t="s">
        <v>156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IF(OR(TH!L1358=TH!$U$7,M1358=TH!$U$7),"x","")</f>
        <v/>
      </c>
      <c r="V1358" s="52" t="str">
        <f>IF(AND(B1358&gt;='IN-NX'!$P$3,B1358&lt;='IN-NX'!$Q$3,'IN-NX'!$D$7=D1358,OR(LEFT(L1358,2)="15",AND(LEFT(M1358,2)&lt;&gt;"15",LEFT(M1358,2)&lt;&gt;"33"))),"x","")</f>
        <v/>
      </c>
      <c r="W1358" s="52" t="str">
        <f>IF(AND(OR(LEFT(TH!L1358,2)="15",LEFT(TH!M1358,2)="15"),'152-CT'!$J$8=TH!F1358),"x","")</f>
        <v/>
      </c>
      <c r="X1358" s="52" t="str">
        <f>IF(AND(OR(LEFT(TH!L1358,2)="15",LEFT(TH!M1358,2)="15"),TK!$E$7=TH!F1358),"x","")</f>
        <v/>
      </c>
      <c r="Y1358" s="52" t="str">
        <f>IF(AND(B1358&lt;=NKC!$N$8,B1358&gt;=NKC!$M$8),"x","")</f>
        <v/>
      </c>
    </row>
    <row r="1359" spans="1:25" s="208" customFormat="1" ht="15.75" customHeight="1">
      <c r="A1359" s="201" t="str">
        <f>IF(B1359&lt;&gt;"",IF(AND(B1359&gt;=_TM1,B1359&lt;=_TM2,OR(TH!L1359="1111",TH!M1359="1111")),TH!D1359,""),"")</f>
        <v/>
      </c>
      <c r="B1359" s="36">
        <f t="shared" si="63"/>
        <v>11</v>
      </c>
      <c r="C1359" s="188">
        <f t="shared" si="64"/>
        <v>41579</v>
      </c>
      <c r="D1359" s="188" t="s">
        <v>1260</v>
      </c>
      <c r="E1359" s="37">
        <v>41579</v>
      </c>
      <c r="F1359" s="40" t="s">
        <v>657</v>
      </c>
      <c r="G1359" s="40" t="s">
        <v>969</v>
      </c>
      <c r="H1359" s="7" t="s">
        <v>1252</v>
      </c>
      <c r="I1359" s="249">
        <v>500</v>
      </c>
      <c r="J1359" s="249">
        <v>16000</v>
      </c>
      <c r="K1359" s="595">
        <f t="shared" si="65"/>
        <v>8000000</v>
      </c>
      <c r="L1359" s="39" t="s">
        <v>162</v>
      </c>
      <c r="M1359" s="596" t="s">
        <v>156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IF(OR(TH!L1359=TH!$U$7,M1359=TH!$U$7),"x","")</f>
        <v/>
      </c>
      <c r="V1359" s="52" t="str">
        <f>IF(AND(B1359&gt;='IN-NX'!$P$3,B1359&lt;='IN-NX'!$Q$3,'IN-NX'!$D$7=D1359,OR(LEFT(L1359,2)="15",AND(LEFT(M1359,2)&lt;&gt;"15",LEFT(M1359,2)&lt;&gt;"33"))),"x","")</f>
        <v/>
      </c>
      <c r="W1359" s="52" t="str">
        <f>IF(AND(OR(LEFT(TH!L1359,2)="15",LEFT(TH!M1359,2)="15"),'152-CT'!$J$8=TH!F1359),"x","")</f>
        <v/>
      </c>
      <c r="X1359" s="52" t="str">
        <f>IF(AND(OR(LEFT(TH!L1359,2)="15",LEFT(TH!M1359,2)="15"),TK!$E$7=TH!F1359),"x","")</f>
        <v/>
      </c>
      <c r="Y1359" s="52" t="str">
        <f>IF(AND(B1359&lt;=NKC!$N$8,B1359&gt;=NKC!$M$8),"x","")</f>
        <v/>
      </c>
    </row>
    <row r="1360" spans="1:25" s="208" customFormat="1" ht="15.75" customHeight="1">
      <c r="A1360" s="201" t="str">
        <f>IF(B1360&lt;&gt;"",IF(AND(B1360&gt;=_TM1,B1360&lt;=_TM2,OR(TH!L1360="1111",TH!M1360="1111")),TH!D1360,""),"")</f>
        <v/>
      </c>
      <c r="B1360" s="36">
        <f t="shared" si="63"/>
        <v>11</v>
      </c>
      <c r="C1360" s="188">
        <f t="shared" si="64"/>
        <v>41579</v>
      </c>
      <c r="D1360" s="188" t="s">
        <v>1260</v>
      </c>
      <c r="E1360" s="37">
        <v>41579</v>
      </c>
      <c r="F1360" s="40" t="s">
        <v>597</v>
      </c>
      <c r="G1360" s="40" t="s">
        <v>969</v>
      </c>
      <c r="H1360" s="7" t="s">
        <v>1252</v>
      </c>
      <c r="I1360" s="249">
        <v>50</v>
      </c>
      <c r="J1360" s="249">
        <v>8385</v>
      </c>
      <c r="K1360" s="595">
        <f t="shared" si="65"/>
        <v>419250</v>
      </c>
      <c r="L1360" s="39" t="s">
        <v>162</v>
      </c>
      <c r="M1360" s="596" t="s">
        <v>156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IF(OR(TH!L1360=TH!$U$7,M1360=TH!$U$7),"x","")</f>
        <v/>
      </c>
      <c r="V1360" s="52" t="str">
        <f>IF(AND(B1360&gt;='IN-NX'!$P$3,B1360&lt;='IN-NX'!$Q$3,'IN-NX'!$D$7=D1360,OR(LEFT(L1360,2)="15",AND(LEFT(M1360,2)&lt;&gt;"15",LEFT(M1360,2)&lt;&gt;"33"))),"x","")</f>
        <v/>
      </c>
      <c r="W1360" s="52" t="str">
        <f>IF(AND(OR(LEFT(TH!L1360,2)="15",LEFT(TH!M1360,2)="15"),'152-CT'!$J$8=TH!F1360),"x","")</f>
        <v/>
      </c>
      <c r="X1360" s="52" t="str">
        <f>IF(AND(OR(LEFT(TH!L1360,2)="15",LEFT(TH!M1360,2)="15"),TK!$E$7=TH!F1360),"x","")</f>
        <v/>
      </c>
      <c r="Y1360" s="52" t="str">
        <f>IF(AND(B1360&lt;=NKC!$N$8,B1360&gt;=NKC!$M$8),"x","")</f>
        <v/>
      </c>
    </row>
    <row r="1361" spans="1:25" s="208" customFormat="1" ht="15.75" customHeight="1">
      <c r="A1361" s="201" t="str">
        <f>IF(B1361&lt;&gt;"",IF(AND(B1361&gt;=_TM1,B1361&lt;=_TM2,OR(TH!L1361="1111",TH!M1361="1111")),TH!D1361,""),"")</f>
        <v/>
      </c>
      <c r="B1361" s="36">
        <f t="shared" si="63"/>
        <v>11</v>
      </c>
      <c r="C1361" s="188">
        <f t="shared" si="64"/>
        <v>41580</v>
      </c>
      <c r="D1361" s="188" t="s">
        <v>1260</v>
      </c>
      <c r="E1361" s="37">
        <v>41580</v>
      </c>
      <c r="F1361" s="40" t="s">
        <v>1249</v>
      </c>
      <c r="G1361" s="40" t="s">
        <v>971</v>
      </c>
      <c r="H1361" s="7" t="s">
        <v>1252</v>
      </c>
      <c r="I1361" s="249">
        <v>1000</v>
      </c>
      <c r="J1361" s="249">
        <v>4600</v>
      </c>
      <c r="K1361" s="595">
        <f t="shared" si="65"/>
        <v>4600000</v>
      </c>
      <c r="L1361" s="39" t="s">
        <v>162</v>
      </c>
      <c r="M1361" s="596" t="s">
        <v>156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IF(OR(TH!L1361=TH!$U$7,M1361=TH!$U$7),"x","")</f>
        <v/>
      </c>
      <c r="V1361" s="52" t="str">
        <f>IF(AND(B1361&gt;='IN-NX'!$P$3,B1361&lt;='IN-NX'!$Q$3,'IN-NX'!$D$7=D1361,OR(LEFT(L1361,2)="15",AND(LEFT(M1361,2)&lt;&gt;"15",LEFT(M1361,2)&lt;&gt;"33"))),"x","")</f>
        <v/>
      </c>
      <c r="W1361" s="52" t="str">
        <f>IF(AND(OR(LEFT(TH!L1361,2)="15",LEFT(TH!M1361,2)="15"),'152-CT'!$J$8=TH!F1361),"x","")</f>
        <v/>
      </c>
      <c r="X1361" s="52" t="str">
        <f>IF(AND(OR(LEFT(TH!L1361,2)="15",LEFT(TH!M1361,2)="15"),TK!$E$7=TH!F1361),"x","")</f>
        <v/>
      </c>
      <c r="Y1361" s="52" t="str">
        <f>IF(AND(B1361&lt;=NKC!$N$8,B1361&gt;=NKC!$M$8),"x","")</f>
        <v/>
      </c>
    </row>
    <row r="1362" spans="1:25" s="208" customFormat="1" ht="15.75" customHeight="1">
      <c r="A1362" s="201" t="str">
        <f>IF(B1362&lt;&gt;"",IF(AND(B1362&gt;=_TM1,B1362&lt;=_TM2,OR(TH!L1362="1111",TH!M1362="1111")),TH!D1362,""),"")</f>
        <v/>
      </c>
      <c r="B1362" s="36">
        <f t="shared" si="63"/>
        <v>11</v>
      </c>
      <c r="C1362" s="188">
        <f t="shared" si="64"/>
        <v>41581</v>
      </c>
      <c r="D1362" s="188" t="s">
        <v>1260</v>
      </c>
      <c r="E1362" s="37">
        <v>41581</v>
      </c>
      <c r="F1362" s="40" t="s">
        <v>657</v>
      </c>
      <c r="G1362" s="40" t="s">
        <v>972</v>
      </c>
      <c r="H1362" s="7" t="s">
        <v>1252</v>
      </c>
      <c r="I1362" s="249">
        <v>1100</v>
      </c>
      <c r="J1362" s="249">
        <v>16000</v>
      </c>
      <c r="K1362" s="595">
        <f t="shared" si="65"/>
        <v>17600000</v>
      </c>
      <c r="L1362" s="39" t="s">
        <v>162</v>
      </c>
      <c r="M1362" s="596" t="s">
        <v>156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IF(OR(TH!L1362=TH!$U$7,M1362=TH!$U$7),"x","")</f>
        <v/>
      </c>
      <c r="V1362" s="52" t="str">
        <f>IF(AND(B1362&gt;='IN-NX'!$P$3,B1362&lt;='IN-NX'!$Q$3,'IN-NX'!$D$7=D1362,OR(LEFT(L1362,2)="15",AND(LEFT(M1362,2)&lt;&gt;"15",LEFT(M1362,2)&lt;&gt;"33"))),"x","")</f>
        <v/>
      </c>
      <c r="W1362" s="52" t="str">
        <f>IF(AND(OR(LEFT(TH!L1362,2)="15",LEFT(TH!M1362,2)="15"),'152-CT'!$J$8=TH!F1362),"x","")</f>
        <v/>
      </c>
      <c r="X1362" s="52" t="str">
        <f>IF(AND(OR(LEFT(TH!L1362,2)="15",LEFT(TH!M1362,2)="15"),TK!$E$7=TH!F1362),"x","")</f>
        <v/>
      </c>
      <c r="Y1362" s="52" t="str">
        <f>IF(AND(B1362&lt;=NKC!$N$8,B1362&gt;=NKC!$M$8),"x","")</f>
        <v/>
      </c>
    </row>
    <row r="1363" spans="1:25" s="208" customFormat="1" ht="15.75" customHeight="1">
      <c r="A1363" s="201" t="str">
        <f>IF(B1363&lt;&gt;"",IF(AND(B1363&gt;=_TM1,B1363&lt;=_TM2,OR(TH!L1363="1111",TH!M1363="1111")),TH!D1363,""),"")</f>
        <v/>
      </c>
      <c r="B1363" s="36">
        <f t="shared" si="63"/>
        <v>11</v>
      </c>
      <c r="C1363" s="188">
        <f t="shared" si="64"/>
        <v>41583</v>
      </c>
      <c r="D1363" s="188" t="s">
        <v>1260</v>
      </c>
      <c r="E1363" s="188">
        <v>41583</v>
      </c>
      <c r="F1363" s="189" t="s">
        <v>1198</v>
      </c>
      <c r="G1363" s="480" t="s">
        <v>616</v>
      </c>
      <c r="H1363" s="7" t="s">
        <v>1252</v>
      </c>
      <c r="I1363" s="249">
        <v>50</v>
      </c>
      <c r="J1363" s="249">
        <v>22301</v>
      </c>
      <c r="K1363" s="595">
        <f t="shared" si="65"/>
        <v>1115050</v>
      </c>
      <c r="L1363" s="39" t="s">
        <v>162</v>
      </c>
      <c r="M1363" s="596" t="s">
        <v>156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IF(OR(TH!L1363=TH!$U$7,M1363=TH!$U$7),"x","")</f>
        <v/>
      </c>
      <c r="V1363" s="52" t="str">
        <f>IF(AND(B1363&gt;='IN-NX'!$P$3,B1363&lt;='IN-NX'!$Q$3,'IN-NX'!$D$7=D1363,OR(LEFT(L1363,2)="15",AND(LEFT(M1363,2)&lt;&gt;"15",LEFT(M1363,2)&lt;&gt;"33"))),"x","")</f>
        <v/>
      </c>
      <c r="W1363" s="52" t="str">
        <f>IF(AND(OR(LEFT(TH!L1363,2)="15",LEFT(TH!M1363,2)="15"),'152-CT'!$J$8=TH!F1363),"x","")</f>
        <v/>
      </c>
      <c r="X1363" s="52" t="str">
        <f>IF(AND(OR(LEFT(TH!L1363,2)="15",LEFT(TH!M1363,2)="15"),TK!$E$7=TH!F1363),"x","")</f>
        <v/>
      </c>
      <c r="Y1363" s="52" t="str">
        <f>IF(AND(B1363&lt;=NKC!$N$8,B1363&gt;=NKC!$M$8),"x","")</f>
        <v/>
      </c>
    </row>
    <row r="1364" spans="1:25" s="208" customFormat="1" ht="15.75" customHeight="1">
      <c r="A1364" s="201" t="str">
        <f>IF(B1364&lt;&gt;"",IF(AND(B1364&gt;=_TM1,B1364&lt;=_TM2,OR(TH!L1364="1111",TH!M1364="1111")),TH!D1364,""),"")</f>
        <v/>
      </c>
      <c r="B1364" s="36">
        <f t="shared" si="63"/>
        <v>11</v>
      </c>
      <c r="C1364" s="188">
        <f t="shared" si="64"/>
        <v>41583</v>
      </c>
      <c r="D1364" s="188" t="s">
        <v>1260</v>
      </c>
      <c r="E1364" s="188">
        <v>41583</v>
      </c>
      <c r="F1364" s="189" t="s">
        <v>648</v>
      </c>
      <c r="G1364" s="480" t="s">
        <v>616</v>
      </c>
      <c r="H1364" s="7" t="s">
        <v>1252</v>
      </c>
      <c r="I1364" s="249">
        <v>160</v>
      </c>
      <c r="J1364" s="249">
        <v>18709</v>
      </c>
      <c r="K1364" s="595">
        <f t="shared" si="65"/>
        <v>2993440</v>
      </c>
      <c r="L1364" s="39" t="s">
        <v>162</v>
      </c>
      <c r="M1364" s="596" t="s">
        <v>156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IF(OR(TH!L1364=TH!$U$7,M1364=TH!$U$7),"x","")</f>
        <v/>
      </c>
      <c r="V1364" s="52" t="str">
        <f>IF(AND(B1364&gt;='IN-NX'!$P$3,B1364&lt;='IN-NX'!$Q$3,'IN-NX'!$D$7=D1364,OR(LEFT(L1364,2)="15",AND(LEFT(M1364,2)&lt;&gt;"15",LEFT(M1364,2)&lt;&gt;"33"))),"x","")</f>
        <v/>
      </c>
      <c r="W1364" s="52" t="str">
        <f>IF(AND(OR(LEFT(TH!L1364,2)="15",LEFT(TH!M1364,2)="15"),'152-CT'!$J$8=TH!F1364),"x","")</f>
        <v/>
      </c>
      <c r="X1364" s="52" t="str">
        <f>IF(AND(OR(LEFT(TH!L1364,2)="15",LEFT(TH!M1364,2)="15"),TK!$E$7=TH!F1364),"x","")</f>
        <v/>
      </c>
      <c r="Y1364" s="52" t="str">
        <f>IF(AND(B1364&lt;=NKC!$N$8,B1364&gt;=NKC!$M$8),"x","")</f>
        <v/>
      </c>
    </row>
    <row r="1365" spans="1:25" s="208" customFormat="1" ht="15.75" customHeight="1">
      <c r="A1365" s="201" t="str">
        <f>IF(B1365&lt;&gt;"",IF(AND(B1365&gt;=_TM1,B1365&lt;=_TM2,OR(TH!L1365="1111",TH!M1365="1111")),TH!D1365,""),"")</f>
        <v/>
      </c>
      <c r="B1365" s="36">
        <f t="shared" si="63"/>
        <v>11</v>
      </c>
      <c r="C1365" s="188">
        <f t="shared" si="64"/>
        <v>41583</v>
      </c>
      <c r="D1365" s="188" t="s">
        <v>1260</v>
      </c>
      <c r="E1365" s="188">
        <v>41583</v>
      </c>
      <c r="F1365" s="189" t="s">
        <v>620</v>
      </c>
      <c r="G1365" s="480" t="s">
        <v>974</v>
      </c>
      <c r="H1365" s="7" t="s">
        <v>1252</v>
      </c>
      <c r="I1365" s="249">
        <v>50</v>
      </c>
      <c r="J1365" s="249">
        <v>24098</v>
      </c>
      <c r="K1365" s="595">
        <f t="shared" si="65"/>
        <v>1204900</v>
      </c>
      <c r="L1365" s="39" t="s">
        <v>162</v>
      </c>
      <c r="M1365" s="596" t="s">
        <v>156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IF(OR(TH!L1365=TH!$U$7,M1365=TH!$U$7),"x","")</f>
        <v/>
      </c>
      <c r="V1365" s="52" t="str">
        <f>IF(AND(B1365&gt;='IN-NX'!$P$3,B1365&lt;='IN-NX'!$Q$3,'IN-NX'!$D$7=D1365,OR(LEFT(L1365,2)="15",AND(LEFT(M1365,2)&lt;&gt;"15",LEFT(M1365,2)&lt;&gt;"33"))),"x","")</f>
        <v/>
      </c>
      <c r="W1365" s="52" t="str">
        <f>IF(AND(OR(LEFT(TH!L1365,2)="15",LEFT(TH!M1365,2)="15"),'152-CT'!$J$8=TH!F1365),"x","")</f>
        <v/>
      </c>
      <c r="X1365" s="52" t="str">
        <f>IF(AND(OR(LEFT(TH!L1365,2)="15",LEFT(TH!M1365,2)="15"),TK!$E$7=TH!F1365),"x","")</f>
        <v/>
      </c>
      <c r="Y1365" s="52" t="str">
        <f>IF(AND(B1365&lt;=NKC!$N$8,B1365&gt;=NKC!$M$8),"x","")</f>
        <v/>
      </c>
    </row>
    <row r="1366" spans="1:25" s="208" customFormat="1" ht="15.75" customHeight="1">
      <c r="A1366" s="201" t="str">
        <f>IF(B1366&lt;&gt;"",IF(AND(B1366&gt;=_TM1,B1366&lt;=_TM2,OR(TH!L1366="1111",TH!M1366="1111")),TH!D1366,""),"")</f>
        <v/>
      </c>
      <c r="B1366" s="36">
        <f t="shared" ref="B1366:B1429" si="66">IF(C1366&lt;&gt;"",MONTH(C1366),"")</f>
        <v>11</v>
      </c>
      <c r="C1366" s="188">
        <f t="shared" si="64"/>
        <v>41583</v>
      </c>
      <c r="D1366" s="188" t="s">
        <v>1260</v>
      </c>
      <c r="E1366" s="188">
        <v>41583</v>
      </c>
      <c r="F1366" s="189" t="s">
        <v>633</v>
      </c>
      <c r="G1366" s="480" t="s">
        <v>974</v>
      </c>
      <c r="H1366" s="7" t="s">
        <v>1252</v>
      </c>
      <c r="I1366" s="249">
        <v>100</v>
      </c>
      <c r="J1366" s="249">
        <v>12629</v>
      </c>
      <c r="K1366" s="595">
        <f t="shared" si="65"/>
        <v>1262900</v>
      </c>
      <c r="L1366" s="39" t="s">
        <v>162</v>
      </c>
      <c r="M1366" s="596" t="s">
        <v>156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IF(OR(TH!L1366=TH!$U$7,M1366=TH!$U$7),"x","")</f>
        <v/>
      </c>
      <c r="V1366" s="52" t="str">
        <f>IF(AND(B1366&gt;='IN-NX'!$P$3,B1366&lt;='IN-NX'!$Q$3,'IN-NX'!$D$7=D1366,OR(LEFT(L1366,2)="15",AND(LEFT(M1366,2)&lt;&gt;"15",LEFT(M1366,2)&lt;&gt;"33"))),"x","")</f>
        <v/>
      </c>
      <c r="W1366" s="52" t="str">
        <f>IF(AND(OR(LEFT(TH!L1366,2)="15",LEFT(TH!M1366,2)="15"),'152-CT'!$J$8=TH!F1366),"x","")</f>
        <v/>
      </c>
      <c r="X1366" s="52" t="str">
        <f>IF(AND(OR(LEFT(TH!L1366,2)="15",LEFT(TH!M1366,2)="15"),TK!$E$7=TH!F1366),"x","")</f>
        <v/>
      </c>
      <c r="Y1366" s="52" t="str">
        <f>IF(AND(B1366&lt;=NKC!$N$8,B1366&gt;=NKC!$M$8),"x","")</f>
        <v/>
      </c>
    </row>
    <row r="1367" spans="1:25" s="208" customFormat="1" ht="15.75" customHeight="1">
      <c r="A1367" s="201" t="str">
        <f>IF(B1367&lt;&gt;"",IF(AND(B1367&gt;=_TM1,B1367&lt;=_TM2,OR(TH!L1367="1111",TH!M1367="1111")),TH!D1367,""),"")</f>
        <v/>
      </c>
      <c r="B1367" s="36">
        <f t="shared" si="66"/>
        <v>11</v>
      </c>
      <c r="C1367" s="188">
        <f t="shared" si="64"/>
        <v>41583</v>
      </c>
      <c r="D1367" s="188" t="s">
        <v>1260</v>
      </c>
      <c r="E1367" s="188">
        <v>41583</v>
      </c>
      <c r="F1367" s="189" t="s">
        <v>586</v>
      </c>
      <c r="G1367" s="480" t="s">
        <v>974</v>
      </c>
      <c r="H1367" s="7" t="s">
        <v>1252</v>
      </c>
      <c r="I1367" s="249">
        <v>149</v>
      </c>
      <c r="J1367" s="249">
        <v>12010</v>
      </c>
      <c r="K1367" s="595">
        <f t="shared" si="65"/>
        <v>1789490</v>
      </c>
      <c r="L1367" s="39" t="s">
        <v>162</v>
      </c>
      <c r="M1367" s="596" t="s">
        <v>156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IF(OR(TH!L1367=TH!$U$7,M1367=TH!$U$7),"x","")</f>
        <v/>
      </c>
      <c r="V1367" s="52" t="str">
        <f>IF(AND(B1367&gt;='IN-NX'!$P$3,B1367&lt;='IN-NX'!$Q$3,'IN-NX'!$D$7=D1367,OR(LEFT(L1367,2)="15",AND(LEFT(M1367,2)&lt;&gt;"15",LEFT(M1367,2)&lt;&gt;"33"))),"x","")</f>
        <v/>
      </c>
      <c r="W1367" s="52" t="str">
        <f>IF(AND(OR(LEFT(TH!L1367,2)="15",LEFT(TH!M1367,2)="15"),'152-CT'!$J$8=TH!F1367),"x","")</f>
        <v/>
      </c>
      <c r="X1367" s="52" t="str">
        <f>IF(AND(OR(LEFT(TH!L1367,2)="15",LEFT(TH!M1367,2)="15"),TK!$E$7=TH!F1367),"x","")</f>
        <v/>
      </c>
      <c r="Y1367" s="52" t="str">
        <f>IF(AND(B1367&lt;=NKC!$N$8,B1367&gt;=NKC!$M$8),"x","")</f>
        <v/>
      </c>
    </row>
    <row r="1368" spans="1:25" s="208" customFormat="1" ht="15.75" customHeight="1">
      <c r="A1368" s="201" t="str">
        <f>IF(B1368&lt;&gt;"",IF(AND(B1368&gt;=_TM1,B1368&lt;=_TM2,OR(TH!L1368="1111",TH!M1368="1111")),TH!D1368,""),"")</f>
        <v/>
      </c>
      <c r="B1368" s="36">
        <f t="shared" si="66"/>
        <v>11</v>
      </c>
      <c r="C1368" s="188">
        <f t="shared" si="64"/>
        <v>41588</v>
      </c>
      <c r="D1368" s="188" t="s">
        <v>1260</v>
      </c>
      <c r="E1368" s="188">
        <v>41588</v>
      </c>
      <c r="F1368" s="186" t="s">
        <v>654</v>
      </c>
      <c r="G1368" s="480" t="s">
        <v>978</v>
      </c>
      <c r="H1368" s="7" t="s">
        <v>1252</v>
      </c>
      <c r="I1368" s="249">
        <v>400</v>
      </c>
      <c r="J1368" s="249">
        <v>8500</v>
      </c>
      <c r="K1368" s="595">
        <f t="shared" si="65"/>
        <v>3400000</v>
      </c>
      <c r="L1368" s="39" t="s">
        <v>162</v>
      </c>
      <c r="M1368" s="596" t="s">
        <v>156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IF(OR(TH!L1368=TH!$U$7,M1368=TH!$U$7),"x","")</f>
        <v/>
      </c>
      <c r="V1368" s="52" t="str">
        <f>IF(AND(B1368&gt;='IN-NX'!$P$3,B1368&lt;='IN-NX'!$Q$3,'IN-NX'!$D$7=D1368,OR(LEFT(L1368,2)="15",AND(LEFT(M1368,2)&lt;&gt;"15",LEFT(M1368,2)&lt;&gt;"33"))),"x","")</f>
        <v/>
      </c>
      <c r="W1368" s="52" t="str">
        <f>IF(AND(OR(LEFT(TH!L1368,2)="15",LEFT(TH!M1368,2)="15"),'152-CT'!$J$8=TH!F1368),"x","")</f>
        <v>x</v>
      </c>
      <c r="X1368" s="52" t="str">
        <f>IF(AND(OR(LEFT(TH!L1368,2)="15",LEFT(TH!M1368,2)="15"),TK!$E$7=TH!F1368),"x","")</f>
        <v/>
      </c>
      <c r="Y1368" s="52" t="str">
        <f>IF(AND(B1368&lt;=NKC!$N$8,B1368&gt;=NKC!$M$8),"x","")</f>
        <v/>
      </c>
    </row>
    <row r="1369" spans="1:25" s="208" customFormat="1" ht="15.75" customHeight="1">
      <c r="A1369" s="201" t="str">
        <f>IF(B1369&lt;&gt;"",IF(AND(B1369&gt;=_TM1,B1369&lt;=_TM2,OR(TH!L1369="1111",TH!M1369="1111")),TH!D1369,""),"")</f>
        <v/>
      </c>
      <c r="B1369" s="36">
        <f t="shared" si="66"/>
        <v>11</v>
      </c>
      <c r="C1369" s="188">
        <f t="shared" si="64"/>
        <v>41589</v>
      </c>
      <c r="D1369" s="188" t="s">
        <v>1260</v>
      </c>
      <c r="E1369" s="188">
        <v>41589</v>
      </c>
      <c r="F1369" s="189" t="s">
        <v>678</v>
      </c>
      <c r="G1369" s="480" t="s">
        <v>979</v>
      </c>
      <c r="H1369" s="7" t="s">
        <v>1252</v>
      </c>
      <c r="I1369" s="249">
        <v>500</v>
      </c>
      <c r="J1369" s="249">
        <v>15000</v>
      </c>
      <c r="K1369" s="595">
        <f t="shared" si="65"/>
        <v>7500000</v>
      </c>
      <c r="L1369" s="39" t="s">
        <v>162</v>
      </c>
      <c r="M1369" s="596" t="s">
        <v>156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IF(OR(TH!L1369=TH!$U$7,M1369=TH!$U$7),"x","")</f>
        <v/>
      </c>
      <c r="V1369" s="52" t="str">
        <f>IF(AND(B1369&gt;='IN-NX'!$P$3,B1369&lt;='IN-NX'!$Q$3,'IN-NX'!$D$7=D1369,OR(LEFT(L1369,2)="15",AND(LEFT(M1369,2)&lt;&gt;"15",LEFT(M1369,2)&lt;&gt;"33"))),"x","")</f>
        <v/>
      </c>
      <c r="W1369" s="52" t="str">
        <f>IF(AND(OR(LEFT(TH!L1369,2)="15",LEFT(TH!M1369,2)="15"),'152-CT'!$J$8=TH!F1369),"x","")</f>
        <v/>
      </c>
      <c r="X1369" s="52" t="str">
        <f>IF(AND(OR(LEFT(TH!L1369,2)="15",LEFT(TH!M1369,2)="15"),TK!$E$7=TH!F1369),"x","")</f>
        <v/>
      </c>
      <c r="Y1369" s="52" t="str">
        <f>IF(AND(B1369&lt;=NKC!$N$8,B1369&gt;=NKC!$M$8),"x","")</f>
        <v/>
      </c>
    </row>
    <row r="1370" spans="1:25" s="208" customFormat="1" ht="15.75" customHeight="1">
      <c r="A1370" s="201" t="str">
        <f>IF(B1370&lt;&gt;"",IF(AND(B1370&gt;=_TM1,B1370&lt;=_TM2,OR(TH!L1370="1111",TH!M1370="1111")),TH!D1370,""),"")</f>
        <v/>
      </c>
      <c r="B1370" s="36">
        <f t="shared" si="66"/>
        <v>11</v>
      </c>
      <c r="C1370" s="188">
        <f t="shared" si="64"/>
        <v>41589</v>
      </c>
      <c r="D1370" s="188" t="s">
        <v>1260</v>
      </c>
      <c r="E1370" s="188">
        <v>41589</v>
      </c>
      <c r="F1370" s="189" t="s">
        <v>654</v>
      </c>
      <c r="G1370" s="480" t="s">
        <v>980</v>
      </c>
      <c r="H1370" s="7" t="s">
        <v>1252</v>
      </c>
      <c r="I1370" s="249">
        <v>500</v>
      </c>
      <c r="J1370" s="249">
        <v>8500</v>
      </c>
      <c r="K1370" s="595">
        <f t="shared" si="65"/>
        <v>4250000</v>
      </c>
      <c r="L1370" s="39" t="s">
        <v>162</v>
      </c>
      <c r="M1370" s="596" t="s">
        <v>156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IF(OR(TH!L1370=TH!$U$7,M1370=TH!$U$7),"x","")</f>
        <v/>
      </c>
      <c r="V1370" s="52" t="str">
        <f>IF(AND(B1370&gt;='IN-NX'!$P$3,B1370&lt;='IN-NX'!$Q$3,'IN-NX'!$D$7=D1370,OR(LEFT(L1370,2)="15",AND(LEFT(M1370,2)&lt;&gt;"15",LEFT(M1370,2)&lt;&gt;"33"))),"x","")</f>
        <v/>
      </c>
      <c r="W1370" s="52" t="str">
        <f>IF(AND(OR(LEFT(TH!L1370,2)="15",LEFT(TH!M1370,2)="15"),'152-CT'!$J$8=TH!F1370),"x","")</f>
        <v>x</v>
      </c>
      <c r="X1370" s="52" t="str">
        <f>IF(AND(OR(LEFT(TH!L1370,2)="15",LEFT(TH!M1370,2)="15"),TK!$E$7=TH!F1370),"x","")</f>
        <v/>
      </c>
      <c r="Y1370" s="52" t="str">
        <f>IF(AND(B1370&lt;=NKC!$N$8,B1370&gt;=NKC!$M$8),"x","")</f>
        <v/>
      </c>
    </row>
    <row r="1371" spans="1:25" s="208" customFormat="1" ht="15.75" customHeight="1">
      <c r="A1371" s="201" t="str">
        <f>IF(B1371&lt;&gt;"",IF(AND(B1371&gt;=_TM1,B1371&lt;=_TM2,OR(TH!L1371="1111",TH!M1371="1111")),TH!D1371,""),"")</f>
        <v/>
      </c>
      <c r="B1371" s="36">
        <f t="shared" si="66"/>
        <v>11</v>
      </c>
      <c r="C1371" s="188">
        <f t="shared" si="64"/>
        <v>41589</v>
      </c>
      <c r="D1371" s="188" t="s">
        <v>1260</v>
      </c>
      <c r="E1371" s="188">
        <v>41589</v>
      </c>
      <c r="F1371" s="189" t="s">
        <v>685</v>
      </c>
      <c r="G1371" s="480" t="s">
        <v>981</v>
      </c>
      <c r="H1371" s="7" t="s">
        <v>1252</v>
      </c>
      <c r="I1371" s="249">
        <v>390</v>
      </c>
      <c r="J1371" s="249">
        <v>21907.443037974685</v>
      </c>
      <c r="K1371" s="595">
        <f t="shared" si="65"/>
        <v>8543903</v>
      </c>
      <c r="L1371" s="39" t="s">
        <v>162</v>
      </c>
      <c r="M1371" s="596" t="s">
        <v>156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IF(OR(TH!L1371=TH!$U$7,M1371=TH!$U$7),"x","")</f>
        <v/>
      </c>
      <c r="V1371" s="52" t="str">
        <f>IF(AND(B1371&gt;='IN-NX'!$P$3,B1371&lt;='IN-NX'!$Q$3,'IN-NX'!$D$7=D1371,OR(LEFT(L1371,2)="15",AND(LEFT(M1371,2)&lt;&gt;"15",LEFT(M1371,2)&lt;&gt;"33"))),"x","")</f>
        <v/>
      </c>
      <c r="W1371" s="52" t="str">
        <f>IF(AND(OR(LEFT(TH!L1371,2)="15",LEFT(TH!M1371,2)="15"),'152-CT'!$J$8=TH!F1371),"x","")</f>
        <v/>
      </c>
      <c r="X1371" s="52" t="str">
        <f>IF(AND(OR(LEFT(TH!L1371,2)="15",LEFT(TH!M1371,2)="15"),TK!$E$7=TH!F1371),"x","")</f>
        <v/>
      </c>
      <c r="Y1371" s="52" t="str">
        <f>IF(AND(B1371&lt;=NKC!$N$8,B1371&gt;=NKC!$M$8),"x","")</f>
        <v/>
      </c>
    </row>
    <row r="1372" spans="1:25" s="208" customFormat="1" ht="15.75" customHeight="1">
      <c r="A1372" s="201" t="str">
        <f>IF(B1372&lt;&gt;"",IF(AND(B1372&gt;=_TM1,B1372&lt;=_TM2,OR(TH!L1372="1111",TH!M1372="1111")),TH!D1372,""),"")</f>
        <v/>
      </c>
      <c r="B1372" s="36">
        <f t="shared" si="66"/>
        <v>11</v>
      </c>
      <c r="C1372" s="188">
        <f t="shared" si="64"/>
        <v>41590</v>
      </c>
      <c r="D1372" s="188" t="s">
        <v>1260</v>
      </c>
      <c r="E1372" s="735">
        <v>41590</v>
      </c>
      <c r="F1372" s="40" t="s">
        <v>608</v>
      </c>
      <c r="G1372" s="40" t="s">
        <v>982</v>
      </c>
      <c r="H1372" s="7" t="s">
        <v>1252</v>
      </c>
      <c r="I1372" s="249">
        <v>566</v>
      </c>
      <c r="J1372" s="249">
        <v>20420</v>
      </c>
      <c r="K1372" s="595">
        <f t="shared" si="65"/>
        <v>11557720</v>
      </c>
      <c r="L1372" s="39" t="s">
        <v>162</v>
      </c>
      <c r="M1372" s="596" t="s">
        <v>156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IF(OR(TH!L1372=TH!$U$7,M1372=TH!$U$7),"x","")</f>
        <v/>
      </c>
      <c r="V1372" s="52" t="str">
        <f>IF(AND(B1372&gt;='IN-NX'!$P$3,B1372&lt;='IN-NX'!$Q$3,'IN-NX'!$D$7=D1372,OR(LEFT(L1372,2)="15",AND(LEFT(M1372,2)&lt;&gt;"15",LEFT(M1372,2)&lt;&gt;"33"))),"x","")</f>
        <v/>
      </c>
      <c r="W1372" s="52" t="str">
        <f>IF(AND(OR(LEFT(TH!L1372,2)="15",LEFT(TH!M1372,2)="15"),'152-CT'!$J$8=TH!F1372),"x","")</f>
        <v/>
      </c>
      <c r="X1372" s="52" t="str">
        <f>IF(AND(OR(LEFT(TH!L1372,2)="15",LEFT(TH!M1372,2)="15"),TK!$E$7=TH!F1372),"x","")</f>
        <v/>
      </c>
      <c r="Y1372" s="52" t="str">
        <f>IF(AND(B1372&lt;=NKC!$N$8,B1372&gt;=NKC!$M$8),"x","")</f>
        <v/>
      </c>
    </row>
    <row r="1373" spans="1:25" s="208" customFormat="1" ht="15.75" customHeight="1">
      <c r="A1373" s="201" t="str">
        <f>IF(B1373&lt;&gt;"",IF(AND(B1373&gt;=_TM1,B1373&lt;=_TM2,OR(TH!L1373="1111",TH!M1373="1111")),TH!D1373,""),"")</f>
        <v/>
      </c>
      <c r="B1373" s="36">
        <f t="shared" si="66"/>
        <v>11</v>
      </c>
      <c r="C1373" s="188">
        <f t="shared" si="64"/>
        <v>41591</v>
      </c>
      <c r="D1373" s="188" t="s">
        <v>1260</v>
      </c>
      <c r="E1373" s="735">
        <v>41591</v>
      </c>
      <c r="F1373" s="40" t="s">
        <v>657</v>
      </c>
      <c r="G1373" s="40" t="s">
        <v>983</v>
      </c>
      <c r="H1373" s="7" t="s">
        <v>1252</v>
      </c>
      <c r="I1373" s="772">
        <v>225</v>
      </c>
      <c r="J1373" s="249">
        <v>16000</v>
      </c>
      <c r="K1373" s="595">
        <f t="shared" si="65"/>
        <v>3600000</v>
      </c>
      <c r="L1373" s="39" t="s">
        <v>162</v>
      </c>
      <c r="M1373" s="596" t="s">
        <v>156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IF(OR(TH!L1373=TH!$U$7,M1373=TH!$U$7),"x","")</f>
        <v/>
      </c>
      <c r="V1373" s="52" t="str">
        <f>IF(AND(B1373&gt;='IN-NX'!$P$3,B1373&lt;='IN-NX'!$Q$3,'IN-NX'!$D$7=D1373,OR(LEFT(L1373,2)="15",AND(LEFT(M1373,2)&lt;&gt;"15",LEFT(M1373,2)&lt;&gt;"33"))),"x","")</f>
        <v/>
      </c>
      <c r="W1373" s="52" t="str">
        <f>IF(AND(OR(LEFT(TH!L1373,2)="15",LEFT(TH!M1373,2)="15"),'152-CT'!$J$8=TH!F1373),"x","")</f>
        <v/>
      </c>
      <c r="X1373" s="52" t="str">
        <f>IF(AND(OR(LEFT(TH!L1373,2)="15",LEFT(TH!M1373,2)="15"),TK!$E$7=TH!F1373),"x","")</f>
        <v/>
      </c>
      <c r="Y1373" s="52" t="str">
        <f>IF(AND(B1373&lt;=NKC!$N$8,B1373&gt;=NKC!$M$8),"x","")</f>
        <v/>
      </c>
    </row>
    <row r="1374" spans="1:25" s="208" customFormat="1" ht="15.75" customHeight="1">
      <c r="A1374" s="201" t="str">
        <f>IF(B1374&lt;&gt;"",IF(AND(B1374&gt;=_TM1,B1374&lt;=_TM2,OR(TH!L1374="1111",TH!M1374="1111")),TH!D1374,""),"")</f>
        <v/>
      </c>
      <c r="B1374" s="36">
        <f t="shared" si="66"/>
        <v>11</v>
      </c>
      <c r="C1374" s="188">
        <f t="shared" si="64"/>
        <v>41593</v>
      </c>
      <c r="D1374" s="188" t="s">
        <v>1260</v>
      </c>
      <c r="E1374" s="735">
        <v>41593</v>
      </c>
      <c r="F1374" s="40" t="s">
        <v>639</v>
      </c>
      <c r="G1374" s="40" t="s">
        <v>984</v>
      </c>
      <c r="H1374" s="7" t="s">
        <v>1252</v>
      </c>
      <c r="I1374" s="249">
        <v>1026</v>
      </c>
      <c r="J1374" s="249">
        <v>10801</v>
      </c>
      <c r="K1374" s="595">
        <f t="shared" si="65"/>
        <v>11081826</v>
      </c>
      <c r="L1374" s="39" t="s">
        <v>162</v>
      </c>
      <c r="M1374" s="596" t="s">
        <v>156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IF(OR(TH!L1374=TH!$U$7,M1374=TH!$U$7),"x","")</f>
        <v/>
      </c>
      <c r="V1374" s="52" t="str">
        <f>IF(AND(B1374&gt;='IN-NX'!$P$3,B1374&lt;='IN-NX'!$Q$3,'IN-NX'!$D$7=D1374,OR(LEFT(L1374,2)="15",AND(LEFT(M1374,2)&lt;&gt;"15",LEFT(M1374,2)&lt;&gt;"33"))),"x","")</f>
        <v/>
      </c>
      <c r="W1374" s="52" t="str">
        <f>IF(AND(OR(LEFT(TH!L1374,2)="15",LEFT(TH!M1374,2)="15"),'152-CT'!$J$8=TH!F1374),"x","")</f>
        <v/>
      </c>
      <c r="X1374" s="52" t="str">
        <f>IF(AND(OR(LEFT(TH!L1374,2)="15",LEFT(TH!M1374,2)="15"),TK!$E$7=TH!F1374),"x","")</f>
        <v/>
      </c>
      <c r="Y1374" s="52" t="str">
        <f>IF(AND(B1374&lt;=NKC!$N$8,B1374&gt;=NKC!$M$8),"x","")</f>
        <v/>
      </c>
    </row>
    <row r="1375" spans="1:25" s="208" customFormat="1" ht="15.75" customHeight="1">
      <c r="A1375" s="201" t="str">
        <f>IF(B1375&lt;&gt;"",IF(AND(B1375&gt;=_TM1,B1375&lt;=_TM2,OR(TH!L1375="1111",TH!M1375="1111")),TH!D1375,""),"")</f>
        <v/>
      </c>
      <c r="B1375" s="36">
        <f t="shared" si="66"/>
        <v>11</v>
      </c>
      <c r="C1375" s="188">
        <f t="shared" si="64"/>
        <v>41594</v>
      </c>
      <c r="D1375" s="188" t="s">
        <v>1260</v>
      </c>
      <c r="E1375" s="37">
        <v>41594</v>
      </c>
      <c r="F1375" s="40" t="s">
        <v>596</v>
      </c>
      <c r="G1375" s="40" t="s">
        <v>986</v>
      </c>
      <c r="H1375" s="7" t="s">
        <v>1252</v>
      </c>
      <c r="I1375" s="249">
        <v>90</v>
      </c>
      <c r="J1375" s="249">
        <v>31288</v>
      </c>
      <c r="K1375" s="595">
        <f t="shared" si="65"/>
        <v>2815920</v>
      </c>
      <c r="L1375" s="39" t="s">
        <v>162</v>
      </c>
      <c r="M1375" s="596" t="s">
        <v>156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IF(OR(TH!L1375=TH!$U$7,M1375=TH!$U$7),"x","")</f>
        <v/>
      </c>
      <c r="V1375" s="52" t="str">
        <f>IF(AND(B1375&gt;='IN-NX'!$P$3,B1375&lt;='IN-NX'!$Q$3,'IN-NX'!$D$7=D1375,OR(LEFT(L1375,2)="15",AND(LEFT(M1375,2)&lt;&gt;"15",LEFT(M1375,2)&lt;&gt;"33"))),"x","")</f>
        <v/>
      </c>
      <c r="W1375" s="52" t="str">
        <f>IF(AND(OR(LEFT(TH!L1375,2)="15",LEFT(TH!M1375,2)="15"),'152-CT'!$J$8=TH!F1375),"x","")</f>
        <v/>
      </c>
      <c r="X1375" s="52" t="str">
        <f>IF(AND(OR(LEFT(TH!L1375,2)="15",LEFT(TH!M1375,2)="15"),TK!$E$7=TH!F1375),"x","")</f>
        <v/>
      </c>
      <c r="Y1375" s="52" t="str">
        <f>IF(AND(B1375&lt;=NKC!$N$8,B1375&gt;=NKC!$M$8),"x","")</f>
        <v/>
      </c>
    </row>
    <row r="1376" spans="1:25" s="208" customFormat="1" ht="15.75" customHeight="1">
      <c r="A1376" s="201" t="str">
        <f>IF(B1376&lt;&gt;"",IF(AND(B1376&gt;=_TM1,B1376&lt;=_TM2,OR(TH!L1376="1111",TH!M1376="1111")),TH!D1376,""),"")</f>
        <v/>
      </c>
      <c r="B1376" s="36">
        <f t="shared" si="66"/>
        <v>11</v>
      </c>
      <c r="C1376" s="188">
        <f t="shared" si="64"/>
        <v>41594</v>
      </c>
      <c r="D1376" s="188" t="s">
        <v>1260</v>
      </c>
      <c r="E1376" s="37">
        <v>41594</v>
      </c>
      <c r="F1376" s="40" t="s">
        <v>1215</v>
      </c>
      <c r="G1376" s="40" t="s">
        <v>986</v>
      </c>
      <c r="H1376" s="7" t="s">
        <v>1252</v>
      </c>
      <c r="I1376" s="249">
        <v>90</v>
      </c>
      <c r="J1376" s="249">
        <v>32321.481481481482</v>
      </c>
      <c r="K1376" s="595">
        <f t="shared" si="65"/>
        <v>2908933</v>
      </c>
      <c r="L1376" s="39" t="s">
        <v>162</v>
      </c>
      <c r="M1376" s="596" t="s">
        <v>156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IF(OR(TH!L1376=TH!$U$7,M1376=TH!$U$7),"x","")</f>
        <v/>
      </c>
      <c r="V1376" s="52" t="str">
        <f>IF(AND(B1376&gt;='IN-NX'!$P$3,B1376&lt;='IN-NX'!$Q$3,'IN-NX'!$D$7=D1376,OR(LEFT(L1376,2)="15",AND(LEFT(M1376,2)&lt;&gt;"15",LEFT(M1376,2)&lt;&gt;"33"))),"x","")</f>
        <v/>
      </c>
      <c r="W1376" s="52" t="str">
        <f>IF(AND(OR(LEFT(TH!L1376,2)="15",LEFT(TH!M1376,2)="15"),'152-CT'!$J$8=TH!F1376),"x","")</f>
        <v/>
      </c>
      <c r="X1376" s="52" t="str">
        <f>IF(AND(OR(LEFT(TH!L1376,2)="15",LEFT(TH!M1376,2)="15"),TK!$E$7=TH!F1376),"x","")</f>
        <v/>
      </c>
      <c r="Y1376" s="52" t="str">
        <f>IF(AND(B1376&lt;=NKC!$N$8,B1376&gt;=NKC!$M$8),"x","")</f>
        <v/>
      </c>
    </row>
    <row r="1377" spans="1:25" s="208" customFormat="1" ht="15.75" customHeight="1">
      <c r="A1377" s="201" t="str">
        <f>IF(B1377&lt;&gt;"",IF(AND(B1377&gt;=_TM1,B1377&lt;=_TM2,OR(TH!L1377="1111",TH!M1377="1111")),TH!D1377,""),"")</f>
        <v/>
      </c>
      <c r="B1377" s="36">
        <f t="shared" si="66"/>
        <v>11</v>
      </c>
      <c r="C1377" s="188">
        <f t="shared" si="64"/>
        <v>41594</v>
      </c>
      <c r="D1377" s="188" t="s">
        <v>1260</v>
      </c>
      <c r="E1377" s="37">
        <v>41594</v>
      </c>
      <c r="F1377" s="189" t="s">
        <v>605</v>
      </c>
      <c r="G1377" s="40" t="s">
        <v>986</v>
      </c>
      <c r="H1377" s="7" t="s">
        <v>1252</v>
      </c>
      <c r="I1377" s="249">
        <v>50</v>
      </c>
      <c r="J1377" s="249">
        <v>36234</v>
      </c>
      <c r="K1377" s="595">
        <f t="shared" si="65"/>
        <v>1811700</v>
      </c>
      <c r="L1377" s="39" t="s">
        <v>162</v>
      </c>
      <c r="M1377" s="596" t="s">
        <v>156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IF(OR(TH!L1377=TH!$U$7,M1377=TH!$U$7),"x","")</f>
        <v/>
      </c>
      <c r="V1377" s="52" t="str">
        <f>IF(AND(B1377&gt;='IN-NX'!$P$3,B1377&lt;='IN-NX'!$Q$3,'IN-NX'!$D$7=D1377,OR(LEFT(L1377,2)="15",AND(LEFT(M1377,2)&lt;&gt;"15",LEFT(M1377,2)&lt;&gt;"33"))),"x","")</f>
        <v/>
      </c>
      <c r="W1377" s="52" t="str">
        <f>IF(AND(OR(LEFT(TH!L1377,2)="15",LEFT(TH!M1377,2)="15"),'152-CT'!$J$8=TH!F1377),"x","")</f>
        <v/>
      </c>
      <c r="X1377" s="52" t="str">
        <f>IF(AND(OR(LEFT(TH!L1377,2)="15",LEFT(TH!M1377,2)="15"),TK!$E$7=TH!F1377),"x","")</f>
        <v/>
      </c>
      <c r="Y1377" s="52" t="str">
        <f>IF(AND(B1377&lt;=NKC!$N$8,B1377&gt;=NKC!$M$8),"x","")</f>
        <v/>
      </c>
    </row>
    <row r="1378" spans="1:25" s="208" customFormat="1" ht="15.75" customHeight="1">
      <c r="A1378" s="201" t="str">
        <f>IF(B1378&lt;&gt;"",IF(AND(B1378&gt;=_TM1,B1378&lt;=_TM2,OR(TH!L1378="1111",TH!M1378="1111")),TH!D1378,""),"")</f>
        <v/>
      </c>
      <c r="B1378" s="36">
        <f t="shared" si="66"/>
        <v>11</v>
      </c>
      <c r="C1378" s="188">
        <f t="shared" si="64"/>
        <v>41594</v>
      </c>
      <c r="D1378" s="188" t="s">
        <v>1260</v>
      </c>
      <c r="E1378" s="37">
        <v>41594</v>
      </c>
      <c r="F1378" s="40" t="s">
        <v>605</v>
      </c>
      <c r="G1378" s="40" t="s">
        <v>986</v>
      </c>
      <c r="H1378" s="7" t="s">
        <v>1252</v>
      </c>
      <c r="I1378" s="249">
        <v>50</v>
      </c>
      <c r="J1378" s="249">
        <v>36234</v>
      </c>
      <c r="K1378" s="595">
        <f t="shared" si="65"/>
        <v>1811700</v>
      </c>
      <c r="L1378" s="39" t="s">
        <v>162</v>
      </c>
      <c r="M1378" s="596" t="s">
        <v>156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IF(OR(TH!L1378=TH!$U$7,M1378=TH!$U$7),"x","")</f>
        <v/>
      </c>
      <c r="V1378" s="52" t="str">
        <f>IF(AND(B1378&gt;='IN-NX'!$P$3,B1378&lt;='IN-NX'!$Q$3,'IN-NX'!$D$7=D1378,OR(LEFT(L1378,2)="15",AND(LEFT(M1378,2)&lt;&gt;"15",LEFT(M1378,2)&lt;&gt;"33"))),"x","")</f>
        <v/>
      </c>
      <c r="W1378" s="52" t="str">
        <f>IF(AND(OR(LEFT(TH!L1378,2)="15",LEFT(TH!M1378,2)="15"),'152-CT'!$J$8=TH!F1378),"x","")</f>
        <v/>
      </c>
      <c r="X1378" s="52" t="str">
        <f>IF(AND(OR(LEFT(TH!L1378,2)="15",LEFT(TH!M1378,2)="15"),TK!$E$7=TH!F1378),"x","")</f>
        <v/>
      </c>
      <c r="Y1378" s="52" t="str">
        <f>IF(AND(B1378&lt;=NKC!$N$8,B1378&gt;=NKC!$M$8),"x","")</f>
        <v/>
      </c>
    </row>
    <row r="1379" spans="1:25" s="208" customFormat="1" ht="15.75" customHeight="1">
      <c r="A1379" s="201" t="str">
        <f>IF(B1379&lt;&gt;"",IF(AND(B1379&gt;=_TM1,B1379&lt;=_TM2,OR(TH!L1379="1111",TH!M1379="1111")),TH!D1379,""),"")</f>
        <v/>
      </c>
      <c r="B1379" s="36">
        <f t="shared" si="66"/>
        <v>11</v>
      </c>
      <c r="C1379" s="188">
        <f t="shared" si="64"/>
        <v>41595</v>
      </c>
      <c r="D1379" s="188" t="s">
        <v>1260</v>
      </c>
      <c r="E1379" s="37">
        <v>41595</v>
      </c>
      <c r="F1379" s="40" t="s">
        <v>1215</v>
      </c>
      <c r="G1379" s="40" t="s">
        <v>988</v>
      </c>
      <c r="H1379" s="7" t="s">
        <v>1252</v>
      </c>
      <c r="I1379" s="249">
        <v>70</v>
      </c>
      <c r="J1379" s="249">
        <v>32321.481481481482</v>
      </c>
      <c r="K1379" s="595">
        <f t="shared" si="65"/>
        <v>2262504</v>
      </c>
      <c r="L1379" s="39" t="s">
        <v>162</v>
      </c>
      <c r="M1379" s="596" t="s">
        <v>156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IF(OR(TH!L1379=TH!$U$7,M1379=TH!$U$7),"x","")</f>
        <v/>
      </c>
      <c r="V1379" s="52" t="str">
        <f>IF(AND(B1379&gt;='IN-NX'!$P$3,B1379&lt;='IN-NX'!$Q$3,'IN-NX'!$D$7=D1379,OR(LEFT(L1379,2)="15",AND(LEFT(M1379,2)&lt;&gt;"15",LEFT(M1379,2)&lt;&gt;"33"))),"x","")</f>
        <v/>
      </c>
      <c r="W1379" s="52" t="str">
        <f>IF(AND(OR(LEFT(TH!L1379,2)="15",LEFT(TH!M1379,2)="15"),'152-CT'!$J$8=TH!F1379),"x","")</f>
        <v/>
      </c>
      <c r="X1379" s="52" t="str">
        <f>IF(AND(OR(LEFT(TH!L1379,2)="15",LEFT(TH!M1379,2)="15"),TK!$E$7=TH!F1379),"x","")</f>
        <v/>
      </c>
      <c r="Y1379" s="52" t="str">
        <f>IF(AND(B1379&lt;=NKC!$N$8,B1379&gt;=NKC!$M$8),"x","")</f>
        <v/>
      </c>
    </row>
    <row r="1380" spans="1:25" s="208" customFormat="1" ht="15.75" customHeight="1">
      <c r="A1380" s="201" t="str">
        <f>IF(B1380&lt;&gt;"",IF(AND(B1380&gt;=_TM1,B1380&lt;=_TM2,OR(TH!L1380="1111",TH!M1380="1111")),TH!D1380,""),"")</f>
        <v/>
      </c>
      <c r="B1380" s="36">
        <f t="shared" si="66"/>
        <v>11</v>
      </c>
      <c r="C1380" s="188">
        <f t="shared" si="64"/>
        <v>41595</v>
      </c>
      <c r="D1380" s="188" t="s">
        <v>1260</v>
      </c>
      <c r="E1380" s="37">
        <v>41595</v>
      </c>
      <c r="F1380" s="186" t="s">
        <v>1215</v>
      </c>
      <c r="G1380" s="40" t="s">
        <v>988</v>
      </c>
      <c r="H1380" s="7" t="s">
        <v>1252</v>
      </c>
      <c r="I1380" s="249">
        <v>69</v>
      </c>
      <c r="J1380" s="249">
        <v>32321.481481481482</v>
      </c>
      <c r="K1380" s="595">
        <f t="shared" si="65"/>
        <v>2230182</v>
      </c>
      <c r="L1380" s="39" t="s">
        <v>162</v>
      </c>
      <c r="M1380" s="596" t="s">
        <v>156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IF(OR(TH!L1380=TH!$U$7,M1380=TH!$U$7),"x","")</f>
        <v/>
      </c>
      <c r="V1380" s="52" t="str">
        <f>IF(AND(B1380&gt;='IN-NX'!$P$3,B1380&lt;='IN-NX'!$Q$3,'IN-NX'!$D$7=D1380,OR(LEFT(L1380,2)="15",AND(LEFT(M1380,2)&lt;&gt;"15",LEFT(M1380,2)&lt;&gt;"33"))),"x","")</f>
        <v/>
      </c>
      <c r="W1380" s="52" t="str">
        <f>IF(AND(OR(LEFT(TH!L1380,2)="15",LEFT(TH!M1380,2)="15"),'152-CT'!$J$8=TH!F1380),"x","")</f>
        <v/>
      </c>
      <c r="X1380" s="52" t="str">
        <f>IF(AND(OR(LEFT(TH!L1380,2)="15",LEFT(TH!M1380,2)="15"),TK!$E$7=TH!F1380),"x","")</f>
        <v/>
      </c>
      <c r="Y1380" s="52" t="str">
        <f>IF(AND(B1380&lt;=NKC!$N$8,B1380&gt;=NKC!$M$8),"x","")</f>
        <v/>
      </c>
    </row>
    <row r="1381" spans="1:25" s="208" customFormat="1" ht="15.75" customHeight="1">
      <c r="A1381" s="201" t="str">
        <f>IF(B1381&lt;&gt;"",IF(AND(B1381&gt;=_TM1,B1381&lt;=_TM2,OR(TH!L1381="1111",TH!M1381="1111")),TH!D1381,""),"")</f>
        <v/>
      </c>
      <c r="B1381" s="36">
        <f t="shared" si="66"/>
        <v>11</v>
      </c>
      <c r="C1381" s="188">
        <f t="shared" si="64"/>
        <v>41595</v>
      </c>
      <c r="D1381" s="188" t="s">
        <v>1260</v>
      </c>
      <c r="E1381" s="37">
        <v>41595</v>
      </c>
      <c r="F1381" s="40" t="s">
        <v>1215</v>
      </c>
      <c r="G1381" s="40" t="s">
        <v>988</v>
      </c>
      <c r="H1381" s="7" t="s">
        <v>1252</v>
      </c>
      <c r="I1381" s="249">
        <v>95</v>
      </c>
      <c r="J1381" s="249">
        <v>32321.481481481482</v>
      </c>
      <c r="K1381" s="595">
        <f t="shared" si="65"/>
        <v>3070541</v>
      </c>
      <c r="L1381" s="39" t="s">
        <v>162</v>
      </c>
      <c r="M1381" s="596" t="s">
        <v>156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IF(OR(TH!L1381=TH!$U$7,M1381=TH!$U$7),"x","")</f>
        <v/>
      </c>
      <c r="V1381" s="52" t="str">
        <f>IF(AND(B1381&gt;='IN-NX'!$P$3,B1381&lt;='IN-NX'!$Q$3,'IN-NX'!$D$7=D1381,OR(LEFT(L1381,2)="15",AND(LEFT(M1381,2)&lt;&gt;"15",LEFT(M1381,2)&lt;&gt;"33"))),"x","")</f>
        <v/>
      </c>
      <c r="W1381" s="52" t="str">
        <f>IF(AND(OR(LEFT(TH!L1381,2)="15",LEFT(TH!M1381,2)="15"),'152-CT'!$J$8=TH!F1381),"x","")</f>
        <v/>
      </c>
      <c r="X1381" s="52" t="str">
        <f>IF(AND(OR(LEFT(TH!L1381,2)="15",LEFT(TH!M1381,2)="15"),TK!$E$7=TH!F1381),"x","")</f>
        <v/>
      </c>
      <c r="Y1381" s="52" t="str">
        <f>IF(AND(B1381&lt;=NKC!$N$8,B1381&gt;=NKC!$M$8),"x","")</f>
        <v/>
      </c>
    </row>
    <row r="1382" spans="1:25" s="208" customFormat="1" ht="15.75" customHeight="1">
      <c r="A1382" s="201" t="str">
        <f>IF(B1382&lt;&gt;"",IF(AND(B1382&gt;=_TM1,B1382&lt;=_TM2,OR(TH!L1382="1111",TH!M1382="1111")),TH!D1382,""),"")</f>
        <v/>
      </c>
      <c r="B1382" s="36">
        <f t="shared" si="66"/>
        <v>11</v>
      </c>
      <c r="C1382" s="188">
        <f t="shared" si="64"/>
        <v>41600</v>
      </c>
      <c r="D1382" s="188" t="s">
        <v>1260</v>
      </c>
      <c r="E1382" s="37">
        <v>41600</v>
      </c>
      <c r="F1382" s="40" t="s">
        <v>1206</v>
      </c>
      <c r="G1382" s="40" t="s">
        <v>991</v>
      </c>
      <c r="H1382" s="7" t="s">
        <v>1252</v>
      </c>
      <c r="I1382" s="249">
        <v>100</v>
      </c>
      <c r="J1382" s="249">
        <v>23250</v>
      </c>
      <c r="K1382" s="595">
        <f t="shared" si="65"/>
        <v>2325000</v>
      </c>
      <c r="L1382" s="39" t="s">
        <v>162</v>
      </c>
      <c r="M1382" s="596" t="s">
        <v>156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IF(OR(TH!L1382=TH!$U$7,M1382=TH!$U$7),"x","")</f>
        <v/>
      </c>
      <c r="V1382" s="52" t="str">
        <f>IF(AND(B1382&gt;='IN-NX'!$P$3,B1382&lt;='IN-NX'!$Q$3,'IN-NX'!$D$7=D1382,OR(LEFT(L1382,2)="15",AND(LEFT(M1382,2)&lt;&gt;"15",LEFT(M1382,2)&lt;&gt;"33"))),"x","")</f>
        <v/>
      </c>
      <c r="W1382" s="52" t="str">
        <f>IF(AND(OR(LEFT(TH!L1382,2)="15",LEFT(TH!M1382,2)="15"),'152-CT'!$J$8=TH!F1382),"x","")</f>
        <v/>
      </c>
      <c r="X1382" s="52" t="str">
        <f>IF(AND(OR(LEFT(TH!L1382,2)="15",LEFT(TH!M1382,2)="15"),TK!$E$7=TH!F1382),"x","")</f>
        <v/>
      </c>
      <c r="Y1382" s="52" t="str">
        <f>IF(AND(B1382&lt;=NKC!$N$8,B1382&gt;=NKC!$M$8),"x","")</f>
        <v/>
      </c>
    </row>
    <row r="1383" spans="1:25" s="208" customFormat="1" ht="15.75" customHeight="1">
      <c r="A1383" s="201" t="str">
        <f>IF(B1383&lt;&gt;"",IF(AND(B1383&gt;=_TM1,B1383&lt;=_TM2,OR(TH!L1383="1111",TH!M1383="1111")),TH!D1383,""),"")</f>
        <v/>
      </c>
      <c r="B1383" s="36">
        <f t="shared" si="66"/>
        <v>11</v>
      </c>
      <c r="C1383" s="188">
        <f t="shared" si="64"/>
        <v>41601</v>
      </c>
      <c r="D1383" s="188" t="s">
        <v>1260</v>
      </c>
      <c r="E1383" s="37">
        <v>41601</v>
      </c>
      <c r="F1383" s="40" t="s">
        <v>657</v>
      </c>
      <c r="G1383" s="40" t="s">
        <v>621</v>
      </c>
      <c r="H1383" s="7" t="s">
        <v>1252</v>
      </c>
      <c r="I1383" s="249">
        <v>265</v>
      </c>
      <c r="J1383" s="249">
        <v>16000</v>
      </c>
      <c r="K1383" s="595">
        <f t="shared" si="65"/>
        <v>4240000</v>
      </c>
      <c r="L1383" s="39" t="s">
        <v>162</v>
      </c>
      <c r="M1383" s="596" t="s">
        <v>156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IF(OR(TH!L1383=TH!$U$7,M1383=TH!$U$7),"x","")</f>
        <v/>
      </c>
      <c r="V1383" s="52" t="str">
        <f>IF(AND(B1383&gt;='IN-NX'!$P$3,B1383&lt;='IN-NX'!$Q$3,'IN-NX'!$D$7=D1383,OR(LEFT(L1383,2)="15",AND(LEFT(M1383,2)&lt;&gt;"15",LEFT(M1383,2)&lt;&gt;"33"))),"x","")</f>
        <v/>
      </c>
      <c r="W1383" s="52" t="str">
        <f>IF(AND(OR(LEFT(TH!L1383,2)="15",LEFT(TH!M1383,2)="15"),'152-CT'!$J$8=TH!F1383),"x","")</f>
        <v/>
      </c>
      <c r="X1383" s="52" t="str">
        <f>IF(AND(OR(LEFT(TH!L1383,2)="15",LEFT(TH!M1383,2)="15"),TK!$E$7=TH!F1383),"x","")</f>
        <v/>
      </c>
      <c r="Y1383" s="52" t="str">
        <f>IF(AND(B1383&lt;=NKC!$N$8,B1383&gt;=NKC!$M$8),"x","")</f>
        <v/>
      </c>
    </row>
    <row r="1384" spans="1:25" s="208" customFormat="1" ht="15.75" customHeight="1">
      <c r="A1384" s="201" t="str">
        <f>IF(B1384&lt;&gt;"",IF(AND(B1384&gt;=_TM1,B1384&lt;=_TM2,OR(TH!L1384="1111",TH!M1384="1111")),TH!D1384,""),"")</f>
        <v/>
      </c>
      <c r="B1384" s="36">
        <f t="shared" si="66"/>
        <v>11</v>
      </c>
      <c r="C1384" s="188">
        <f t="shared" si="64"/>
        <v>41601</v>
      </c>
      <c r="D1384" s="188" t="s">
        <v>1260</v>
      </c>
      <c r="E1384" s="37">
        <v>41601</v>
      </c>
      <c r="F1384" s="40" t="s">
        <v>594</v>
      </c>
      <c r="G1384" s="40" t="s">
        <v>621</v>
      </c>
      <c r="H1384" s="7" t="s">
        <v>1252</v>
      </c>
      <c r="I1384" s="249">
        <v>251</v>
      </c>
      <c r="J1384" s="249">
        <v>19514</v>
      </c>
      <c r="K1384" s="595">
        <f t="shared" si="65"/>
        <v>4898014</v>
      </c>
      <c r="L1384" s="39" t="s">
        <v>162</v>
      </c>
      <c r="M1384" s="596" t="s">
        <v>156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IF(OR(TH!L1384=TH!$U$7,M1384=TH!$U$7),"x","")</f>
        <v/>
      </c>
      <c r="V1384" s="52" t="str">
        <f>IF(AND(B1384&gt;='IN-NX'!$P$3,B1384&lt;='IN-NX'!$Q$3,'IN-NX'!$D$7=D1384,OR(LEFT(L1384,2)="15",AND(LEFT(M1384,2)&lt;&gt;"15",LEFT(M1384,2)&lt;&gt;"33"))),"x","")</f>
        <v/>
      </c>
      <c r="W1384" s="52" t="str">
        <f>IF(AND(OR(LEFT(TH!L1384,2)="15",LEFT(TH!M1384,2)="15"),'152-CT'!$J$8=TH!F1384),"x","")</f>
        <v/>
      </c>
      <c r="X1384" s="52" t="str">
        <f>IF(AND(OR(LEFT(TH!L1384,2)="15",LEFT(TH!M1384,2)="15"),TK!$E$7=TH!F1384),"x","")</f>
        <v/>
      </c>
      <c r="Y1384" s="52" t="str">
        <f>IF(AND(B1384&lt;=NKC!$N$8,B1384&gt;=NKC!$M$8),"x","")</f>
        <v/>
      </c>
    </row>
    <row r="1385" spans="1:25" s="208" customFormat="1" ht="15.75" customHeight="1">
      <c r="A1385" s="201" t="str">
        <f>IF(B1385&lt;&gt;"",IF(AND(B1385&gt;=_TM1,B1385&lt;=_TM2,OR(TH!L1385="1111",TH!M1385="1111")),TH!D1385,""),"")</f>
        <v/>
      </c>
      <c r="B1385" s="36">
        <f t="shared" si="66"/>
        <v>11</v>
      </c>
      <c r="C1385" s="188">
        <f t="shared" si="64"/>
        <v>41601</v>
      </c>
      <c r="D1385" s="188" t="s">
        <v>1260</v>
      </c>
      <c r="E1385" s="37">
        <v>41601</v>
      </c>
      <c r="F1385" s="189" t="s">
        <v>1232</v>
      </c>
      <c r="G1385" s="40" t="s">
        <v>621</v>
      </c>
      <c r="H1385" s="7" t="s">
        <v>1252</v>
      </c>
      <c r="I1385" s="249">
        <v>200</v>
      </c>
      <c r="J1385" s="249">
        <v>23543</v>
      </c>
      <c r="K1385" s="595">
        <f t="shared" si="65"/>
        <v>4708600</v>
      </c>
      <c r="L1385" s="39" t="s">
        <v>162</v>
      </c>
      <c r="M1385" s="596" t="s">
        <v>156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IF(OR(TH!L1385=TH!$U$7,M1385=TH!$U$7),"x","")</f>
        <v/>
      </c>
      <c r="V1385" s="52" t="str">
        <f>IF(AND(B1385&gt;='IN-NX'!$P$3,B1385&lt;='IN-NX'!$Q$3,'IN-NX'!$D$7=D1385,OR(LEFT(L1385,2)="15",AND(LEFT(M1385,2)&lt;&gt;"15",LEFT(M1385,2)&lt;&gt;"33"))),"x","")</f>
        <v/>
      </c>
      <c r="W1385" s="52" t="str">
        <f>IF(AND(OR(LEFT(TH!L1385,2)="15",LEFT(TH!M1385,2)="15"),'152-CT'!$J$8=TH!F1385),"x","")</f>
        <v/>
      </c>
      <c r="X1385" s="52" t="str">
        <f>IF(AND(OR(LEFT(TH!L1385,2)="15",LEFT(TH!M1385,2)="15"),TK!$E$7=TH!F1385),"x","")</f>
        <v/>
      </c>
      <c r="Y1385" s="52" t="str">
        <f>IF(AND(B1385&lt;=NKC!$N$8,B1385&gt;=NKC!$M$8),"x","")</f>
        <v/>
      </c>
    </row>
    <row r="1386" spans="1:25" s="208" customFormat="1" ht="15.75" customHeight="1">
      <c r="A1386" s="201" t="str">
        <f>IF(B1386&lt;&gt;"",IF(AND(B1386&gt;=_TM1,B1386&lt;=_TM2,OR(TH!L1386="1111",TH!M1386="1111")),TH!D1386,""),"")</f>
        <v/>
      </c>
      <c r="B1386" s="36">
        <f t="shared" si="66"/>
        <v>11</v>
      </c>
      <c r="C1386" s="188">
        <f t="shared" si="64"/>
        <v>41603</v>
      </c>
      <c r="D1386" s="188" t="s">
        <v>1260</v>
      </c>
      <c r="E1386" s="37">
        <v>41603</v>
      </c>
      <c r="F1386" s="40" t="s">
        <v>579</v>
      </c>
      <c r="G1386" s="40" t="s">
        <v>993</v>
      </c>
      <c r="H1386" s="7" t="s">
        <v>1252</v>
      </c>
      <c r="I1386" s="249">
        <v>259</v>
      </c>
      <c r="J1386" s="249">
        <v>17473</v>
      </c>
      <c r="K1386" s="595">
        <f t="shared" si="65"/>
        <v>4525507</v>
      </c>
      <c r="L1386" s="39" t="s">
        <v>162</v>
      </c>
      <c r="M1386" s="596" t="s">
        <v>156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IF(OR(TH!L1386=TH!$U$7,M1386=TH!$U$7),"x","")</f>
        <v/>
      </c>
      <c r="V1386" s="52" t="str">
        <f>IF(AND(B1386&gt;='IN-NX'!$P$3,B1386&lt;='IN-NX'!$Q$3,'IN-NX'!$D$7=D1386,OR(LEFT(L1386,2)="15",AND(LEFT(M1386,2)&lt;&gt;"15",LEFT(M1386,2)&lt;&gt;"33"))),"x","")</f>
        <v/>
      </c>
      <c r="W1386" s="52" t="str">
        <f>IF(AND(OR(LEFT(TH!L1386,2)="15",LEFT(TH!M1386,2)="15"),'152-CT'!$J$8=TH!F1386),"x","")</f>
        <v/>
      </c>
      <c r="X1386" s="52" t="str">
        <f>IF(AND(OR(LEFT(TH!L1386,2)="15",LEFT(TH!M1386,2)="15"),TK!$E$7=TH!F1386),"x","")</f>
        <v/>
      </c>
      <c r="Y1386" s="52" t="str">
        <f>IF(AND(B1386&lt;=NKC!$N$8,B1386&gt;=NKC!$M$8),"x","")</f>
        <v/>
      </c>
    </row>
    <row r="1387" spans="1:25" s="208" customFormat="1" ht="15.75" customHeight="1">
      <c r="A1387" s="201" t="str">
        <f>IF(B1387&lt;&gt;"",IF(AND(B1387&gt;=_TM1,B1387&lt;=_TM2,OR(TH!L1387="1111",TH!M1387="1111")),TH!D1387,""),"")</f>
        <v/>
      </c>
      <c r="B1387" s="36">
        <f t="shared" si="66"/>
        <v>11</v>
      </c>
      <c r="C1387" s="188">
        <f t="shared" si="64"/>
        <v>41603</v>
      </c>
      <c r="D1387" s="188" t="s">
        <v>1260</v>
      </c>
      <c r="E1387" s="37">
        <v>41603</v>
      </c>
      <c r="F1387" s="40" t="s">
        <v>1198</v>
      </c>
      <c r="G1387" s="40" t="s">
        <v>993</v>
      </c>
      <c r="H1387" s="7" t="s">
        <v>1252</v>
      </c>
      <c r="I1387" s="249">
        <v>125</v>
      </c>
      <c r="J1387" s="249">
        <v>22301</v>
      </c>
      <c r="K1387" s="595">
        <f t="shared" si="65"/>
        <v>2787625</v>
      </c>
      <c r="L1387" s="39" t="s">
        <v>162</v>
      </c>
      <c r="M1387" s="596" t="s">
        <v>156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IF(OR(TH!L1387=TH!$U$7,M1387=TH!$U$7),"x","")</f>
        <v/>
      </c>
      <c r="V1387" s="52" t="str">
        <f>IF(AND(B1387&gt;='IN-NX'!$P$3,B1387&lt;='IN-NX'!$Q$3,'IN-NX'!$D$7=D1387,OR(LEFT(L1387,2)="15",AND(LEFT(M1387,2)&lt;&gt;"15",LEFT(M1387,2)&lt;&gt;"33"))),"x","")</f>
        <v/>
      </c>
      <c r="W1387" s="52" t="str">
        <f>IF(AND(OR(LEFT(TH!L1387,2)="15",LEFT(TH!M1387,2)="15"),'152-CT'!$J$8=TH!F1387),"x","")</f>
        <v/>
      </c>
      <c r="X1387" s="52" t="str">
        <f>IF(AND(OR(LEFT(TH!L1387,2)="15",LEFT(TH!M1387,2)="15"),TK!$E$7=TH!F1387),"x","")</f>
        <v/>
      </c>
      <c r="Y1387" s="52" t="str">
        <f>IF(AND(B1387&lt;=NKC!$N$8,B1387&gt;=NKC!$M$8),"x","")</f>
        <v/>
      </c>
    </row>
    <row r="1388" spans="1:25" s="208" customFormat="1" ht="15.75" customHeight="1">
      <c r="A1388" s="201" t="str">
        <f>IF(B1388&lt;&gt;"",IF(AND(B1388&gt;=_TM1,B1388&lt;=_TM2,OR(TH!L1388="1111",TH!M1388="1111")),TH!D1388,""),"")</f>
        <v/>
      </c>
      <c r="B1388" s="36">
        <f t="shared" si="66"/>
        <v>11</v>
      </c>
      <c r="C1388" s="188">
        <f t="shared" si="64"/>
        <v>41603</v>
      </c>
      <c r="D1388" s="188" t="s">
        <v>1260</v>
      </c>
      <c r="E1388" s="37">
        <v>41603</v>
      </c>
      <c r="F1388" s="186" t="s">
        <v>657</v>
      </c>
      <c r="G1388" s="40" t="s">
        <v>627</v>
      </c>
      <c r="H1388" s="7" t="s">
        <v>1252</v>
      </c>
      <c r="I1388" s="249">
        <v>240</v>
      </c>
      <c r="J1388" s="249">
        <v>16000</v>
      </c>
      <c r="K1388" s="595">
        <f t="shared" si="65"/>
        <v>3840000</v>
      </c>
      <c r="L1388" s="39" t="s">
        <v>162</v>
      </c>
      <c r="M1388" s="596" t="s">
        <v>156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IF(OR(TH!L1388=TH!$U$7,M1388=TH!$U$7),"x","")</f>
        <v/>
      </c>
      <c r="V1388" s="52" t="str">
        <f>IF(AND(B1388&gt;='IN-NX'!$P$3,B1388&lt;='IN-NX'!$Q$3,'IN-NX'!$D$7=D1388,OR(LEFT(L1388,2)="15",AND(LEFT(M1388,2)&lt;&gt;"15",LEFT(M1388,2)&lt;&gt;"33"))),"x","")</f>
        <v/>
      </c>
      <c r="W1388" s="52" t="str">
        <f>IF(AND(OR(LEFT(TH!L1388,2)="15",LEFT(TH!M1388,2)="15"),'152-CT'!$J$8=TH!F1388),"x","")</f>
        <v/>
      </c>
      <c r="X1388" s="52" t="str">
        <f>IF(AND(OR(LEFT(TH!L1388,2)="15",LEFT(TH!M1388,2)="15"),TK!$E$7=TH!F1388),"x","")</f>
        <v/>
      </c>
      <c r="Y1388" s="52" t="str">
        <f>IF(AND(B1388&lt;=NKC!$N$8,B1388&gt;=NKC!$M$8),"x","")</f>
        <v/>
      </c>
    </row>
    <row r="1389" spans="1:25" s="208" customFormat="1" ht="15.75" customHeight="1">
      <c r="A1389" s="201" t="str">
        <f>IF(B1389&lt;&gt;"",IF(AND(B1389&gt;=_TM1,B1389&lt;=_TM2,OR(TH!L1389="1111",TH!M1389="1111")),TH!D1389,""),"")</f>
        <v/>
      </c>
      <c r="B1389" s="36">
        <f t="shared" si="66"/>
        <v>11</v>
      </c>
      <c r="C1389" s="188">
        <f t="shared" si="64"/>
        <v>41605</v>
      </c>
      <c r="D1389" s="188" t="s">
        <v>1260</v>
      </c>
      <c r="E1389" s="37">
        <v>41605</v>
      </c>
      <c r="F1389" s="40" t="s">
        <v>1173</v>
      </c>
      <c r="G1389" s="40" t="s">
        <v>994</v>
      </c>
      <c r="H1389" s="7" t="s">
        <v>1252</v>
      </c>
      <c r="I1389" s="249">
        <v>200</v>
      </c>
      <c r="J1389" s="249">
        <v>11712</v>
      </c>
      <c r="K1389" s="595">
        <f t="shared" si="65"/>
        <v>2342400</v>
      </c>
      <c r="L1389" s="39" t="s">
        <v>162</v>
      </c>
      <c r="M1389" s="596" t="s">
        <v>156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IF(OR(TH!L1389=TH!$U$7,M1389=TH!$U$7),"x","")</f>
        <v/>
      </c>
      <c r="V1389" s="52" t="str">
        <f>IF(AND(B1389&gt;='IN-NX'!$P$3,B1389&lt;='IN-NX'!$Q$3,'IN-NX'!$D$7=D1389,OR(LEFT(L1389,2)="15",AND(LEFT(M1389,2)&lt;&gt;"15",LEFT(M1389,2)&lt;&gt;"33"))),"x","")</f>
        <v/>
      </c>
      <c r="W1389" s="52" t="str">
        <f>IF(AND(OR(LEFT(TH!L1389,2)="15",LEFT(TH!M1389,2)="15"),'152-CT'!$J$8=TH!F1389),"x","")</f>
        <v/>
      </c>
      <c r="X1389" s="52" t="str">
        <f>IF(AND(OR(LEFT(TH!L1389,2)="15",LEFT(TH!M1389,2)="15"),TK!$E$7=TH!F1389),"x","")</f>
        <v/>
      </c>
      <c r="Y1389" s="52" t="str">
        <f>IF(AND(B1389&lt;=NKC!$N$8,B1389&gt;=NKC!$M$8),"x","")</f>
        <v/>
      </c>
    </row>
    <row r="1390" spans="1:25" s="208" customFormat="1" ht="15.75" customHeight="1">
      <c r="A1390" s="201" t="str">
        <f>IF(B1390&lt;&gt;"",IF(AND(B1390&gt;=_TM1,B1390&lt;=_TM2,OR(TH!L1390="1111",TH!M1390="1111")),TH!D1390,""),"")</f>
        <v/>
      </c>
      <c r="B1390" s="36">
        <f t="shared" si="66"/>
        <v>11</v>
      </c>
      <c r="C1390" s="188">
        <f t="shared" si="64"/>
        <v>41605</v>
      </c>
      <c r="D1390" s="188" t="s">
        <v>1260</v>
      </c>
      <c r="E1390" s="37">
        <v>41605</v>
      </c>
      <c r="F1390" s="40" t="s">
        <v>1171</v>
      </c>
      <c r="G1390" s="40" t="s">
        <v>994</v>
      </c>
      <c r="H1390" s="7" t="s">
        <v>1252</v>
      </c>
      <c r="I1390" s="249">
        <v>150</v>
      </c>
      <c r="J1390" s="249">
        <v>12606</v>
      </c>
      <c r="K1390" s="595">
        <f t="shared" si="65"/>
        <v>1890900</v>
      </c>
      <c r="L1390" s="39" t="s">
        <v>162</v>
      </c>
      <c r="M1390" s="596" t="s">
        <v>156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IF(OR(TH!L1390=TH!$U$7,M1390=TH!$U$7),"x","")</f>
        <v/>
      </c>
      <c r="V1390" s="52" t="str">
        <f>IF(AND(B1390&gt;='IN-NX'!$P$3,B1390&lt;='IN-NX'!$Q$3,'IN-NX'!$D$7=D1390,OR(LEFT(L1390,2)="15",AND(LEFT(M1390,2)&lt;&gt;"15",LEFT(M1390,2)&lt;&gt;"33"))),"x","")</f>
        <v/>
      </c>
      <c r="W1390" s="52" t="str">
        <f>IF(AND(OR(LEFT(TH!L1390,2)="15",LEFT(TH!M1390,2)="15"),'152-CT'!$J$8=TH!F1390),"x","")</f>
        <v/>
      </c>
      <c r="X1390" s="52" t="str">
        <f>IF(AND(OR(LEFT(TH!L1390,2)="15",LEFT(TH!M1390,2)="15"),TK!$E$7=TH!F1390),"x","")</f>
        <v/>
      </c>
      <c r="Y1390" s="52" t="str">
        <f>IF(AND(B1390&lt;=NKC!$N$8,B1390&gt;=NKC!$M$8),"x","")</f>
        <v/>
      </c>
    </row>
    <row r="1391" spans="1:25" s="208" customFormat="1" ht="15.75" customHeight="1">
      <c r="A1391" s="201" t="str">
        <f>IF(B1391&lt;&gt;"",IF(AND(B1391&gt;=_TM1,B1391&lt;=_TM2,OR(TH!L1391="1111",TH!M1391="1111")),TH!D1391,""),"")</f>
        <v/>
      </c>
      <c r="B1391" s="36">
        <f t="shared" si="66"/>
        <v>11</v>
      </c>
      <c r="C1391" s="188">
        <f t="shared" si="64"/>
        <v>41605</v>
      </c>
      <c r="D1391" s="188" t="s">
        <v>1260</v>
      </c>
      <c r="E1391" s="188">
        <v>41605</v>
      </c>
      <c r="F1391" s="189" t="s">
        <v>1192</v>
      </c>
      <c r="G1391" s="480" t="s">
        <v>994</v>
      </c>
      <c r="H1391" s="7" t="s">
        <v>1252</v>
      </c>
      <c r="I1391" s="249">
        <v>40</v>
      </c>
      <c r="J1391" s="249">
        <v>19950</v>
      </c>
      <c r="K1391" s="595">
        <f t="shared" si="65"/>
        <v>798000</v>
      </c>
      <c r="L1391" s="39" t="s">
        <v>162</v>
      </c>
      <c r="M1391" s="596" t="s">
        <v>156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IF(OR(TH!L1391=TH!$U$7,M1391=TH!$U$7),"x","")</f>
        <v/>
      </c>
      <c r="V1391" s="52" t="str">
        <f>IF(AND(B1391&gt;='IN-NX'!$P$3,B1391&lt;='IN-NX'!$Q$3,'IN-NX'!$D$7=D1391,OR(LEFT(L1391,2)="15",AND(LEFT(M1391,2)&lt;&gt;"15",LEFT(M1391,2)&lt;&gt;"33"))),"x","")</f>
        <v/>
      </c>
      <c r="W1391" s="52" t="str">
        <f>IF(AND(OR(LEFT(TH!L1391,2)="15",LEFT(TH!M1391,2)="15"),'152-CT'!$J$8=TH!F1391),"x","")</f>
        <v/>
      </c>
      <c r="X1391" s="52" t="str">
        <f>IF(AND(OR(LEFT(TH!L1391,2)="15",LEFT(TH!M1391,2)="15"),TK!$E$7=TH!F1391),"x","")</f>
        <v/>
      </c>
      <c r="Y1391" s="52" t="str">
        <f>IF(AND(B1391&lt;=NKC!$N$8,B1391&gt;=NKC!$M$8),"x","")</f>
        <v/>
      </c>
    </row>
    <row r="1392" spans="1:25" s="208" customFormat="1" ht="15.75" customHeight="1">
      <c r="A1392" s="201" t="str">
        <f>IF(B1392&lt;&gt;"",IF(AND(B1392&gt;=_TM1,B1392&lt;=_TM2,OR(TH!L1392="1111",TH!M1392="1111")),TH!D1392,""),"")</f>
        <v/>
      </c>
      <c r="B1392" s="36">
        <f t="shared" si="66"/>
        <v>11</v>
      </c>
      <c r="C1392" s="188">
        <f t="shared" si="64"/>
        <v>41605</v>
      </c>
      <c r="D1392" s="188" t="s">
        <v>1260</v>
      </c>
      <c r="E1392" s="188">
        <v>41605</v>
      </c>
      <c r="F1392" s="189" t="s">
        <v>657</v>
      </c>
      <c r="G1392" s="480" t="s">
        <v>996</v>
      </c>
      <c r="H1392" s="7" t="s">
        <v>1252</v>
      </c>
      <c r="I1392" s="249">
        <v>1236</v>
      </c>
      <c r="J1392" s="249">
        <v>16000</v>
      </c>
      <c r="K1392" s="595">
        <f t="shared" si="65"/>
        <v>19776000</v>
      </c>
      <c r="L1392" s="39" t="s">
        <v>162</v>
      </c>
      <c r="M1392" s="596" t="s">
        <v>156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IF(OR(TH!L1392=TH!$U$7,M1392=TH!$U$7),"x","")</f>
        <v/>
      </c>
      <c r="V1392" s="52" t="str">
        <f>IF(AND(B1392&gt;='IN-NX'!$P$3,B1392&lt;='IN-NX'!$Q$3,'IN-NX'!$D$7=D1392,OR(LEFT(L1392,2)="15",AND(LEFT(M1392,2)&lt;&gt;"15",LEFT(M1392,2)&lt;&gt;"33"))),"x","")</f>
        <v/>
      </c>
      <c r="W1392" s="52" t="str">
        <f>IF(AND(OR(LEFT(TH!L1392,2)="15",LEFT(TH!M1392,2)="15"),'152-CT'!$J$8=TH!F1392),"x","")</f>
        <v/>
      </c>
      <c r="X1392" s="52" t="str">
        <f>IF(AND(OR(LEFT(TH!L1392,2)="15",LEFT(TH!M1392,2)="15"),TK!$E$7=TH!F1392),"x","")</f>
        <v/>
      </c>
      <c r="Y1392" s="52" t="str">
        <f>IF(AND(B1392&lt;=NKC!$N$8,B1392&gt;=NKC!$M$8),"x","")</f>
        <v/>
      </c>
    </row>
    <row r="1393" spans="1:25" s="208" customFormat="1" ht="15.75" customHeight="1">
      <c r="A1393" s="201" t="str">
        <f>IF(B1393&lt;&gt;"",IF(AND(B1393&gt;=_TM1,B1393&lt;=_TM2,OR(TH!L1393="1111",TH!M1393="1111")),TH!D1393,""),"")</f>
        <v/>
      </c>
      <c r="B1393" s="36">
        <f t="shared" si="66"/>
        <v>12</v>
      </c>
      <c r="C1393" s="188">
        <f t="shared" si="64"/>
        <v>41609</v>
      </c>
      <c r="D1393" s="188" t="s">
        <v>1260</v>
      </c>
      <c r="E1393" s="188">
        <v>41609</v>
      </c>
      <c r="F1393" s="189" t="s">
        <v>556</v>
      </c>
      <c r="G1393" s="480" t="s">
        <v>997</v>
      </c>
      <c r="H1393" s="7" t="s">
        <v>1252</v>
      </c>
      <c r="I1393" s="249">
        <v>260</v>
      </c>
      <c r="J1393" s="249">
        <v>16626</v>
      </c>
      <c r="K1393" s="595">
        <f t="shared" si="65"/>
        <v>4322760</v>
      </c>
      <c r="L1393" s="39" t="s">
        <v>162</v>
      </c>
      <c r="M1393" s="596" t="s">
        <v>156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IF(OR(TH!L1393=TH!$U$7,M1393=TH!$U$7),"x","")</f>
        <v/>
      </c>
      <c r="V1393" s="52" t="str">
        <f>IF(AND(B1393&gt;='IN-NX'!$P$3,B1393&lt;='IN-NX'!$Q$3,'IN-NX'!$D$7=D1393,OR(LEFT(L1393,2)="15",AND(LEFT(M1393,2)&lt;&gt;"15",LEFT(M1393,2)&lt;&gt;"33"))),"x","")</f>
        <v/>
      </c>
      <c r="W1393" s="52" t="str">
        <f>IF(AND(OR(LEFT(TH!L1393,2)="15",LEFT(TH!M1393,2)="15"),'152-CT'!$J$8=TH!F1393),"x","")</f>
        <v/>
      </c>
      <c r="X1393" s="52" t="str">
        <f>IF(AND(OR(LEFT(TH!L1393,2)="15",LEFT(TH!M1393,2)="15"),TK!$E$7=TH!F1393),"x","")</f>
        <v/>
      </c>
      <c r="Y1393" s="52" t="str">
        <f>IF(AND(B1393&lt;=NKC!$N$8,B1393&gt;=NKC!$M$8),"x","")</f>
        <v/>
      </c>
    </row>
    <row r="1394" spans="1:25" s="208" customFormat="1" ht="15.75" customHeight="1">
      <c r="A1394" s="201" t="str">
        <f>IF(B1394&lt;&gt;"",IF(AND(B1394&gt;=_TM1,B1394&lt;=_TM2,OR(TH!L1394="1111",TH!M1394="1111")),TH!D1394,""),"")</f>
        <v/>
      </c>
      <c r="B1394" s="36">
        <f t="shared" si="66"/>
        <v>12</v>
      </c>
      <c r="C1394" s="188">
        <f t="shared" si="64"/>
        <v>41609</v>
      </c>
      <c r="D1394" s="188" t="s">
        <v>1260</v>
      </c>
      <c r="E1394" s="188">
        <v>41609</v>
      </c>
      <c r="F1394" s="189" t="s">
        <v>634</v>
      </c>
      <c r="G1394" s="480" t="s">
        <v>997</v>
      </c>
      <c r="H1394" s="7" t="s">
        <v>1252</v>
      </c>
      <c r="I1394" s="249">
        <v>255</v>
      </c>
      <c r="J1394" s="249">
        <v>16375</v>
      </c>
      <c r="K1394" s="595">
        <f t="shared" si="65"/>
        <v>4175625</v>
      </c>
      <c r="L1394" s="39" t="s">
        <v>162</v>
      </c>
      <c r="M1394" s="596" t="s">
        <v>156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IF(OR(TH!L1394=TH!$U$7,M1394=TH!$U$7),"x","")</f>
        <v/>
      </c>
      <c r="V1394" s="52" t="str">
        <f>IF(AND(B1394&gt;='IN-NX'!$P$3,B1394&lt;='IN-NX'!$Q$3,'IN-NX'!$D$7=D1394,OR(LEFT(L1394,2)="15",AND(LEFT(M1394,2)&lt;&gt;"15",LEFT(M1394,2)&lt;&gt;"33"))),"x","")</f>
        <v/>
      </c>
      <c r="W1394" s="52" t="str">
        <f>IF(AND(OR(LEFT(TH!L1394,2)="15",LEFT(TH!M1394,2)="15"),'152-CT'!$J$8=TH!F1394),"x","")</f>
        <v/>
      </c>
      <c r="X1394" s="52" t="str">
        <f>IF(AND(OR(LEFT(TH!L1394,2)="15",LEFT(TH!M1394,2)="15"),TK!$E$7=TH!F1394),"x","")</f>
        <v/>
      </c>
      <c r="Y1394" s="52" t="str">
        <f>IF(AND(B1394&lt;=NKC!$N$8,B1394&gt;=NKC!$M$8),"x","")</f>
        <v/>
      </c>
    </row>
    <row r="1395" spans="1:25" s="208" customFormat="1" ht="15.75" customHeight="1">
      <c r="A1395" s="201" t="str">
        <f>IF(B1395&lt;&gt;"",IF(AND(B1395&gt;=_TM1,B1395&lt;=_TM2,OR(TH!L1395="1111",TH!M1395="1111")),TH!D1395,""),"")</f>
        <v/>
      </c>
      <c r="B1395" s="36">
        <f t="shared" si="66"/>
        <v>12</v>
      </c>
      <c r="C1395" s="188">
        <f t="shared" si="64"/>
        <v>41610</v>
      </c>
      <c r="D1395" s="188" t="s">
        <v>1260</v>
      </c>
      <c r="E1395" s="800">
        <v>41610</v>
      </c>
      <c r="F1395" s="189" t="s">
        <v>680</v>
      </c>
      <c r="G1395" s="480" t="s">
        <v>998</v>
      </c>
      <c r="H1395" s="7" t="s">
        <v>1252</v>
      </c>
      <c r="I1395" s="249">
        <v>205</v>
      </c>
      <c r="J1395" s="249">
        <v>6760</v>
      </c>
      <c r="K1395" s="595">
        <f t="shared" si="65"/>
        <v>1385800</v>
      </c>
      <c r="L1395" s="39" t="s">
        <v>162</v>
      </c>
      <c r="M1395" s="596" t="s">
        <v>156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IF(OR(TH!L1395=TH!$U$7,M1395=TH!$U$7),"x","")</f>
        <v/>
      </c>
      <c r="V1395" s="52" t="str">
        <f>IF(AND(B1395&gt;='IN-NX'!$P$3,B1395&lt;='IN-NX'!$Q$3,'IN-NX'!$D$7=D1395,OR(LEFT(L1395,2)="15",AND(LEFT(M1395,2)&lt;&gt;"15",LEFT(M1395,2)&lt;&gt;"33"))),"x","")</f>
        <v/>
      </c>
      <c r="W1395" s="52" t="str">
        <f>IF(AND(OR(LEFT(TH!L1395,2)="15",LEFT(TH!M1395,2)="15"),'152-CT'!$J$8=TH!F1395),"x","")</f>
        <v/>
      </c>
      <c r="X1395" s="52" t="str">
        <f>IF(AND(OR(LEFT(TH!L1395,2)="15",LEFT(TH!M1395,2)="15"),TK!$E$7=TH!F1395),"x","")</f>
        <v/>
      </c>
      <c r="Y1395" s="52" t="str">
        <f>IF(AND(B1395&lt;=NKC!$N$8,B1395&gt;=NKC!$M$8),"x","")</f>
        <v/>
      </c>
    </row>
    <row r="1396" spans="1:25" s="208" customFormat="1" ht="15.75" customHeight="1">
      <c r="A1396" s="201" t="str">
        <f>IF(B1396&lt;&gt;"",IF(AND(B1396&gt;=_TM1,B1396&lt;=_TM2,OR(TH!L1396="1111",TH!M1396="1111")),TH!D1396,""),"")</f>
        <v/>
      </c>
      <c r="B1396" s="36">
        <f t="shared" si="66"/>
        <v>12</v>
      </c>
      <c r="C1396" s="188">
        <f t="shared" si="64"/>
        <v>41610</v>
      </c>
      <c r="D1396" s="188" t="s">
        <v>1260</v>
      </c>
      <c r="E1396" s="800">
        <v>41610</v>
      </c>
      <c r="F1396" s="189" t="s">
        <v>593</v>
      </c>
      <c r="G1396" s="480" t="s">
        <v>998</v>
      </c>
      <c r="H1396" s="7" t="s">
        <v>1252</v>
      </c>
      <c r="I1396" s="249">
        <v>50</v>
      </c>
      <c r="J1396" s="249">
        <v>15713</v>
      </c>
      <c r="K1396" s="595">
        <f t="shared" si="65"/>
        <v>785650</v>
      </c>
      <c r="L1396" s="39" t="s">
        <v>162</v>
      </c>
      <c r="M1396" s="596" t="s">
        <v>156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IF(OR(TH!L1396=TH!$U$7,M1396=TH!$U$7),"x","")</f>
        <v/>
      </c>
      <c r="V1396" s="52" t="str">
        <f>IF(AND(B1396&gt;='IN-NX'!$P$3,B1396&lt;='IN-NX'!$Q$3,'IN-NX'!$D$7=D1396,OR(LEFT(L1396,2)="15",AND(LEFT(M1396,2)&lt;&gt;"15",LEFT(M1396,2)&lt;&gt;"33"))),"x","")</f>
        <v/>
      </c>
      <c r="W1396" s="52" t="str">
        <f>IF(AND(OR(LEFT(TH!L1396,2)="15",LEFT(TH!M1396,2)="15"),'152-CT'!$J$8=TH!F1396),"x","")</f>
        <v/>
      </c>
      <c r="X1396" s="52" t="str">
        <f>IF(AND(OR(LEFT(TH!L1396,2)="15",LEFT(TH!M1396,2)="15"),TK!$E$7=TH!F1396),"x","")</f>
        <v/>
      </c>
      <c r="Y1396" s="52" t="str">
        <f>IF(AND(B1396&lt;=NKC!$N$8,B1396&gt;=NKC!$M$8),"x","")</f>
        <v/>
      </c>
    </row>
    <row r="1397" spans="1:25" s="208" customFormat="1" ht="15.75" customHeight="1">
      <c r="A1397" s="201" t="str">
        <f>IF(B1397&lt;&gt;"",IF(AND(B1397&gt;=_TM1,B1397&lt;=_TM2,OR(TH!L1397="1111",TH!M1397="1111")),TH!D1397,""),"")</f>
        <v/>
      </c>
      <c r="B1397" s="36">
        <f t="shared" si="66"/>
        <v>12</v>
      </c>
      <c r="C1397" s="188">
        <f t="shared" si="64"/>
        <v>41612</v>
      </c>
      <c r="D1397" s="188" t="s">
        <v>1260</v>
      </c>
      <c r="E1397" s="733">
        <v>41612</v>
      </c>
      <c r="F1397" s="186" t="s">
        <v>685</v>
      </c>
      <c r="G1397" s="40" t="s">
        <v>629</v>
      </c>
      <c r="H1397" s="7" t="s">
        <v>1252</v>
      </c>
      <c r="I1397" s="249">
        <v>390</v>
      </c>
      <c r="J1397" s="249">
        <v>21907.443037974685</v>
      </c>
      <c r="K1397" s="595">
        <f t="shared" si="65"/>
        <v>8543903</v>
      </c>
      <c r="L1397" s="39" t="s">
        <v>162</v>
      </c>
      <c r="M1397" s="596" t="s">
        <v>156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IF(OR(TH!L1397=TH!$U$7,M1397=TH!$U$7),"x","")</f>
        <v/>
      </c>
      <c r="V1397" s="52" t="str">
        <f>IF(AND(B1397&gt;='IN-NX'!$P$3,B1397&lt;='IN-NX'!$Q$3,'IN-NX'!$D$7=D1397,OR(LEFT(L1397,2)="15",AND(LEFT(M1397,2)&lt;&gt;"15",LEFT(M1397,2)&lt;&gt;"33"))),"x","")</f>
        <v/>
      </c>
      <c r="W1397" s="52" t="str">
        <f>IF(AND(OR(LEFT(TH!L1397,2)="15",LEFT(TH!M1397,2)="15"),'152-CT'!$J$8=TH!F1397),"x","")</f>
        <v/>
      </c>
      <c r="X1397" s="52" t="str">
        <f>IF(AND(OR(LEFT(TH!L1397,2)="15",LEFT(TH!M1397,2)="15"),TK!$E$7=TH!F1397),"x","")</f>
        <v/>
      </c>
      <c r="Y1397" s="52" t="str">
        <f>IF(AND(B1397&lt;=NKC!$N$8,B1397&gt;=NKC!$M$8),"x","")</f>
        <v/>
      </c>
    </row>
    <row r="1398" spans="1:25" s="208" customFormat="1" ht="15.75" customHeight="1">
      <c r="A1398" s="201" t="str">
        <f>IF(B1398&lt;&gt;"",IF(AND(B1398&gt;=_TM1,B1398&lt;=_TM2,OR(TH!L1398="1111",TH!M1398="1111")),TH!D1398,""),"")</f>
        <v/>
      </c>
      <c r="B1398" s="36">
        <f t="shared" si="66"/>
        <v>12</v>
      </c>
      <c r="C1398" s="188">
        <f t="shared" si="64"/>
        <v>41617</v>
      </c>
      <c r="D1398" s="188" t="s">
        <v>1260</v>
      </c>
      <c r="E1398" s="799">
        <v>41617</v>
      </c>
      <c r="F1398" s="40" t="s">
        <v>555</v>
      </c>
      <c r="G1398" s="40" t="s">
        <v>999</v>
      </c>
      <c r="H1398" s="7" t="s">
        <v>1252</v>
      </c>
      <c r="I1398" s="249">
        <v>201</v>
      </c>
      <c r="J1398" s="249">
        <v>17438</v>
      </c>
      <c r="K1398" s="595">
        <f t="shared" si="65"/>
        <v>3505038</v>
      </c>
      <c r="L1398" s="39" t="s">
        <v>162</v>
      </c>
      <c r="M1398" s="596" t="s">
        <v>156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IF(OR(TH!L1398=TH!$U$7,M1398=TH!$U$7),"x","")</f>
        <v/>
      </c>
      <c r="V1398" s="52" t="str">
        <f>IF(AND(B1398&gt;='IN-NX'!$P$3,B1398&lt;='IN-NX'!$Q$3,'IN-NX'!$D$7=D1398,OR(LEFT(L1398,2)="15",AND(LEFT(M1398,2)&lt;&gt;"15",LEFT(M1398,2)&lt;&gt;"33"))),"x","")</f>
        <v/>
      </c>
      <c r="W1398" s="52" t="str">
        <f>IF(AND(OR(LEFT(TH!L1398,2)="15",LEFT(TH!M1398,2)="15"),'152-CT'!$J$8=TH!F1398),"x","")</f>
        <v/>
      </c>
      <c r="X1398" s="52" t="str">
        <f>IF(AND(OR(LEFT(TH!L1398,2)="15",LEFT(TH!M1398,2)="15"),TK!$E$7=TH!F1398),"x","")</f>
        <v/>
      </c>
      <c r="Y1398" s="52" t="str">
        <f>IF(AND(B1398&lt;=NKC!$N$8,B1398&gt;=NKC!$M$8),"x","")</f>
        <v/>
      </c>
    </row>
    <row r="1399" spans="1:25" s="208" customFormat="1" ht="15.75" customHeight="1">
      <c r="A1399" s="201" t="str">
        <f>IF(B1399&lt;&gt;"",IF(AND(B1399&gt;=_TM1,B1399&lt;=_TM2,OR(TH!L1399="1111",TH!M1399="1111")),TH!D1399,""),"")</f>
        <v/>
      </c>
      <c r="B1399" s="36">
        <f t="shared" si="66"/>
        <v>12</v>
      </c>
      <c r="C1399" s="188">
        <f t="shared" si="64"/>
        <v>41619</v>
      </c>
      <c r="D1399" s="188" t="s">
        <v>1260</v>
      </c>
      <c r="E1399" s="799">
        <v>41619</v>
      </c>
      <c r="F1399" s="40" t="s">
        <v>685</v>
      </c>
      <c r="G1399" s="40" t="s">
        <v>1000</v>
      </c>
      <c r="H1399" s="7" t="s">
        <v>1252</v>
      </c>
      <c r="I1399" s="249">
        <v>390</v>
      </c>
      <c r="J1399" s="249">
        <v>21907.441025641026</v>
      </c>
      <c r="K1399" s="595">
        <f t="shared" si="65"/>
        <v>8543902</v>
      </c>
      <c r="L1399" s="39" t="s">
        <v>162</v>
      </c>
      <c r="M1399" s="596" t="s">
        <v>156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IF(OR(TH!L1399=TH!$U$7,M1399=TH!$U$7),"x","")</f>
        <v/>
      </c>
      <c r="V1399" s="52" t="str">
        <f>IF(AND(B1399&gt;='IN-NX'!$P$3,B1399&lt;='IN-NX'!$Q$3,'IN-NX'!$D$7=D1399,OR(LEFT(L1399,2)="15",AND(LEFT(M1399,2)&lt;&gt;"15",LEFT(M1399,2)&lt;&gt;"33"))),"x","")</f>
        <v/>
      </c>
      <c r="W1399" s="52" t="str">
        <f>IF(AND(OR(LEFT(TH!L1399,2)="15",LEFT(TH!M1399,2)="15"),'152-CT'!$J$8=TH!F1399),"x","")</f>
        <v/>
      </c>
      <c r="X1399" s="52" t="str">
        <f>IF(AND(OR(LEFT(TH!L1399,2)="15",LEFT(TH!M1399,2)="15"),TK!$E$7=TH!F1399),"x","")</f>
        <v/>
      </c>
      <c r="Y1399" s="52" t="str">
        <f>IF(AND(B1399&lt;=NKC!$N$8,B1399&gt;=NKC!$M$8),"x","")</f>
        <v/>
      </c>
    </row>
    <row r="1400" spans="1:25" s="208" customFormat="1" ht="15.75" customHeight="1">
      <c r="A1400" s="201" t="str">
        <f>IF(B1400&lt;&gt;"",IF(AND(B1400&gt;=_TM1,B1400&lt;=_TM2,OR(TH!L1400="1111",TH!M1400="1111")),TH!D1400,""),"")</f>
        <v/>
      </c>
      <c r="B1400" s="36">
        <f t="shared" si="66"/>
        <v>12</v>
      </c>
      <c r="C1400" s="188">
        <f t="shared" si="64"/>
        <v>41621</v>
      </c>
      <c r="D1400" s="188" t="s">
        <v>1260</v>
      </c>
      <c r="E1400" s="799">
        <v>41621</v>
      </c>
      <c r="F1400" s="40" t="s">
        <v>1209</v>
      </c>
      <c r="G1400" s="40" t="s">
        <v>1001</v>
      </c>
      <c r="H1400" s="7" t="s">
        <v>1252</v>
      </c>
      <c r="I1400" s="249">
        <v>515</v>
      </c>
      <c r="J1400" s="249">
        <v>19910.05909888824</v>
      </c>
      <c r="K1400" s="595">
        <f t="shared" si="65"/>
        <v>10253680</v>
      </c>
      <c r="L1400" s="39" t="s">
        <v>162</v>
      </c>
      <c r="M1400" s="596" t="s">
        <v>156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IF(OR(TH!L1400=TH!$U$7,M1400=TH!$U$7),"x","")</f>
        <v/>
      </c>
      <c r="V1400" s="52" t="str">
        <f>IF(AND(B1400&gt;='IN-NX'!$P$3,B1400&lt;='IN-NX'!$Q$3,'IN-NX'!$D$7=D1400,OR(LEFT(L1400,2)="15",AND(LEFT(M1400,2)&lt;&gt;"15",LEFT(M1400,2)&lt;&gt;"33"))),"x","")</f>
        <v/>
      </c>
      <c r="W1400" s="52" t="str">
        <f>IF(AND(OR(LEFT(TH!L1400,2)="15",LEFT(TH!M1400,2)="15"),'152-CT'!$J$8=TH!F1400),"x","")</f>
        <v/>
      </c>
      <c r="X1400" s="52" t="str">
        <f>IF(AND(OR(LEFT(TH!L1400,2)="15",LEFT(TH!M1400,2)="15"),TK!$E$7=TH!F1400),"x","")</f>
        <v/>
      </c>
      <c r="Y1400" s="52" t="str">
        <f>IF(AND(B1400&lt;=NKC!$N$8,B1400&gt;=NKC!$M$8),"x","")</f>
        <v/>
      </c>
    </row>
    <row r="1401" spans="1:25" s="208" customFormat="1" ht="15.75" customHeight="1">
      <c r="A1401" s="201" t="str">
        <f>IF(B1401&lt;&gt;"",IF(AND(B1401&gt;=_TM1,B1401&lt;=_TM2,OR(TH!L1401="1111",TH!M1401="1111")),TH!D1401,""),"")</f>
        <v/>
      </c>
      <c r="B1401" s="36">
        <f t="shared" si="66"/>
        <v>12</v>
      </c>
      <c r="C1401" s="188">
        <f t="shared" si="64"/>
        <v>41622</v>
      </c>
      <c r="D1401" s="188" t="s">
        <v>1260</v>
      </c>
      <c r="E1401" s="799">
        <v>41622</v>
      </c>
      <c r="F1401" s="189" t="s">
        <v>677</v>
      </c>
      <c r="G1401" s="40" t="s">
        <v>1002</v>
      </c>
      <c r="H1401" s="7" t="s">
        <v>1252</v>
      </c>
      <c r="I1401" s="249">
        <v>800</v>
      </c>
      <c r="J1401" s="249">
        <v>9000</v>
      </c>
      <c r="K1401" s="595">
        <f t="shared" si="65"/>
        <v>7200000</v>
      </c>
      <c r="L1401" s="39" t="s">
        <v>162</v>
      </c>
      <c r="M1401" s="596" t="s">
        <v>156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IF(OR(TH!L1401=TH!$U$7,M1401=TH!$U$7),"x","")</f>
        <v/>
      </c>
      <c r="V1401" s="52" t="str">
        <f>IF(AND(B1401&gt;='IN-NX'!$P$3,B1401&lt;='IN-NX'!$Q$3,'IN-NX'!$D$7=D1401,OR(LEFT(L1401,2)="15",AND(LEFT(M1401,2)&lt;&gt;"15",LEFT(M1401,2)&lt;&gt;"33"))),"x","")</f>
        <v/>
      </c>
      <c r="W1401" s="52" t="str">
        <f>IF(AND(OR(LEFT(TH!L1401,2)="15",LEFT(TH!M1401,2)="15"),'152-CT'!$J$8=TH!F1401),"x","")</f>
        <v/>
      </c>
      <c r="X1401" s="52" t="str">
        <f>IF(AND(OR(LEFT(TH!L1401,2)="15",LEFT(TH!M1401,2)="15"),TK!$E$7=TH!F1401),"x","")</f>
        <v/>
      </c>
      <c r="Y1401" s="52" t="str">
        <f>IF(AND(B1401&lt;=NKC!$N$8,B1401&gt;=NKC!$M$8),"x","")</f>
        <v/>
      </c>
    </row>
    <row r="1402" spans="1:25" s="208" customFormat="1" ht="15.75" customHeight="1">
      <c r="A1402" s="201" t="str">
        <f>IF(B1402&lt;&gt;"",IF(AND(B1402&gt;=_TM1,B1402&lt;=_TM2,OR(TH!L1402="1111",TH!M1402="1111")),TH!D1402,""),"")</f>
        <v/>
      </c>
      <c r="B1402" s="36">
        <f t="shared" si="66"/>
        <v>12</v>
      </c>
      <c r="C1402" s="188">
        <f t="shared" si="64"/>
        <v>41623</v>
      </c>
      <c r="D1402" s="188" t="s">
        <v>1260</v>
      </c>
      <c r="E1402" s="799">
        <v>41623</v>
      </c>
      <c r="F1402" s="40" t="s">
        <v>634</v>
      </c>
      <c r="G1402" s="40" t="s">
        <v>1003</v>
      </c>
      <c r="H1402" s="7" t="s">
        <v>1252</v>
      </c>
      <c r="I1402" s="249">
        <v>255</v>
      </c>
      <c r="J1402" s="249">
        <v>16375</v>
      </c>
      <c r="K1402" s="595">
        <f t="shared" si="65"/>
        <v>4175625</v>
      </c>
      <c r="L1402" s="39" t="s">
        <v>162</v>
      </c>
      <c r="M1402" s="596" t="s">
        <v>156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IF(OR(TH!L1402=TH!$U$7,M1402=TH!$U$7),"x","")</f>
        <v/>
      </c>
      <c r="V1402" s="52" t="str">
        <f>IF(AND(B1402&gt;='IN-NX'!$P$3,B1402&lt;='IN-NX'!$Q$3,'IN-NX'!$D$7=D1402,OR(LEFT(L1402,2)="15",AND(LEFT(M1402,2)&lt;&gt;"15",LEFT(M1402,2)&lt;&gt;"33"))),"x","")</f>
        <v/>
      </c>
      <c r="W1402" s="52" t="str">
        <f>IF(AND(OR(LEFT(TH!L1402,2)="15",LEFT(TH!M1402,2)="15"),'152-CT'!$J$8=TH!F1402),"x","")</f>
        <v/>
      </c>
      <c r="X1402" s="52" t="str">
        <f>IF(AND(OR(LEFT(TH!L1402,2)="15",LEFT(TH!M1402,2)="15"),TK!$E$7=TH!F1402),"x","")</f>
        <v/>
      </c>
      <c r="Y1402" s="52" t="str">
        <f>IF(AND(B1402&lt;=NKC!$N$8,B1402&gt;=NKC!$M$8),"x","")</f>
        <v/>
      </c>
    </row>
    <row r="1403" spans="1:25" s="208" customFormat="1" ht="15.75" customHeight="1">
      <c r="A1403" s="201" t="str">
        <f>IF(B1403&lt;&gt;"",IF(AND(B1403&gt;=_TM1,B1403&lt;=_TM2,OR(TH!L1403="1111",TH!M1403="1111")),TH!D1403,""),"")</f>
        <v/>
      </c>
      <c r="B1403" s="36">
        <f t="shared" si="66"/>
        <v>12</v>
      </c>
      <c r="C1403" s="188">
        <f t="shared" si="64"/>
        <v>41625</v>
      </c>
      <c r="D1403" s="188" t="s">
        <v>1260</v>
      </c>
      <c r="E1403" s="37">
        <v>41625</v>
      </c>
      <c r="F1403" s="40" t="s">
        <v>642</v>
      </c>
      <c r="G1403" s="40" t="s">
        <v>1004</v>
      </c>
      <c r="H1403" s="7" t="s">
        <v>1252</v>
      </c>
      <c r="I1403" s="249">
        <v>150</v>
      </c>
      <c r="J1403" s="249">
        <v>10904</v>
      </c>
      <c r="K1403" s="595">
        <f t="shared" si="65"/>
        <v>1635600</v>
      </c>
      <c r="L1403" s="39" t="s">
        <v>162</v>
      </c>
      <c r="M1403" s="596" t="s">
        <v>156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IF(OR(TH!L1403=TH!$U$7,M1403=TH!$U$7),"x","")</f>
        <v/>
      </c>
      <c r="V1403" s="52" t="str">
        <f>IF(AND(B1403&gt;='IN-NX'!$P$3,B1403&lt;='IN-NX'!$Q$3,'IN-NX'!$D$7=D1403,OR(LEFT(L1403,2)="15",AND(LEFT(M1403,2)&lt;&gt;"15",LEFT(M1403,2)&lt;&gt;"33"))),"x","")</f>
        <v/>
      </c>
      <c r="W1403" s="52" t="str">
        <f>IF(AND(OR(LEFT(TH!L1403,2)="15",LEFT(TH!M1403,2)="15"),'152-CT'!$J$8=TH!F1403),"x","")</f>
        <v/>
      </c>
      <c r="X1403" s="52" t="str">
        <f>IF(AND(OR(LEFT(TH!L1403,2)="15",LEFT(TH!M1403,2)="15"),TK!$E$7=TH!F1403),"x","")</f>
        <v/>
      </c>
      <c r="Y1403" s="52" t="str">
        <f>IF(AND(B1403&lt;=NKC!$N$8,B1403&gt;=NKC!$M$8),"x","")</f>
        <v/>
      </c>
    </row>
    <row r="1404" spans="1:25" s="208" customFormat="1" ht="15.75" customHeight="1">
      <c r="A1404" s="201" t="str">
        <f>IF(B1404&lt;&gt;"",IF(AND(B1404&gt;=_TM1,B1404&lt;=_TM2,OR(TH!L1404="1111",TH!M1404="1111")),TH!D1404,""),"")</f>
        <v/>
      </c>
      <c r="B1404" s="36">
        <f t="shared" si="66"/>
        <v>12</v>
      </c>
      <c r="C1404" s="188">
        <f t="shared" ref="C1404:C1467" si="67">E1404</f>
        <v>41625</v>
      </c>
      <c r="D1404" s="188" t="s">
        <v>1260</v>
      </c>
      <c r="E1404" s="37">
        <v>41625</v>
      </c>
      <c r="F1404" s="40" t="s">
        <v>585</v>
      </c>
      <c r="G1404" s="40" t="s">
        <v>1004</v>
      </c>
      <c r="H1404" s="7" t="s">
        <v>1252</v>
      </c>
      <c r="I1404" s="249">
        <v>106</v>
      </c>
      <c r="J1404" s="249">
        <v>12528</v>
      </c>
      <c r="K1404" s="595">
        <f t="shared" ref="K1404:K1467" si="68">ROUND(I1404*J1404,0)</f>
        <v>1327968</v>
      </c>
      <c r="L1404" s="39" t="s">
        <v>162</v>
      </c>
      <c r="M1404" s="596" t="s">
        <v>156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IF(OR(TH!L1404=TH!$U$7,M1404=TH!$U$7),"x","")</f>
        <v/>
      </c>
      <c r="V1404" s="52" t="str">
        <f>IF(AND(B1404&gt;='IN-NX'!$P$3,B1404&lt;='IN-NX'!$Q$3,'IN-NX'!$D$7=D1404,OR(LEFT(L1404,2)="15",AND(LEFT(M1404,2)&lt;&gt;"15",LEFT(M1404,2)&lt;&gt;"33"))),"x","")</f>
        <v/>
      </c>
      <c r="W1404" s="52" t="str">
        <f>IF(AND(OR(LEFT(TH!L1404,2)="15",LEFT(TH!M1404,2)="15"),'152-CT'!$J$8=TH!F1404),"x","")</f>
        <v/>
      </c>
      <c r="X1404" s="52" t="str">
        <f>IF(AND(OR(LEFT(TH!L1404,2)="15",LEFT(TH!M1404,2)="15"),TK!$E$7=TH!F1404),"x","")</f>
        <v/>
      </c>
      <c r="Y1404" s="52" t="str">
        <f>IF(AND(B1404&lt;=NKC!$N$8,B1404&gt;=NKC!$M$8),"x","")</f>
        <v/>
      </c>
    </row>
    <row r="1405" spans="1:25" s="208" customFormat="1" ht="15.75" customHeight="1">
      <c r="A1405" s="201" t="str">
        <f>IF(B1405&lt;&gt;"",IF(AND(B1405&gt;=_TM1,B1405&lt;=_TM2,OR(TH!L1405="1111",TH!M1405="1111")),TH!D1405,""),"")</f>
        <v/>
      </c>
      <c r="B1405" s="36">
        <f t="shared" si="66"/>
        <v>12</v>
      </c>
      <c r="C1405" s="188">
        <f t="shared" si="67"/>
        <v>41625</v>
      </c>
      <c r="D1405" s="188" t="s">
        <v>1260</v>
      </c>
      <c r="E1405" s="37">
        <v>41625</v>
      </c>
      <c r="F1405" s="40" t="s">
        <v>597</v>
      </c>
      <c r="G1405" s="40" t="s">
        <v>1004</v>
      </c>
      <c r="H1405" s="7" t="s">
        <v>1252</v>
      </c>
      <c r="I1405" s="249">
        <v>283</v>
      </c>
      <c r="J1405" s="249">
        <v>8385</v>
      </c>
      <c r="K1405" s="595">
        <f t="shared" si="68"/>
        <v>2372955</v>
      </c>
      <c r="L1405" s="39" t="s">
        <v>162</v>
      </c>
      <c r="M1405" s="596" t="s">
        <v>156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IF(OR(TH!L1405=TH!$U$7,M1405=TH!$U$7),"x","")</f>
        <v/>
      </c>
      <c r="V1405" s="52" t="str">
        <f>IF(AND(B1405&gt;='IN-NX'!$P$3,B1405&lt;='IN-NX'!$Q$3,'IN-NX'!$D$7=D1405,OR(LEFT(L1405,2)="15",AND(LEFT(M1405,2)&lt;&gt;"15",LEFT(M1405,2)&lt;&gt;"33"))),"x","")</f>
        <v/>
      </c>
      <c r="W1405" s="52" t="str">
        <f>IF(AND(OR(LEFT(TH!L1405,2)="15",LEFT(TH!M1405,2)="15"),'152-CT'!$J$8=TH!F1405),"x","")</f>
        <v/>
      </c>
      <c r="X1405" s="52" t="str">
        <f>IF(AND(OR(LEFT(TH!L1405,2)="15",LEFT(TH!M1405,2)="15"),TK!$E$7=TH!F1405),"x","")</f>
        <v/>
      </c>
      <c r="Y1405" s="52" t="str">
        <f>IF(AND(B1405&lt;=NKC!$N$8,B1405&gt;=NKC!$M$8),"x","")</f>
        <v/>
      </c>
    </row>
    <row r="1406" spans="1:25" s="208" customFormat="1" ht="15.75" customHeight="1">
      <c r="A1406" s="201" t="str">
        <f>IF(B1406&lt;&gt;"",IF(AND(B1406&gt;=_TM1,B1406&lt;=_TM2,OR(TH!L1406="1111",TH!M1406="1111")),TH!D1406,""),"")</f>
        <v/>
      </c>
      <c r="B1406" s="36">
        <f t="shared" si="66"/>
        <v>12</v>
      </c>
      <c r="C1406" s="188">
        <f t="shared" si="67"/>
        <v>41625</v>
      </c>
      <c r="D1406" s="188" t="s">
        <v>1260</v>
      </c>
      <c r="E1406" s="37">
        <v>41625</v>
      </c>
      <c r="F1406" s="189" t="s">
        <v>639</v>
      </c>
      <c r="G1406" s="40" t="s">
        <v>1004</v>
      </c>
      <c r="H1406" s="7" t="s">
        <v>1252</v>
      </c>
      <c r="I1406" s="249">
        <v>203</v>
      </c>
      <c r="J1406" s="249">
        <v>10801</v>
      </c>
      <c r="K1406" s="595">
        <f t="shared" si="68"/>
        <v>2192603</v>
      </c>
      <c r="L1406" s="39" t="s">
        <v>162</v>
      </c>
      <c r="M1406" s="596" t="s">
        <v>156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IF(OR(TH!L1406=TH!$U$7,M1406=TH!$U$7),"x","")</f>
        <v/>
      </c>
      <c r="V1406" s="52" t="str">
        <f>IF(AND(B1406&gt;='IN-NX'!$P$3,B1406&lt;='IN-NX'!$Q$3,'IN-NX'!$D$7=D1406,OR(LEFT(L1406,2)="15",AND(LEFT(M1406,2)&lt;&gt;"15",LEFT(M1406,2)&lt;&gt;"33"))),"x","")</f>
        <v/>
      </c>
      <c r="W1406" s="52" t="str">
        <f>IF(AND(OR(LEFT(TH!L1406,2)="15",LEFT(TH!M1406,2)="15"),'152-CT'!$J$8=TH!F1406),"x","")</f>
        <v/>
      </c>
      <c r="X1406" s="52" t="str">
        <f>IF(AND(OR(LEFT(TH!L1406,2)="15",LEFT(TH!M1406,2)="15"),TK!$E$7=TH!F1406),"x","")</f>
        <v/>
      </c>
      <c r="Y1406" s="52" t="str">
        <f>IF(AND(B1406&lt;=NKC!$N$8,B1406&gt;=NKC!$M$8),"x","")</f>
        <v/>
      </c>
    </row>
    <row r="1407" spans="1:25" s="208" customFormat="1" ht="15.75" customHeight="1">
      <c r="A1407" s="201" t="str">
        <f>IF(B1407&lt;&gt;"",IF(AND(B1407&gt;=_TM1,B1407&lt;=_TM2,OR(TH!L1407="1111",TH!M1407="1111")),TH!D1407,""),"")</f>
        <v/>
      </c>
      <c r="B1407" s="36">
        <f t="shared" si="66"/>
        <v>12</v>
      </c>
      <c r="C1407" s="188">
        <f t="shared" si="67"/>
        <v>41625</v>
      </c>
      <c r="D1407" s="188" t="s">
        <v>1260</v>
      </c>
      <c r="E1407" s="37">
        <v>41625</v>
      </c>
      <c r="F1407" s="40" t="s">
        <v>1198</v>
      </c>
      <c r="G1407" s="40" t="s">
        <v>1004</v>
      </c>
      <c r="H1407" s="7" t="s">
        <v>1252</v>
      </c>
      <c r="I1407" s="249">
        <v>60</v>
      </c>
      <c r="J1407" s="249">
        <v>22301</v>
      </c>
      <c r="K1407" s="595">
        <f t="shared" si="68"/>
        <v>1338060</v>
      </c>
      <c r="L1407" s="39" t="s">
        <v>162</v>
      </c>
      <c r="M1407" s="596" t="s">
        <v>156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IF(OR(TH!L1407=TH!$U$7,M1407=TH!$U$7),"x","")</f>
        <v/>
      </c>
      <c r="V1407" s="52" t="str">
        <f>IF(AND(B1407&gt;='IN-NX'!$P$3,B1407&lt;='IN-NX'!$Q$3,'IN-NX'!$D$7=D1407,OR(LEFT(L1407,2)="15",AND(LEFT(M1407,2)&lt;&gt;"15",LEFT(M1407,2)&lt;&gt;"33"))),"x","")</f>
        <v/>
      </c>
      <c r="W1407" s="52" t="str">
        <f>IF(AND(OR(LEFT(TH!L1407,2)="15",LEFT(TH!M1407,2)="15"),'152-CT'!$J$8=TH!F1407),"x","")</f>
        <v/>
      </c>
      <c r="X1407" s="52" t="str">
        <f>IF(AND(OR(LEFT(TH!L1407,2)="15",LEFT(TH!M1407,2)="15"),TK!$E$7=TH!F1407),"x","")</f>
        <v/>
      </c>
      <c r="Y1407" s="52" t="str">
        <f>IF(AND(B1407&lt;=NKC!$N$8,B1407&gt;=NKC!$M$8),"x","")</f>
        <v/>
      </c>
    </row>
    <row r="1408" spans="1:25" s="208" customFormat="1" ht="15.75" customHeight="1">
      <c r="A1408" s="201" t="str">
        <f>IF(B1408&lt;&gt;"",IF(AND(B1408&gt;=_TM1,B1408&lt;=_TM2,OR(TH!L1408="1111",TH!M1408="1111")),TH!D1408,""),"")</f>
        <v/>
      </c>
      <c r="B1408" s="36">
        <f t="shared" si="66"/>
        <v>12</v>
      </c>
      <c r="C1408" s="188">
        <f t="shared" si="67"/>
        <v>41625</v>
      </c>
      <c r="D1408" s="188" t="s">
        <v>1260</v>
      </c>
      <c r="E1408" s="181">
        <v>41625</v>
      </c>
      <c r="F1408" s="186" t="s">
        <v>680</v>
      </c>
      <c r="G1408" s="597" t="s">
        <v>1004</v>
      </c>
      <c r="H1408" s="7" t="s">
        <v>1252</v>
      </c>
      <c r="I1408" s="249">
        <v>445</v>
      </c>
      <c r="J1408" s="249">
        <v>6760</v>
      </c>
      <c r="K1408" s="595">
        <f t="shared" si="68"/>
        <v>3008200</v>
      </c>
      <c r="L1408" s="39" t="s">
        <v>162</v>
      </c>
      <c r="M1408" s="596" t="s">
        <v>156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IF(OR(TH!L1408=TH!$U$7,M1408=TH!$U$7),"x","")</f>
        <v/>
      </c>
      <c r="V1408" s="52" t="str">
        <f>IF(AND(B1408&gt;='IN-NX'!$P$3,B1408&lt;='IN-NX'!$Q$3,'IN-NX'!$D$7=D1408,OR(LEFT(L1408,2)="15",AND(LEFT(M1408,2)&lt;&gt;"15",LEFT(M1408,2)&lt;&gt;"33"))),"x","")</f>
        <v/>
      </c>
      <c r="W1408" s="52" t="str">
        <f>IF(AND(OR(LEFT(TH!L1408,2)="15",LEFT(TH!M1408,2)="15"),'152-CT'!$J$8=TH!F1408),"x","")</f>
        <v/>
      </c>
      <c r="X1408" s="52" t="str">
        <f>IF(AND(OR(LEFT(TH!L1408,2)="15",LEFT(TH!M1408,2)="15"),TK!$E$7=TH!F1408),"x","")</f>
        <v/>
      </c>
      <c r="Y1408" s="52" t="str">
        <f>IF(AND(B1408&lt;=NKC!$N$8,B1408&gt;=NKC!$M$8),"x","")</f>
        <v/>
      </c>
    </row>
    <row r="1409" spans="1:25" s="208" customFormat="1" ht="15.75" customHeight="1">
      <c r="A1409" s="201" t="str">
        <f>IF(B1409&lt;&gt;"",IF(AND(B1409&gt;=_TM1,B1409&lt;=_TM2,OR(TH!L1409="1111",TH!M1409="1111")),TH!D1409,""),"")</f>
        <v/>
      </c>
      <c r="B1409" s="36">
        <f t="shared" si="66"/>
        <v>12</v>
      </c>
      <c r="C1409" s="188">
        <f t="shared" si="67"/>
        <v>41625</v>
      </c>
      <c r="D1409" s="188" t="s">
        <v>1260</v>
      </c>
      <c r="E1409" s="188">
        <v>41625</v>
      </c>
      <c r="F1409" s="189" t="s">
        <v>663</v>
      </c>
      <c r="G1409" s="480" t="s">
        <v>1004</v>
      </c>
      <c r="H1409" s="7" t="s">
        <v>1252</v>
      </c>
      <c r="I1409" s="249">
        <v>104</v>
      </c>
      <c r="J1409" s="249">
        <v>6656</v>
      </c>
      <c r="K1409" s="595">
        <f t="shared" si="68"/>
        <v>692224</v>
      </c>
      <c r="L1409" s="39" t="s">
        <v>162</v>
      </c>
      <c r="M1409" s="596" t="s">
        <v>156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IF(OR(TH!L1409=TH!$U$7,M1409=TH!$U$7),"x","")</f>
        <v/>
      </c>
      <c r="V1409" s="52" t="str">
        <f>IF(AND(B1409&gt;='IN-NX'!$P$3,B1409&lt;='IN-NX'!$Q$3,'IN-NX'!$D$7=D1409,OR(LEFT(L1409,2)="15",AND(LEFT(M1409,2)&lt;&gt;"15",LEFT(M1409,2)&lt;&gt;"33"))),"x","")</f>
        <v/>
      </c>
      <c r="W1409" s="52" t="str">
        <f>IF(AND(OR(LEFT(TH!L1409,2)="15",LEFT(TH!M1409,2)="15"),'152-CT'!$J$8=TH!F1409),"x","")</f>
        <v/>
      </c>
      <c r="X1409" s="52" t="str">
        <f>IF(AND(OR(LEFT(TH!L1409,2)="15",LEFT(TH!M1409,2)="15"),TK!$E$7=TH!F1409),"x","")</f>
        <v/>
      </c>
      <c r="Y1409" s="52" t="str">
        <f>IF(AND(B1409&lt;=NKC!$N$8,B1409&gt;=NKC!$M$8),"x","")</f>
        <v/>
      </c>
    </row>
    <row r="1410" spans="1:25" s="208" customFormat="1" ht="15.75" customHeight="1">
      <c r="A1410" s="201" t="str">
        <f>IF(B1410&lt;&gt;"",IF(AND(B1410&gt;=_TM1,B1410&lt;=_TM2,OR(TH!L1410="1111",TH!M1410="1111")),TH!D1410,""),"")</f>
        <v/>
      </c>
      <c r="B1410" s="36">
        <f t="shared" si="66"/>
        <v>12</v>
      </c>
      <c r="C1410" s="188">
        <f t="shared" si="67"/>
        <v>41625</v>
      </c>
      <c r="D1410" s="188" t="s">
        <v>1260</v>
      </c>
      <c r="E1410" s="188">
        <v>41625</v>
      </c>
      <c r="F1410" s="189" t="s">
        <v>678</v>
      </c>
      <c r="G1410" s="480" t="s">
        <v>1004</v>
      </c>
      <c r="H1410" s="7" t="s">
        <v>1252</v>
      </c>
      <c r="I1410" s="249">
        <v>56</v>
      </c>
      <c r="J1410" s="249">
        <v>15000</v>
      </c>
      <c r="K1410" s="595">
        <f t="shared" si="68"/>
        <v>840000</v>
      </c>
      <c r="L1410" s="39" t="s">
        <v>162</v>
      </c>
      <c r="M1410" s="596" t="s">
        <v>156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IF(OR(TH!L1410=TH!$U$7,M1410=TH!$U$7),"x","")</f>
        <v/>
      </c>
      <c r="V1410" s="52" t="str">
        <f>IF(AND(B1410&gt;='IN-NX'!$P$3,B1410&lt;='IN-NX'!$Q$3,'IN-NX'!$D$7=D1410,OR(LEFT(L1410,2)="15",AND(LEFT(M1410,2)&lt;&gt;"15",LEFT(M1410,2)&lt;&gt;"33"))),"x","")</f>
        <v/>
      </c>
      <c r="W1410" s="52" t="str">
        <f>IF(AND(OR(LEFT(TH!L1410,2)="15",LEFT(TH!M1410,2)="15"),'152-CT'!$J$8=TH!F1410),"x","")</f>
        <v/>
      </c>
      <c r="X1410" s="52" t="str">
        <f>IF(AND(OR(LEFT(TH!L1410,2)="15",LEFT(TH!M1410,2)="15"),TK!$E$7=TH!F1410),"x","")</f>
        <v/>
      </c>
      <c r="Y1410" s="52" t="str">
        <f>IF(AND(B1410&lt;=NKC!$N$8,B1410&gt;=NKC!$M$8),"x","")</f>
        <v/>
      </c>
    </row>
    <row r="1411" spans="1:25" s="208" customFormat="1" ht="15.75" customHeight="1">
      <c r="A1411" s="201" t="str">
        <f>IF(B1411&lt;&gt;"",IF(AND(B1411&gt;=_TM1,B1411&lt;=_TM2,OR(TH!L1411="1111",TH!M1411="1111")),TH!D1411,""),"")</f>
        <v/>
      </c>
      <c r="B1411" s="36">
        <f t="shared" si="66"/>
        <v>12</v>
      </c>
      <c r="C1411" s="188">
        <f t="shared" si="67"/>
        <v>41628</v>
      </c>
      <c r="D1411" s="188" t="s">
        <v>1260</v>
      </c>
      <c r="E1411" s="188">
        <v>41628</v>
      </c>
      <c r="F1411" s="189" t="s">
        <v>558</v>
      </c>
      <c r="G1411" s="480" t="s">
        <v>1006</v>
      </c>
      <c r="H1411" s="7" t="s">
        <v>1252</v>
      </c>
      <c r="I1411" s="249">
        <v>258</v>
      </c>
      <c r="J1411" s="249">
        <v>19896</v>
      </c>
      <c r="K1411" s="595">
        <f t="shared" si="68"/>
        <v>5133168</v>
      </c>
      <c r="L1411" s="39" t="s">
        <v>162</v>
      </c>
      <c r="M1411" s="596" t="s">
        <v>156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IF(OR(TH!L1411=TH!$U$7,M1411=TH!$U$7),"x","")</f>
        <v/>
      </c>
      <c r="V1411" s="52" t="str">
        <f>IF(AND(B1411&gt;='IN-NX'!$P$3,B1411&lt;='IN-NX'!$Q$3,'IN-NX'!$D$7=D1411,OR(LEFT(L1411,2)="15",AND(LEFT(M1411,2)&lt;&gt;"15",LEFT(M1411,2)&lt;&gt;"33"))),"x","")</f>
        <v/>
      </c>
      <c r="W1411" s="52" t="str">
        <f>IF(AND(OR(LEFT(TH!L1411,2)="15",LEFT(TH!M1411,2)="15"),'152-CT'!$J$8=TH!F1411),"x","")</f>
        <v/>
      </c>
      <c r="X1411" s="52" t="str">
        <f>IF(AND(OR(LEFT(TH!L1411,2)="15",LEFT(TH!M1411,2)="15"),TK!$E$7=TH!F1411),"x","")</f>
        <v/>
      </c>
      <c r="Y1411" s="52" t="str">
        <f>IF(AND(B1411&lt;=NKC!$N$8,B1411&gt;=NKC!$M$8),"x","")</f>
        <v/>
      </c>
    </row>
    <row r="1412" spans="1:25" s="208" customFormat="1" ht="15.75" customHeight="1">
      <c r="A1412" s="201" t="str">
        <f>IF(B1412&lt;&gt;"",IF(AND(B1412&gt;=_TM1,B1412&lt;=_TM2,OR(TH!L1412="1111",TH!M1412="1111")),TH!D1412,""),"")</f>
        <v/>
      </c>
      <c r="B1412" s="36">
        <f t="shared" si="66"/>
        <v>12</v>
      </c>
      <c r="C1412" s="188">
        <f t="shared" si="67"/>
        <v>41630</v>
      </c>
      <c r="D1412" s="188" t="s">
        <v>1260</v>
      </c>
      <c r="E1412" s="188">
        <v>41630</v>
      </c>
      <c r="F1412" s="189" t="s">
        <v>680</v>
      </c>
      <c r="G1412" s="480" t="s">
        <v>1007</v>
      </c>
      <c r="H1412" s="7" t="s">
        <v>1252</v>
      </c>
      <c r="I1412" s="249">
        <v>1000</v>
      </c>
      <c r="J1412" s="249">
        <v>6760</v>
      </c>
      <c r="K1412" s="595">
        <f t="shared" si="68"/>
        <v>6760000</v>
      </c>
      <c r="L1412" s="39" t="s">
        <v>162</v>
      </c>
      <c r="M1412" s="596" t="s">
        <v>156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IF(OR(TH!L1412=TH!$U$7,M1412=TH!$U$7),"x","")</f>
        <v/>
      </c>
      <c r="V1412" s="52" t="str">
        <f>IF(AND(B1412&gt;='IN-NX'!$P$3,B1412&lt;='IN-NX'!$Q$3,'IN-NX'!$D$7=D1412,OR(LEFT(L1412,2)="15",AND(LEFT(M1412,2)&lt;&gt;"15",LEFT(M1412,2)&lt;&gt;"33"))),"x","")</f>
        <v/>
      </c>
      <c r="W1412" s="52" t="str">
        <f>IF(AND(OR(LEFT(TH!L1412,2)="15",LEFT(TH!M1412,2)="15"),'152-CT'!$J$8=TH!F1412),"x","")</f>
        <v/>
      </c>
      <c r="X1412" s="52" t="str">
        <f>IF(AND(OR(LEFT(TH!L1412,2)="15",LEFT(TH!M1412,2)="15"),TK!$E$7=TH!F1412),"x","")</f>
        <v/>
      </c>
      <c r="Y1412" s="52" t="str">
        <f>IF(AND(B1412&lt;=NKC!$N$8,B1412&gt;=NKC!$M$8),"x","")</f>
        <v/>
      </c>
    </row>
    <row r="1413" spans="1:25" s="208" customFormat="1" ht="15.75" customHeight="1">
      <c r="A1413" s="201" t="str">
        <f>IF(B1413&lt;&gt;"",IF(AND(B1413&gt;=_TM1,B1413&lt;=_TM2,OR(TH!L1413="1111",TH!M1413="1111")),TH!D1413,""),"")</f>
        <v/>
      </c>
      <c r="B1413" s="36">
        <f t="shared" si="66"/>
        <v>12</v>
      </c>
      <c r="C1413" s="188">
        <f t="shared" si="67"/>
        <v>41632</v>
      </c>
      <c r="D1413" s="188" t="s">
        <v>1260</v>
      </c>
      <c r="E1413" s="37">
        <v>41632</v>
      </c>
      <c r="F1413" s="40" t="s">
        <v>596</v>
      </c>
      <c r="G1413" s="40" t="s">
        <v>1008</v>
      </c>
      <c r="H1413" s="7" t="s">
        <v>1252</v>
      </c>
      <c r="I1413" s="249">
        <v>70</v>
      </c>
      <c r="J1413" s="249">
        <v>31288</v>
      </c>
      <c r="K1413" s="595">
        <f t="shared" si="68"/>
        <v>2190160</v>
      </c>
      <c r="L1413" s="39" t="s">
        <v>162</v>
      </c>
      <c r="M1413" s="596" t="s">
        <v>156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IF(OR(TH!L1413=TH!$U$7,M1413=TH!$U$7),"x","")</f>
        <v/>
      </c>
      <c r="V1413" s="52" t="str">
        <f>IF(AND(B1413&gt;='IN-NX'!$P$3,B1413&lt;='IN-NX'!$Q$3,'IN-NX'!$D$7=D1413,OR(LEFT(L1413,2)="15",AND(LEFT(M1413,2)&lt;&gt;"15",LEFT(M1413,2)&lt;&gt;"33"))),"x","")</f>
        <v/>
      </c>
      <c r="W1413" s="52" t="str">
        <f>IF(AND(OR(LEFT(TH!L1413,2)="15",LEFT(TH!M1413,2)="15"),'152-CT'!$J$8=TH!F1413),"x","")</f>
        <v/>
      </c>
      <c r="X1413" s="52" t="str">
        <f>IF(AND(OR(LEFT(TH!L1413,2)="15",LEFT(TH!M1413,2)="15"),TK!$E$7=TH!F1413),"x","")</f>
        <v/>
      </c>
      <c r="Y1413" s="52" t="str">
        <f>IF(AND(B1413&lt;=NKC!$N$8,B1413&gt;=NKC!$M$8),"x","")</f>
        <v/>
      </c>
    </row>
    <row r="1414" spans="1:25" s="208" customFormat="1" ht="15.75" customHeight="1">
      <c r="A1414" s="201" t="str">
        <f>IF(B1414&lt;&gt;"",IF(AND(B1414&gt;=_TM1,B1414&lt;=_TM2,OR(TH!L1414="1111",TH!M1414="1111")),TH!D1414,""),"")</f>
        <v/>
      </c>
      <c r="B1414" s="36">
        <f t="shared" si="66"/>
        <v>12</v>
      </c>
      <c r="C1414" s="188">
        <f t="shared" si="67"/>
        <v>41632</v>
      </c>
      <c r="D1414" s="188" t="s">
        <v>1260</v>
      </c>
      <c r="E1414" s="37">
        <v>41632</v>
      </c>
      <c r="F1414" s="40" t="s">
        <v>575</v>
      </c>
      <c r="G1414" s="40" t="s">
        <v>1008</v>
      </c>
      <c r="H1414" s="7" t="s">
        <v>1252</v>
      </c>
      <c r="I1414" s="249">
        <v>10</v>
      </c>
      <c r="J1414" s="249">
        <v>38966</v>
      </c>
      <c r="K1414" s="595">
        <f t="shared" si="68"/>
        <v>389660</v>
      </c>
      <c r="L1414" s="39" t="s">
        <v>162</v>
      </c>
      <c r="M1414" s="596" t="s">
        <v>156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IF(OR(TH!L1414=TH!$U$7,M1414=TH!$U$7),"x","")</f>
        <v/>
      </c>
      <c r="V1414" s="52" t="str">
        <f>IF(AND(B1414&gt;='IN-NX'!$P$3,B1414&lt;='IN-NX'!$Q$3,'IN-NX'!$D$7=D1414,OR(LEFT(L1414,2)="15",AND(LEFT(M1414,2)&lt;&gt;"15",LEFT(M1414,2)&lt;&gt;"33"))),"x","")</f>
        <v/>
      </c>
      <c r="W1414" s="52" t="str">
        <f>IF(AND(OR(LEFT(TH!L1414,2)="15",LEFT(TH!M1414,2)="15"),'152-CT'!$J$8=TH!F1414),"x","")</f>
        <v/>
      </c>
      <c r="X1414" s="52" t="str">
        <f>IF(AND(OR(LEFT(TH!L1414,2)="15",LEFT(TH!M1414,2)="15"),TK!$E$7=TH!F1414),"x","")</f>
        <v/>
      </c>
      <c r="Y1414" s="52" t="str">
        <f>IF(AND(B1414&lt;=NKC!$N$8,B1414&gt;=NKC!$M$8),"x","")</f>
        <v/>
      </c>
    </row>
    <row r="1415" spans="1:25" s="208" customFormat="1" ht="15.75" customHeight="1">
      <c r="A1415" s="201" t="str">
        <f>IF(B1415&lt;&gt;"",IF(AND(B1415&gt;=_TM1,B1415&lt;=_TM2,OR(TH!L1415="1111",TH!M1415="1111")),TH!D1415,""),"")</f>
        <v/>
      </c>
      <c r="B1415" s="36">
        <f t="shared" si="66"/>
        <v>12</v>
      </c>
      <c r="C1415" s="188">
        <f t="shared" si="67"/>
        <v>41632</v>
      </c>
      <c r="D1415" s="188" t="s">
        <v>1260</v>
      </c>
      <c r="E1415" s="37">
        <v>41632</v>
      </c>
      <c r="F1415" s="40" t="s">
        <v>575</v>
      </c>
      <c r="G1415" s="40" t="s">
        <v>1008</v>
      </c>
      <c r="H1415" s="7" t="s">
        <v>1252</v>
      </c>
      <c r="I1415" s="249">
        <v>20</v>
      </c>
      <c r="J1415" s="249">
        <v>38966</v>
      </c>
      <c r="K1415" s="595">
        <f t="shared" si="68"/>
        <v>779320</v>
      </c>
      <c r="L1415" s="39" t="s">
        <v>162</v>
      </c>
      <c r="M1415" s="596" t="s">
        <v>156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IF(OR(TH!L1415=TH!$U$7,M1415=TH!$U$7),"x","")</f>
        <v/>
      </c>
      <c r="V1415" s="52" t="str">
        <f>IF(AND(B1415&gt;='IN-NX'!$P$3,B1415&lt;='IN-NX'!$Q$3,'IN-NX'!$D$7=D1415,OR(LEFT(L1415,2)="15",AND(LEFT(M1415,2)&lt;&gt;"15",LEFT(M1415,2)&lt;&gt;"33"))),"x","")</f>
        <v/>
      </c>
      <c r="W1415" s="52" t="str">
        <f>IF(AND(OR(LEFT(TH!L1415,2)="15",LEFT(TH!M1415,2)="15"),'152-CT'!$J$8=TH!F1415),"x","")</f>
        <v/>
      </c>
      <c r="X1415" s="52" t="str">
        <f>IF(AND(OR(LEFT(TH!L1415,2)="15",LEFT(TH!M1415,2)="15"),TK!$E$7=TH!F1415),"x","")</f>
        <v/>
      </c>
      <c r="Y1415" s="52" t="str">
        <f>IF(AND(B1415&lt;=NKC!$N$8,B1415&gt;=NKC!$M$8),"x","")</f>
        <v/>
      </c>
    </row>
    <row r="1416" spans="1:25" s="208" customFormat="1" ht="15.75" customHeight="1">
      <c r="A1416" s="201" t="str">
        <f>IF(B1416&lt;&gt;"",IF(AND(B1416&gt;=_TM1,B1416&lt;=_TM2,OR(TH!L1416="1111",TH!M1416="1111")),TH!D1416,""),"")</f>
        <v/>
      </c>
      <c r="B1416" s="36">
        <f t="shared" si="66"/>
        <v>12</v>
      </c>
      <c r="C1416" s="188">
        <f t="shared" si="67"/>
        <v>41632</v>
      </c>
      <c r="D1416" s="188" t="s">
        <v>1260</v>
      </c>
      <c r="E1416" s="37">
        <v>41632</v>
      </c>
      <c r="F1416" s="40" t="s">
        <v>628</v>
      </c>
      <c r="G1416" s="40" t="s">
        <v>1009</v>
      </c>
      <c r="H1416" s="7" t="s">
        <v>1252</v>
      </c>
      <c r="I1416" s="249">
        <v>350</v>
      </c>
      <c r="J1416" s="249">
        <v>20290</v>
      </c>
      <c r="K1416" s="595">
        <f t="shared" si="68"/>
        <v>7101500</v>
      </c>
      <c r="L1416" s="39" t="s">
        <v>162</v>
      </c>
      <c r="M1416" s="596" t="s">
        <v>156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IF(OR(TH!L1416=TH!$U$7,M1416=TH!$U$7),"x","")</f>
        <v/>
      </c>
      <c r="V1416" s="52" t="str">
        <f>IF(AND(B1416&gt;='IN-NX'!$P$3,B1416&lt;='IN-NX'!$Q$3,'IN-NX'!$D$7=D1416,OR(LEFT(L1416,2)="15",AND(LEFT(M1416,2)&lt;&gt;"15",LEFT(M1416,2)&lt;&gt;"33"))),"x","")</f>
        <v/>
      </c>
      <c r="W1416" s="52" t="str">
        <f>IF(AND(OR(LEFT(TH!L1416,2)="15",LEFT(TH!M1416,2)="15"),'152-CT'!$J$8=TH!F1416),"x","")</f>
        <v/>
      </c>
      <c r="X1416" s="52" t="str">
        <f>IF(AND(OR(LEFT(TH!L1416,2)="15",LEFT(TH!M1416,2)="15"),TK!$E$7=TH!F1416),"x","")</f>
        <v/>
      </c>
      <c r="Y1416" s="52" t="str">
        <f>IF(AND(B1416&lt;=NKC!$N$8,B1416&gt;=NKC!$M$8),"x","")</f>
        <v/>
      </c>
    </row>
    <row r="1417" spans="1:25" s="208" customFormat="1" ht="15.75" customHeight="1">
      <c r="A1417" s="201" t="str">
        <f>IF(B1417&lt;&gt;"",IF(AND(B1417&gt;=_TM1,B1417&lt;=_TM2,OR(TH!L1417="1111",TH!M1417="1111")),TH!D1417,""),"")</f>
        <v/>
      </c>
      <c r="B1417" s="36">
        <f t="shared" si="66"/>
        <v>12</v>
      </c>
      <c r="C1417" s="188">
        <f t="shared" si="67"/>
        <v>41633</v>
      </c>
      <c r="D1417" s="188" t="s">
        <v>1260</v>
      </c>
      <c r="E1417" s="37">
        <v>41633</v>
      </c>
      <c r="F1417" s="40" t="s">
        <v>1219</v>
      </c>
      <c r="G1417" s="40" t="s">
        <v>1010</v>
      </c>
      <c r="H1417" s="7" t="s">
        <v>1252</v>
      </c>
      <c r="I1417" s="249">
        <v>67</v>
      </c>
      <c r="J1417" s="249">
        <v>23028</v>
      </c>
      <c r="K1417" s="595">
        <f t="shared" si="68"/>
        <v>1542876</v>
      </c>
      <c r="L1417" s="39" t="s">
        <v>162</v>
      </c>
      <c r="M1417" s="596" t="s">
        <v>156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IF(OR(TH!L1417=TH!$U$7,M1417=TH!$U$7),"x","")</f>
        <v/>
      </c>
      <c r="V1417" s="52" t="str">
        <f>IF(AND(B1417&gt;='IN-NX'!$P$3,B1417&lt;='IN-NX'!$Q$3,'IN-NX'!$D$7=D1417,OR(LEFT(L1417,2)="15",AND(LEFT(M1417,2)&lt;&gt;"15",LEFT(M1417,2)&lt;&gt;"33"))),"x","")</f>
        <v/>
      </c>
      <c r="W1417" s="52" t="str">
        <f>IF(AND(OR(LEFT(TH!L1417,2)="15",LEFT(TH!M1417,2)="15"),'152-CT'!$J$8=TH!F1417),"x","")</f>
        <v/>
      </c>
      <c r="X1417" s="52" t="str">
        <f>IF(AND(OR(LEFT(TH!L1417,2)="15",LEFT(TH!M1417,2)="15"),TK!$E$7=TH!F1417),"x","")</f>
        <v/>
      </c>
      <c r="Y1417" s="52" t="str">
        <f>IF(AND(B1417&lt;=NKC!$N$8,B1417&gt;=NKC!$M$8),"x","")</f>
        <v/>
      </c>
    </row>
    <row r="1418" spans="1:25" s="798" customFormat="1" ht="15.75" customHeight="1">
      <c r="A1418" s="201" t="str">
        <f>IF(B1418&lt;&gt;"",IF(AND(B1418&gt;=_TM1,B1418&lt;=_TM2,OR(TH!L1418="1111",TH!M1418="1111")),TH!D1418,""),"")</f>
        <v/>
      </c>
      <c r="B1418" s="796">
        <f t="shared" si="66"/>
        <v>1</v>
      </c>
      <c r="C1418" s="853">
        <f t="shared" si="67"/>
        <v>41276</v>
      </c>
      <c r="D1418" s="854" t="s">
        <v>1261</v>
      </c>
      <c r="E1418" s="854">
        <v>41276</v>
      </c>
      <c r="F1418" s="855" t="s">
        <v>690</v>
      </c>
      <c r="G1418" s="855" t="s">
        <v>691</v>
      </c>
      <c r="H1418" s="856" t="s">
        <v>1257</v>
      </c>
      <c r="I1418" s="863">
        <v>905</v>
      </c>
      <c r="J1418" s="863">
        <v>5546.5167796569285</v>
      </c>
      <c r="K1418" s="793">
        <f t="shared" si="68"/>
        <v>5019598</v>
      </c>
      <c r="L1418" s="786" t="s">
        <v>164</v>
      </c>
      <c r="M1418" s="859" t="s">
        <v>162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IF(OR(TH!L1418=TH!$U$7,M1418=TH!$U$7),"x","")</f>
        <v/>
      </c>
      <c r="V1418" s="52" t="str">
        <f>IF(AND(B1418&gt;='IN-NX'!$P$3,B1418&lt;='IN-NX'!$Q$3,'IN-NX'!$D$7=D1418,OR(LEFT(L1418,2)="15",AND(LEFT(M1418,2)&lt;&gt;"15",LEFT(M1418,2)&lt;&gt;"33"))),"x","")</f>
        <v/>
      </c>
      <c r="W1418" s="52" t="str">
        <f>IF(AND(OR(LEFT(TH!L1418,2)="15",LEFT(TH!M1418,2)="15"),'152-CT'!$J$8=TH!F1418),"x","")</f>
        <v/>
      </c>
      <c r="X1418" s="52" t="str">
        <f>IF(AND(OR(LEFT(TH!L1418,2)="15",LEFT(TH!M1418,2)="15"),TK!$E$7=TH!F1418),"x","")</f>
        <v/>
      </c>
      <c r="Y1418" s="52" t="str">
        <f>IF(AND(B1418&lt;=NKC!$N$8,B1418&gt;=NKC!$M$8),"x","")</f>
        <v/>
      </c>
    </row>
    <row r="1419" spans="1:25" s="767" customFormat="1" ht="15.75" customHeight="1">
      <c r="A1419" s="201" t="str">
        <f>IF(B1419&lt;&gt;"",IF(AND(B1419&gt;=_TM1,B1419&lt;=_TM2,OR(TH!L1419="1111",TH!M1419="1111")),TH!D1419,""),"")</f>
        <v/>
      </c>
      <c r="B1419" s="692">
        <f t="shared" si="66"/>
        <v>1</v>
      </c>
      <c r="C1419" s="791">
        <f t="shared" si="67"/>
        <v>41276</v>
      </c>
      <c r="D1419" s="791" t="s">
        <v>1261</v>
      </c>
      <c r="E1419" s="791">
        <v>41276</v>
      </c>
      <c r="F1419" s="848" t="s">
        <v>692</v>
      </c>
      <c r="G1419" s="792" t="s">
        <v>691</v>
      </c>
      <c r="H1419" s="795" t="s">
        <v>1257</v>
      </c>
      <c r="I1419" s="248">
        <v>305</v>
      </c>
      <c r="J1419" s="248">
        <v>5358.1209821748162</v>
      </c>
      <c r="K1419" s="693">
        <f t="shared" si="68"/>
        <v>1634227</v>
      </c>
      <c r="L1419" s="52" t="s">
        <v>164</v>
      </c>
      <c r="M1419" s="849" t="s">
        <v>162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IF(OR(TH!L1419=TH!$U$7,M1419=TH!$U$7),"x","")</f>
        <v/>
      </c>
      <c r="V1419" s="52" t="str">
        <f>IF(AND(B1419&gt;='IN-NX'!$P$3,B1419&lt;='IN-NX'!$Q$3,'IN-NX'!$D$7=D1419,OR(LEFT(L1419,2)="15",AND(LEFT(M1419,2)&lt;&gt;"15",LEFT(M1419,2)&lt;&gt;"33"))),"x","")</f>
        <v/>
      </c>
      <c r="W1419" s="52" t="str">
        <f>IF(AND(OR(LEFT(TH!L1419,2)="15",LEFT(TH!M1419,2)="15"),'152-CT'!$J$8=TH!F1419),"x","")</f>
        <v/>
      </c>
      <c r="X1419" s="52" t="str">
        <f>IF(AND(OR(LEFT(TH!L1419,2)="15",LEFT(TH!M1419,2)="15"),TK!$E$7=TH!F1419),"x","")</f>
        <v/>
      </c>
      <c r="Y1419" s="52" t="str">
        <f>IF(AND(B1419&lt;=NKC!$N$8,B1419&gt;=NKC!$M$8),"x","")</f>
        <v/>
      </c>
    </row>
    <row r="1420" spans="1:25" s="767" customFormat="1" ht="15.75" customHeight="1">
      <c r="A1420" s="201" t="str">
        <f>IF(B1420&lt;&gt;"",IF(AND(B1420&gt;=_TM1,B1420&lt;=_TM2,OR(TH!L1420="1111",TH!M1420="1111")),TH!D1420,""),"")</f>
        <v/>
      </c>
      <c r="B1420" s="692">
        <f t="shared" si="66"/>
        <v>1</v>
      </c>
      <c r="C1420" s="791">
        <f t="shared" si="67"/>
        <v>41282</v>
      </c>
      <c r="D1420" s="791" t="s">
        <v>1261</v>
      </c>
      <c r="E1420" s="791">
        <v>41282</v>
      </c>
      <c r="F1420" s="848" t="s">
        <v>694</v>
      </c>
      <c r="G1420" s="792" t="s">
        <v>695</v>
      </c>
      <c r="H1420" s="795" t="s">
        <v>1257</v>
      </c>
      <c r="I1420" s="866">
        <v>480</v>
      </c>
      <c r="J1420" s="866">
        <v>10851.863810043669</v>
      </c>
      <c r="K1420" s="693">
        <f t="shared" si="68"/>
        <v>5208895</v>
      </c>
      <c r="L1420" s="52" t="s">
        <v>164</v>
      </c>
      <c r="M1420" s="849" t="s">
        <v>162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IF(OR(TH!L1420=TH!$U$7,M1420=TH!$U$7),"x","")</f>
        <v/>
      </c>
      <c r="V1420" s="52" t="str">
        <f>IF(AND(B1420&gt;='IN-NX'!$P$3,B1420&lt;='IN-NX'!$Q$3,'IN-NX'!$D$7=D1420,OR(LEFT(L1420,2)="15",AND(LEFT(M1420,2)&lt;&gt;"15",LEFT(M1420,2)&lt;&gt;"33"))),"x","")</f>
        <v/>
      </c>
      <c r="W1420" s="52" t="str">
        <f>IF(AND(OR(LEFT(TH!L1420,2)="15",LEFT(TH!M1420,2)="15"),'152-CT'!$J$8=TH!F1420),"x","")</f>
        <v/>
      </c>
      <c r="X1420" s="52" t="str">
        <f>IF(AND(OR(LEFT(TH!L1420,2)="15",LEFT(TH!M1420,2)="15"),TK!$E$7=TH!F1420),"x","")</f>
        <v/>
      </c>
      <c r="Y1420" s="52" t="str">
        <f>IF(AND(B1420&lt;=NKC!$N$8,B1420&gt;=NKC!$M$8),"x","")</f>
        <v/>
      </c>
    </row>
    <row r="1421" spans="1:25" s="767" customFormat="1" ht="15.75" customHeight="1">
      <c r="A1421" s="201" t="str">
        <f>IF(B1421&lt;&gt;"",IF(AND(B1421&gt;=_TM1,B1421&lt;=_TM2,OR(TH!L1421="1111",TH!M1421="1111")),TH!D1421,""),"")</f>
        <v/>
      </c>
      <c r="B1421" s="692">
        <f t="shared" si="66"/>
        <v>1</v>
      </c>
      <c r="C1421" s="791">
        <f t="shared" si="67"/>
        <v>41282</v>
      </c>
      <c r="D1421" s="791" t="s">
        <v>1261</v>
      </c>
      <c r="E1421" s="48">
        <v>41282</v>
      </c>
      <c r="F1421" s="49" t="s">
        <v>697</v>
      </c>
      <c r="G1421" s="49" t="s">
        <v>695</v>
      </c>
      <c r="H1421" s="795" t="s">
        <v>1257</v>
      </c>
      <c r="I1421" s="248">
        <v>199</v>
      </c>
      <c r="J1421" s="248">
        <v>6930.8791994909043</v>
      </c>
      <c r="K1421" s="693">
        <f t="shared" si="68"/>
        <v>1379245</v>
      </c>
      <c r="L1421" s="52" t="s">
        <v>164</v>
      </c>
      <c r="M1421" s="849" t="s">
        <v>162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IF(OR(TH!L1421=TH!$U$7,M1421=TH!$U$7),"x","")</f>
        <v/>
      </c>
      <c r="V1421" s="52" t="str">
        <f>IF(AND(B1421&gt;='IN-NX'!$P$3,B1421&lt;='IN-NX'!$Q$3,'IN-NX'!$D$7=D1421,OR(LEFT(L1421,2)="15",AND(LEFT(M1421,2)&lt;&gt;"15",LEFT(M1421,2)&lt;&gt;"33"))),"x","")</f>
        <v/>
      </c>
      <c r="W1421" s="52" t="str">
        <f>IF(AND(OR(LEFT(TH!L1421,2)="15",LEFT(TH!M1421,2)="15"),'152-CT'!$J$8=TH!F1421),"x","")</f>
        <v/>
      </c>
      <c r="X1421" s="52" t="str">
        <f>IF(AND(OR(LEFT(TH!L1421,2)="15",LEFT(TH!M1421,2)="15"),TK!$E$7=TH!F1421),"x","")</f>
        <v/>
      </c>
      <c r="Y1421" s="52" t="str">
        <f>IF(AND(B1421&lt;=NKC!$N$8,B1421&gt;=NKC!$M$8),"x","")</f>
        <v/>
      </c>
    </row>
    <row r="1422" spans="1:25" s="767" customFormat="1" ht="15.75" customHeight="1">
      <c r="A1422" s="201" t="str">
        <f>IF(B1422&lt;&gt;"",IF(AND(B1422&gt;=_TM1,B1422&lt;=_TM2,OR(TH!L1422="1111",TH!M1422="1111")),TH!D1422,""),"")</f>
        <v/>
      </c>
      <c r="B1422" s="692">
        <f t="shared" si="66"/>
        <v>1</v>
      </c>
      <c r="C1422" s="791">
        <f t="shared" si="67"/>
        <v>41284</v>
      </c>
      <c r="D1422" s="791" t="s">
        <v>1261</v>
      </c>
      <c r="E1422" s="48">
        <v>41284</v>
      </c>
      <c r="F1422" s="49" t="s">
        <v>698</v>
      </c>
      <c r="G1422" s="49" t="s">
        <v>699</v>
      </c>
      <c r="H1422" s="795" t="s">
        <v>1257</v>
      </c>
      <c r="I1422" s="248">
        <v>992</v>
      </c>
      <c r="J1422" s="248">
        <v>8115.5835681081835</v>
      </c>
      <c r="K1422" s="693">
        <f t="shared" si="68"/>
        <v>8050659</v>
      </c>
      <c r="L1422" s="52" t="s">
        <v>164</v>
      </c>
      <c r="M1422" s="849" t="s">
        <v>162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IF(OR(TH!L1422=TH!$U$7,M1422=TH!$U$7),"x","")</f>
        <v/>
      </c>
      <c r="V1422" s="52" t="str">
        <f>IF(AND(B1422&gt;='IN-NX'!$P$3,B1422&lt;='IN-NX'!$Q$3,'IN-NX'!$D$7=D1422,OR(LEFT(L1422,2)="15",AND(LEFT(M1422,2)&lt;&gt;"15",LEFT(M1422,2)&lt;&gt;"33"))),"x","")</f>
        <v/>
      </c>
      <c r="W1422" s="52" t="str">
        <f>IF(AND(OR(LEFT(TH!L1422,2)="15",LEFT(TH!M1422,2)="15"),'152-CT'!$J$8=TH!F1422),"x","")</f>
        <v/>
      </c>
      <c r="X1422" s="52" t="str">
        <f>IF(AND(OR(LEFT(TH!L1422,2)="15",LEFT(TH!M1422,2)="15"),TK!$E$7=TH!F1422),"x","")</f>
        <v/>
      </c>
      <c r="Y1422" s="52" t="str">
        <f>IF(AND(B1422&lt;=NKC!$N$8,B1422&gt;=NKC!$M$8),"x","")</f>
        <v/>
      </c>
    </row>
    <row r="1423" spans="1:25" s="767" customFormat="1" ht="15.75" customHeight="1">
      <c r="A1423" s="201" t="str">
        <f>IF(B1423&lt;&gt;"",IF(AND(B1423&gt;=_TM1,B1423&lt;=_TM2,OR(TH!L1423="1111",TH!M1423="1111")),TH!D1423,""),"")</f>
        <v/>
      </c>
      <c r="B1423" s="692">
        <f t="shared" si="66"/>
        <v>1</v>
      </c>
      <c r="C1423" s="791">
        <f t="shared" si="67"/>
        <v>41285</v>
      </c>
      <c r="D1423" s="791" t="s">
        <v>1261</v>
      </c>
      <c r="E1423" s="791">
        <v>41285</v>
      </c>
      <c r="F1423" s="867" t="s">
        <v>700</v>
      </c>
      <c r="G1423" s="868" t="s">
        <v>701</v>
      </c>
      <c r="H1423" s="795" t="s">
        <v>1257</v>
      </c>
      <c r="I1423" s="248">
        <v>202</v>
      </c>
      <c r="J1423" s="248">
        <v>6854.9052704397072</v>
      </c>
      <c r="K1423" s="693">
        <f t="shared" si="68"/>
        <v>1384691</v>
      </c>
      <c r="L1423" s="52" t="s">
        <v>164</v>
      </c>
      <c r="M1423" s="849" t="s">
        <v>162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IF(OR(TH!L1423=TH!$U$7,M1423=TH!$U$7),"x","")</f>
        <v/>
      </c>
      <c r="V1423" s="52" t="str">
        <f>IF(AND(B1423&gt;='IN-NX'!$P$3,B1423&lt;='IN-NX'!$Q$3,'IN-NX'!$D$7=D1423,OR(LEFT(L1423,2)="15",AND(LEFT(M1423,2)&lt;&gt;"15",LEFT(M1423,2)&lt;&gt;"33"))),"x","")</f>
        <v/>
      </c>
      <c r="W1423" s="52" t="str">
        <f>IF(AND(OR(LEFT(TH!L1423,2)="15",LEFT(TH!M1423,2)="15"),'152-CT'!$J$8=TH!F1423),"x","")</f>
        <v/>
      </c>
      <c r="X1423" s="52" t="str">
        <f>IF(AND(OR(LEFT(TH!L1423,2)="15",LEFT(TH!M1423,2)="15"),TK!$E$7=TH!F1423),"x","")</f>
        <v/>
      </c>
      <c r="Y1423" s="52" t="str">
        <f>IF(AND(B1423&lt;=NKC!$N$8,B1423&gt;=NKC!$M$8),"x","")</f>
        <v/>
      </c>
    </row>
    <row r="1424" spans="1:25" s="767" customFormat="1" ht="15.75" customHeight="1">
      <c r="A1424" s="201" t="str">
        <f>IF(B1424&lt;&gt;"",IF(AND(B1424&gt;=_TM1,B1424&lt;=_TM2,OR(TH!L1424="1111",TH!M1424="1111")),TH!D1424,""),"")</f>
        <v/>
      </c>
      <c r="B1424" s="692">
        <f t="shared" si="66"/>
        <v>1</v>
      </c>
      <c r="C1424" s="791">
        <f t="shared" si="67"/>
        <v>41285</v>
      </c>
      <c r="D1424" s="791" t="s">
        <v>1261</v>
      </c>
      <c r="E1424" s="791">
        <v>41285</v>
      </c>
      <c r="F1424" s="848" t="s">
        <v>702</v>
      </c>
      <c r="G1424" s="792" t="s">
        <v>701</v>
      </c>
      <c r="H1424" s="795" t="s">
        <v>1257</v>
      </c>
      <c r="I1424" s="248">
        <v>204</v>
      </c>
      <c r="J1424" s="248">
        <v>8096.6738590632767</v>
      </c>
      <c r="K1424" s="693">
        <f t="shared" si="68"/>
        <v>1651721</v>
      </c>
      <c r="L1424" s="52" t="s">
        <v>164</v>
      </c>
      <c r="M1424" s="849" t="s">
        <v>162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IF(OR(TH!L1424=TH!$U$7,M1424=TH!$U$7),"x","")</f>
        <v/>
      </c>
      <c r="V1424" s="52" t="str">
        <f>IF(AND(B1424&gt;='IN-NX'!$P$3,B1424&lt;='IN-NX'!$Q$3,'IN-NX'!$D$7=D1424,OR(LEFT(L1424,2)="15",AND(LEFT(M1424,2)&lt;&gt;"15",LEFT(M1424,2)&lt;&gt;"33"))),"x","")</f>
        <v/>
      </c>
      <c r="W1424" s="52" t="str">
        <f>IF(AND(OR(LEFT(TH!L1424,2)="15",LEFT(TH!M1424,2)="15"),'152-CT'!$J$8=TH!F1424),"x","")</f>
        <v/>
      </c>
      <c r="X1424" s="52" t="str">
        <f>IF(AND(OR(LEFT(TH!L1424,2)="15",LEFT(TH!M1424,2)="15"),TK!$E$7=TH!F1424),"x","")</f>
        <v/>
      </c>
      <c r="Y1424" s="52" t="str">
        <f>IF(AND(B1424&lt;=NKC!$N$8,B1424&gt;=NKC!$M$8),"x","")</f>
        <v/>
      </c>
    </row>
    <row r="1425" spans="1:25" s="767" customFormat="1" ht="15.75" customHeight="1">
      <c r="A1425" s="201" t="str">
        <f>IF(B1425&lt;&gt;"",IF(AND(B1425&gt;=_TM1,B1425&lt;=_TM2,OR(TH!L1425="1111",TH!M1425="1111")),TH!D1425,""),"")</f>
        <v/>
      </c>
      <c r="B1425" s="692">
        <f t="shared" si="66"/>
        <v>1</v>
      </c>
      <c r="C1425" s="791">
        <f t="shared" si="67"/>
        <v>41285</v>
      </c>
      <c r="D1425" s="791" t="s">
        <v>1261</v>
      </c>
      <c r="E1425" s="791">
        <v>41285</v>
      </c>
      <c r="F1425" s="848" t="s">
        <v>703</v>
      </c>
      <c r="G1425" s="792" t="s">
        <v>701</v>
      </c>
      <c r="H1425" s="795" t="s">
        <v>1257</v>
      </c>
      <c r="I1425" s="248">
        <v>510</v>
      </c>
      <c r="J1425" s="248">
        <v>1920.0228786711191</v>
      </c>
      <c r="K1425" s="693">
        <f t="shared" si="68"/>
        <v>979212</v>
      </c>
      <c r="L1425" s="52" t="s">
        <v>164</v>
      </c>
      <c r="M1425" s="849" t="s">
        <v>162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IF(OR(TH!L1425=TH!$U$7,M1425=TH!$U$7),"x","")</f>
        <v/>
      </c>
      <c r="V1425" s="52" t="str">
        <f>IF(AND(B1425&gt;='IN-NX'!$P$3,B1425&lt;='IN-NX'!$Q$3,'IN-NX'!$D$7=D1425,OR(LEFT(L1425,2)="15",AND(LEFT(M1425,2)&lt;&gt;"15",LEFT(M1425,2)&lt;&gt;"33"))),"x","")</f>
        <v/>
      </c>
      <c r="W1425" s="52" t="str">
        <f>IF(AND(OR(LEFT(TH!L1425,2)="15",LEFT(TH!M1425,2)="15"),'152-CT'!$J$8=TH!F1425),"x","")</f>
        <v/>
      </c>
      <c r="X1425" s="52" t="str">
        <f>IF(AND(OR(LEFT(TH!L1425,2)="15",LEFT(TH!M1425,2)="15"),TK!$E$7=TH!F1425),"x","")</f>
        <v/>
      </c>
      <c r="Y1425" s="52" t="str">
        <f>IF(AND(B1425&lt;=NKC!$N$8,B1425&gt;=NKC!$M$8),"x","")</f>
        <v/>
      </c>
    </row>
    <row r="1426" spans="1:25" s="767" customFormat="1" ht="15.75" customHeight="1">
      <c r="A1426" s="201" t="str">
        <f>IF(B1426&lt;&gt;"",IF(AND(B1426&gt;=_TM1,B1426&lt;=_TM2,OR(TH!L1426="1111",TH!M1426="1111")),TH!D1426,""),"")</f>
        <v/>
      </c>
      <c r="B1426" s="692">
        <f t="shared" si="66"/>
        <v>1</v>
      </c>
      <c r="C1426" s="791">
        <f t="shared" si="67"/>
        <v>41285</v>
      </c>
      <c r="D1426" s="791" t="s">
        <v>1261</v>
      </c>
      <c r="E1426" s="791">
        <v>41285</v>
      </c>
      <c r="F1426" s="867" t="s">
        <v>704</v>
      </c>
      <c r="G1426" s="868" t="s">
        <v>701</v>
      </c>
      <c r="H1426" s="795" t="s">
        <v>1257</v>
      </c>
      <c r="I1426" s="248">
        <v>420</v>
      </c>
      <c r="J1426" s="248">
        <v>1942.4632148055728</v>
      </c>
      <c r="K1426" s="693">
        <f t="shared" si="68"/>
        <v>815835</v>
      </c>
      <c r="L1426" s="52" t="s">
        <v>164</v>
      </c>
      <c r="M1426" s="849" t="s">
        <v>162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IF(OR(TH!L1426=TH!$U$7,M1426=TH!$U$7),"x","")</f>
        <v/>
      </c>
      <c r="V1426" s="52" t="str">
        <f>IF(AND(B1426&gt;='IN-NX'!$P$3,B1426&lt;='IN-NX'!$Q$3,'IN-NX'!$D$7=D1426,OR(LEFT(L1426,2)="15",AND(LEFT(M1426,2)&lt;&gt;"15",LEFT(M1426,2)&lt;&gt;"33"))),"x","")</f>
        <v/>
      </c>
      <c r="W1426" s="52" t="str">
        <f>IF(AND(OR(LEFT(TH!L1426,2)="15",LEFT(TH!M1426,2)="15"),'152-CT'!$J$8=TH!F1426),"x","")</f>
        <v/>
      </c>
      <c r="X1426" s="52" t="str">
        <f>IF(AND(OR(LEFT(TH!L1426,2)="15",LEFT(TH!M1426,2)="15"),TK!$E$7=TH!F1426),"x","")</f>
        <v/>
      </c>
      <c r="Y1426" s="52" t="str">
        <f>IF(AND(B1426&lt;=NKC!$N$8,B1426&gt;=NKC!$M$8),"x","")</f>
        <v/>
      </c>
    </row>
    <row r="1427" spans="1:25" s="767" customFormat="1" ht="15.75" customHeight="1">
      <c r="A1427" s="201" t="str">
        <f>IF(B1427&lt;&gt;"",IF(AND(B1427&gt;=_TM1,B1427&lt;=_TM2,OR(TH!L1427="1111",TH!M1427="1111")),TH!D1427,""),"")</f>
        <v/>
      </c>
      <c r="B1427" s="692">
        <f t="shared" si="66"/>
        <v>1</v>
      </c>
      <c r="C1427" s="791">
        <f t="shared" si="67"/>
        <v>41285</v>
      </c>
      <c r="D1427" s="791" t="s">
        <v>1261</v>
      </c>
      <c r="E1427" s="791">
        <v>41285</v>
      </c>
      <c r="F1427" s="867" t="s">
        <v>705</v>
      </c>
      <c r="G1427" s="868" t="s">
        <v>701</v>
      </c>
      <c r="H1427" s="795" t="s">
        <v>1257</v>
      </c>
      <c r="I1427" s="248">
        <v>200</v>
      </c>
      <c r="J1427" s="248">
        <v>2082.3413100436678</v>
      </c>
      <c r="K1427" s="693">
        <f t="shared" si="68"/>
        <v>416468</v>
      </c>
      <c r="L1427" s="52" t="s">
        <v>164</v>
      </c>
      <c r="M1427" s="849" t="s">
        <v>162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IF(OR(TH!L1427=TH!$U$7,M1427=TH!$U$7),"x","")</f>
        <v/>
      </c>
      <c r="V1427" s="52" t="str">
        <f>IF(AND(B1427&gt;='IN-NX'!$P$3,B1427&lt;='IN-NX'!$Q$3,'IN-NX'!$D$7=D1427,OR(LEFT(L1427,2)="15",AND(LEFT(M1427,2)&lt;&gt;"15",LEFT(M1427,2)&lt;&gt;"33"))),"x","")</f>
        <v/>
      </c>
      <c r="W1427" s="52" t="str">
        <f>IF(AND(OR(LEFT(TH!L1427,2)="15",LEFT(TH!M1427,2)="15"),'152-CT'!$J$8=TH!F1427),"x","")</f>
        <v/>
      </c>
      <c r="X1427" s="52" t="str">
        <f>IF(AND(OR(LEFT(TH!L1427,2)="15",LEFT(TH!M1427,2)="15"),TK!$E$7=TH!F1427),"x","")</f>
        <v/>
      </c>
      <c r="Y1427" s="52" t="str">
        <f>IF(AND(B1427&lt;=NKC!$N$8,B1427&gt;=NKC!$M$8),"x","")</f>
        <v/>
      </c>
    </row>
    <row r="1428" spans="1:25" s="767" customFormat="1" ht="15.75" customHeight="1">
      <c r="A1428" s="201" t="str">
        <f>IF(B1428&lt;&gt;"",IF(AND(B1428&gt;=_TM1,B1428&lt;=_TM2,OR(TH!L1428="1111",TH!M1428="1111")),TH!D1428,""),"")</f>
        <v/>
      </c>
      <c r="B1428" s="692">
        <f t="shared" si="66"/>
        <v>1</v>
      </c>
      <c r="C1428" s="791">
        <f t="shared" si="67"/>
        <v>41285</v>
      </c>
      <c r="D1428" s="791" t="s">
        <v>1261</v>
      </c>
      <c r="E1428" s="806">
        <v>41285</v>
      </c>
      <c r="F1428" s="49" t="s">
        <v>706</v>
      </c>
      <c r="G1428" s="49" t="s">
        <v>701</v>
      </c>
      <c r="H1428" s="795" t="s">
        <v>1257</v>
      </c>
      <c r="I1428" s="248">
        <v>420</v>
      </c>
      <c r="J1428" s="248">
        <v>1942.4632148055728</v>
      </c>
      <c r="K1428" s="693">
        <f t="shared" si="68"/>
        <v>815835</v>
      </c>
      <c r="L1428" s="52" t="s">
        <v>164</v>
      </c>
      <c r="M1428" s="849" t="s">
        <v>162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IF(OR(TH!L1428=TH!$U$7,M1428=TH!$U$7),"x","")</f>
        <v/>
      </c>
      <c r="V1428" s="52" t="str">
        <f>IF(AND(B1428&gt;='IN-NX'!$P$3,B1428&lt;='IN-NX'!$Q$3,'IN-NX'!$D$7=D1428,OR(LEFT(L1428,2)="15",AND(LEFT(M1428,2)&lt;&gt;"15",LEFT(M1428,2)&lt;&gt;"33"))),"x","")</f>
        <v/>
      </c>
      <c r="W1428" s="52" t="str">
        <f>IF(AND(OR(LEFT(TH!L1428,2)="15",LEFT(TH!M1428,2)="15"),'152-CT'!$J$8=TH!F1428),"x","")</f>
        <v/>
      </c>
      <c r="X1428" s="52" t="str">
        <f>IF(AND(OR(LEFT(TH!L1428,2)="15",LEFT(TH!M1428,2)="15"),TK!$E$7=TH!F1428),"x","")</f>
        <v/>
      </c>
      <c r="Y1428" s="52" t="str">
        <f>IF(AND(B1428&lt;=NKC!$N$8,B1428&gt;=NKC!$M$8),"x","")</f>
        <v/>
      </c>
    </row>
    <row r="1429" spans="1:25" s="767" customFormat="1" ht="15.75" customHeight="1">
      <c r="A1429" s="201" t="str">
        <f>IF(B1429&lt;&gt;"",IF(AND(B1429&gt;=_TM1,B1429&lt;=_TM2,OR(TH!L1429="1111",TH!M1429="1111")),TH!D1429,""),"")</f>
        <v/>
      </c>
      <c r="B1429" s="692">
        <f t="shared" si="66"/>
        <v>1</v>
      </c>
      <c r="C1429" s="791">
        <f t="shared" si="67"/>
        <v>41285</v>
      </c>
      <c r="D1429" s="791" t="s">
        <v>1261</v>
      </c>
      <c r="E1429" s="869">
        <v>41285</v>
      </c>
      <c r="F1429" s="848" t="s">
        <v>707</v>
      </c>
      <c r="G1429" s="792" t="s">
        <v>701</v>
      </c>
      <c r="H1429" s="795" t="s">
        <v>1257</v>
      </c>
      <c r="I1429" s="248">
        <v>52</v>
      </c>
      <c r="J1429" s="248">
        <v>10538.378233120591</v>
      </c>
      <c r="K1429" s="693">
        <f t="shared" si="68"/>
        <v>547996</v>
      </c>
      <c r="L1429" s="52" t="s">
        <v>164</v>
      </c>
      <c r="M1429" s="849" t="s">
        <v>162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IF(OR(TH!L1429=TH!$U$7,M1429=TH!$U$7),"x","")</f>
        <v/>
      </c>
      <c r="V1429" s="52" t="str">
        <f>IF(AND(B1429&gt;='IN-NX'!$P$3,B1429&lt;='IN-NX'!$Q$3,'IN-NX'!$D$7=D1429,OR(LEFT(L1429,2)="15",AND(LEFT(M1429,2)&lt;&gt;"15",LEFT(M1429,2)&lt;&gt;"33"))),"x","")</f>
        <v/>
      </c>
      <c r="W1429" s="52" t="str">
        <f>IF(AND(OR(LEFT(TH!L1429,2)="15",LEFT(TH!M1429,2)="15"),'152-CT'!$J$8=TH!F1429),"x","")</f>
        <v/>
      </c>
      <c r="X1429" s="52" t="str">
        <f>IF(AND(OR(LEFT(TH!L1429,2)="15",LEFT(TH!M1429,2)="15"),TK!$E$7=TH!F1429),"x","")</f>
        <v/>
      </c>
      <c r="Y1429" s="52" t="str">
        <f>IF(AND(B1429&lt;=NKC!$N$8,B1429&gt;=NKC!$M$8),"x","")</f>
        <v/>
      </c>
    </row>
    <row r="1430" spans="1:25" s="767" customFormat="1" ht="15.75" customHeight="1">
      <c r="A1430" s="201" t="str">
        <f>IF(B1430&lt;&gt;"",IF(AND(B1430&gt;=_TM1,B1430&lt;=_TM2,OR(TH!L1430="1111",TH!M1430="1111")),TH!D1430,""),"")</f>
        <v/>
      </c>
      <c r="B1430" s="692">
        <f t="shared" ref="B1430:B1493" si="69">IF(C1430&lt;&gt;"",MONTH(C1430),"")</f>
        <v>1</v>
      </c>
      <c r="C1430" s="791">
        <f t="shared" si="67"/>
        <v>41288</v>
      </c>
      <c r="D1430" s="791" t="s">
        <v>1261</v>
      </c>
      <c r="E1430" s="869">
        <v>41288</v>
      </c>
      <c r="F1430" s="848" t="s">
        <v>708</v>
      </c>
      <c r="G1430" s="792" t="s">
        <v>709</v>
      </c>
      <c r="H1430" s="795" t="s">
        <v>1257</v>
      </c>
      <c r="I1430" s="248">
        <v>820</v>
      </c>
      <c r="J1430" s="248">
        <v>7334.2037490680577</v>
      </c>
      <c r="K1430" s="693">
        <f t="shared" si="68"/>
        <v>6014047</v>
      </c>
      <c r="L1430" s="52" t="s">
        <v>164</v>
      </c>
      <c r="M1430" s="849" t="s">
        <v>162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IF(OR(TH!L1430=TH!$U$7,M1430=TH!$U$7),"x","")</f>
        <v/>
      </c>
      <c r="V1430" s="52" t="str">
        <f>IF(AND(B1430&gt;='IN-NX'!$P$3,B1430&lt;='IN-NX'!$Q$3,'IN-NX'!$D$7=D1430,OR(LEFT(L1430,2)="15",AND(LEFT(M1430,2)&lt;&gt;"15",LEFT(M1430,2)&lt;&gt;"33"))),"x","")</f>
        <v/>
      </c>
      <c r="W1430" s="52" t="str">
        <f>IF(AND(OR(LEFT(TH!L1430,2)="15",LEFT(TH!M1430,2)="15"),'152-CT'!$J$8=TH!F1430),"x","")</f>
        <v/>
      </c>
      <c r="X1430" s="52" t="str">
        <f>IF(AND(OR(LEFT(TH!L1430,2)="15",LEFT(TH!M1430,2)="15"),TK!$E$7=TH!F1430),"x","")</f>
        <v/>
      </c>
      <c r="Y1430" s="52" t="str">
        <f>IF(AND(B1430&lt;=NKC!$N$8,B1430&gt;=NKC!$M$8),"x","")</f>
        <v/>
      </c>
    </row>
    <row r="1431" spans="1:25" s="767" customFormat="1" ht="15.75" customHeight="1">
      <c r="A1431" s="201" t="str">
        <f>IF(B1431&lt;&gt;"",IF(AND(B1431&gt;=_TM1,B1431&lt;=_TM2,OR(TH!L1431="1111",TH!M1431="1111")),TH!D1431,""),"")</f>
        <v/>
      </c>
      <c r="B1431" s="692">
        <f t="shared" si="69"/>
        <v>1</v>
      </c>
      <c r="C1431" s="791">
        <f t="shared" si="67"/>
        <v>41290</v>
      </c>
      <c r="D1431" s="791" t="s">
        <v>1261</v>
      </c>
      <c r="E1431" s="791">
        <v>41290</v>
      </c>
      <c r="F1431" s="794" t="s">
        <v>711</v>
      </c>
      <c r="G1431" s="792" t="s">
        <v>712</v>
      </c>
      <c r="H1431" s="795" t="s">
        <v>1257</v>
      </c>
      <c r="I1431" s="248">
        <v>274</v>
      </c>
      <c r="J1431" s="248">
        <v>24927.345105664106</v>
      </c>
      <c r="K1431" s="693">
        <f t="shared" si="68"/>
        <v>6830093</v>
      </c>
      <c r="L1431" s="52" t="s">
        <v>164</v>
      </c>
      <c r="M1431" s="849" t="s">
        <v>162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IF(OR(TH!L1431=TH!$U$7,M1431=TH!$U$7),"x","")</f>
        <v/>
      </c>
      <c r="V1431" s="52" t="str">
        <f>IF(AND(B1431&gt;='IN-NX'!$P$3,B1431&lt;='IN-NX'!$Q$3,'IN-NX'!$D$7=D1431,OR(LEFT(L1431,2)="15",AND(LEFT(M1431,2)&lt;&gt;"15",LEFT(M1431,2)&lt;&gt;"33"))),"x","")</f>
        <v/>
      </c>
      <c r="W1431" s="52" t="str">
        <f>IF(AND(OR(LEFT(TH!L1431,2)="15",LEFT(TH!M1431,2)="15"),'152-CT'!$J$8=TH!F1431),"x","")</f>
        <v/>
      </c>
      <c r="X1431" s="52" t="str">
        <f>IF(AND(OR(LEFT(TH!L1431,2)="15",LEFT(TH!M1431,2)="15"),TK!$E$7=TH!F1431),"x","")</f>
        <v/>
      </c>
      <c r="Y1431" s="52" t="str">
        <f>IF(AND(B1431&lt;=NKC!$N$8,B1431&gt;=NKC!$M$8),"x","")</f>
        <v/>
      </c>
    </row>
    <row r="1432" spans="1:25" s="767" customFormat="1" ht="15.75" customHeight="1">
      <c r="A1432" s="201" t="str">
        <f>IF(B1432&lt;&gt;"",IF(AND(B1432&gt;=_TM1,B1432&lt;=_TM2,OR(TH!L1432="1111",TH!M1432="1111")),TH!D1432,""),"")</f>
        <v/>
      </c>
      <c r="B1432" s="692">
        <f t="shared" si="69"/>
        <v>1</v>
      </c>
      <c r="C1432" s="791">
        <f t="shared" si="67"/>
        <v>41292</v>
      </c>
      <c r="D1432" s="791" t="s">
        <v>1261</v>
      </c>
      <c r="E1432" s="791">
        <v>41292</v>
      </c>
      <c r="F1432" s="794" t="s">
        <v>714</v>
      </c>
      <c r="G1432" s="792" t="s">
        <v>715</v>
      </c>
      <c r="H1432" s="795" t="s">
        <v>1257</v>
      </c>
      <c r="I1432" s="248">
        <v>113</v>
      </c>
      <c r="J1432" s="248">
        <v>26518.310159601184</v>
      </c>
      <c r="K1432" s="693">
        <f t="shared" si="68"/>
        <v>2996569</v>
      </c>
      <c r="L1432" s="52" t="s">
        <v>164</v>
      </c>
      <c r="M1432" s="849" t="s">
        <v>162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IF(OR(TH!L1432=TH!$U$7,M1432=TH!$U$7),"x","")</f>
        <v/>
      </c>
      <c r="V1432" s="52" t="str">
        <f>IF(AND(B1432&gt;='IN-NX'!$P$3,B1432&lt;='IN-NX'!$Q$3,'IN-NX'!$D$7=D1432,OR(LEFT(L1432,2)="15",AND(LEFT(M1432,2)&lt;&gt;"15",LEFT(M1432,2)&lt;&gt;"33"))),"x","")</f>
        <v/>
      </c>
      <c r="W1432" s="52" t="str">
        <f>IF(AND(OR(LEFT(TH!L1432,2)="15",LEFT(TH!M1432,2)="15"),'152-CT'!$J$8=TH!F1432),"x","")</f>
        <v/>
      </c>
      <c r="X1432" s="52" t="str">
        <f>IF(AND(OR(LEFT(TH!L1432,2)="15",LEFT(TH!M1432,2)="15"),TK!$E$7=TH!F1432),"x","")</f>
        <v/>
      </c>
      <c r="Y1432" s="52" t="str">
        <f>IF(AND(B1432&lt;=NKC!$N$8,B1432&gt;=NKC!$M$8),"x","")</f>
        <v/>
      </c>
    </row>
    <row r="1433" spans="1:25" s="767" customFormat="1" ht="15.75" customHeight="1">
      <c r="A1433" s="201" t="str">
        <f>IF(B1433&lt;&gt;"",IF(AND(B1433&gt;=_TM1,B1433&lt;=_TM2,OR(TH!L1433="1111",TH!M1433="1111")),TH!D1433,""),"")</f>
        <v/>
      </c>
      <c r="B1433" s="692">
        <f t="shared" si="69"/>
        <v>1</v>
      </c>
      <c r="C1433" s="791">
        <f t="shared" si="67"/>
        <v>41292</v>
      </c>
      <c r="D1433" s="791" t="s">
        <v>1261</v>
      </c>
      <c r="E1433" s="847">
        <v>41292</v>
      </c>
      <c r="F1433" s="867" t="s">
        <v>716</v>
      </c>
      <c r="G1433" s="868" t="s">
        <v>717</v>
      </c>
      <c r="H1433" s="795" t="s">
        <v>1257</v>
      </c>
      <c r="I1433" s="248">
        <v>1319</v>
      </c>
      <c r="J1433" s="248">
        <v>5210.9040393840787</v>
      </c>
      <c r="K1433" s="693">
        <f t="shared" si="68"/>
        <v>6873182</v>
      </c>
      <c r="L1433" s="52" t="s">
        <v>164</v>
      </c>
      <c r="M1433" s="849" t="s">
        <v>162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IF(OR(TH!L1433=TH!$U$7,M1433=TH!$U$7),"x","")</f>
        <v/>
      </c>
      <c r="V1433" s="52" t="str">
        <f>IF(AND(B1433&gt;='IN-NX'!$P$3,B1433&lt;='IN-NX'!$Q$3,'IN-NX'!$D$7=D1433,OR(LEFT(L1433,2)="15",AND(LEFT(M1433,2)&lt;&gt;"15",LEFT(M1433,2)&lt;&gt;"33"))),"x","")</f>
        <v/>
      </c>
      <c r="W1433" s="52" t="str">
        <f>IF(AND(OR(LEFT(TH!L1433,2)="15",LEFT(TH!M1433,2)="15"),'152-CT'!$J$8=TH!F1433),"x","")</f>
        <v/>
      </c>
      <c r="X1433" s="52" t="str">
        <f>IF(AND(OR(LEFT(TH!L1433,2)="15",LEFT(TH!M1433,2)="15"),TK!$E$7=TH!F1433),"x","")</f>
        <v/>
      </c>
      <c r="Y1433" s="52" t="str">
        <f>IF(AND(B1433&lt;=NKC!$N$8,B1433&gt;=NKC!$M$8),"x","")</f>
        <v/>
      </c>
    </row>
    <row r="1434" spans="1:25" s="767" customFormat="1" ht="15.75" customHeight="1">
      <c r="A1434" s="201" t="str">
        <f>IF(B1434&lt;&gt;"",IF(AND(B1434&gt;=_TM1,B1434&lt;=_TM2,OR(TH!L1434="1111",TH!M1434="1111")),TH!D1434,""),"")</f>
        <v/>
      </c>
      <c r="B1434" s="692">
        <f t="shared" si="69"/>
        <v>1</v>
      </c>
      <c r="C1434" s="791">
        <f t="shared" si="67"/>
        <v>41292</v>
      </c>
      <c r="D1434" s="791" t="s">
        <v>1261</v>
      </c>
      <c r="E1434" s="806">
        <v>41292</v>
      </c>
      <c r="F1434" s="867" t="s">
        <v>718</v>
      </c>
      <c r="G1434" s="49" t="s">
        <v>717</v>
      </c>
      <c r="H1434" s="795" t="s">
        <v>1257</v>
      </c>
      <c r="I1434" s="248">
        <v>306</v>
      </c>
      <c r="J1434" s="248">
        <v>5700.5954276907269</v>
      </c>
      <c r="K1434" s="693">
        <f t="shared" si="68"/>
        <v>1744382</v>
      </c>
      <c r="L1434" s="52" t="s">
        <v>164</v>
      </c>
      <c r="M1434" s="849" t="s">
        <v>162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IF(OR(TH!L1434=TH!$U$7,M1434=TH!$U$7),"x","")</f>
        <v/>
      </c>
      <c r="V1434" s="52" t="str">
        <f>IF(AND(B1434&gt;='IN-NX'!$P$3,B1434&lt;='IN-NX'!$Q$3,'IN-NX'!$D$7=D1434,OR(LEFT(L1434,2)="15",AND(LEFT(M1434,2)&lt;&gt;"15",LEFT(M1434,2)&lt;&gt;"33"))),"x","")</f>
        <v/>
      </c>
      <c r="W1434" s="52" t="str">
        <f>IF(AND(OR(LEFT(TH!L1434,2)="15",LEFT(TH!M1434,2)="15"),'152-CT'!$J$8=TH!F1434),"x","")</f>
        <v/>
      </c>
      <c r="X1434" s="52" t="str">
        <f>IF(AND(OR(LEFT(TH!L1434,2)="15",LEFT(TH!M1434,2)="15"),TK!$E$7=TH!F1434),"x","")</f>
        <v/>
      </c>
      <c r="Y1434" s="52" t="str">
        <f>IF(AND(B1434&lt;=NKC!$N$8,B1434&gt;=NKC!$M$8),"x","")</f>
        <v/>
      </c>
    </row>
    <row r="1435" spans="1:25" s="767" customFormat="1" ht="15.75" customHeight="1">
      <c r="A1435" s="201" t="str">
        <f>IF(B1435&lt;&gt;"",IF(AND(B1435&gt;=_TM1,B1435&lt;=_TM2,OR(TH!L1435="1111",TH!M1435="1111")),TH!D1435,""),"")</f>
        <v/>
      </c>
      <c r="B1435" s="692">
        <f t="shared" si="69"/>
        <v>1</v>
      </c>
      <c r="C1435" s="791">
        <f t="shared" si="67"/>
        <v>41293</v>
      </c>
      <c r="D1435" s="791" t="s">
        <v>1261</v>
      </c>
      <c r="E1435" s="806">
        <v>41293</v>
      </c>
      <c r="F1435" s="49" t="s">
        <v>719</v>
      </c>
      <c r="G1435" s="49" t="s">
        <v>720</v>
      </c>
      <c r="H1435" s="795" t="s">
        <v>1257</v>
      </c>
      <c r="I1435" s="248">
        <v>294</v>
      </c>
      <c r="J1435" s="248">
        <v>13653.852330451831</v>
      </c>
      <c r="K1435" s="693">
        <f t="shared" si="68"/>
        <v>4014233</v>
      </c>
      <c r="L1435" s="52" t="s">
        <v>164</v>
      </c>
      <c r="M1435" s="849" t="s">
        <v>162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IF(OR(TH!L1435=TH!$U$7,M1435=TH!$U$7),"x","")</f>
        <v/>
      </c>
      <c r="V1435" s="52" t="str">
        <f>IF(AND(B1435&gt;='IN-NX'!$P$3,B1435&lt;='IN-NX'!$Q$3,'IN-NX'!$D$7=D1435,OR(LEFT(L1435,2)="15",AND(LEFT(M1435,2)&lt;&gt;"15",LEFT(M1435,2)&lt;&gt;"33"))),"x","")</f>
        <v/>
      </c>
      <c r="W1435" s="52" t="str">
        <f>IF(AND(OR(LEFT(TH!L1435,2)="15",LEFT(TH!M1435,2)="15"),'152-CT'!$J$8=TH!F1435),"x","")</f>
        <v/>
      </c>
      <c r="X1435" s="52" t="str">
        <f>IF(AND(OR(LEFT(TH!L1435,2)="15",LEFT(TH!M1435,2)="15"),TK!$E$7=TH!F1435),"x","")</f>
        <v/>
      </c>
      <c r="Y1435" s="52" t="str">
        <f>IF(AND(B1435&lt;=NKC!$N$8,B1435&gt;=NKC!$M$8),"x","")</f>
        <v/>
      </c>
    </row>
    <row r="1436" spans="1:25" s="767" customFormat="1" ht="15.75" customHeight="1">
      <c r="A1436" s="201" t="str">
        <f>IF(B1436&lt;&gt;"",IF(AND(B1436&gt;=_TM1,B1436&lt;=_TM2,OR(TH!L1436="1111",TH!M1436="1111")),TH!D1436,""),"")</f>
        <v/>
      </c>
      <c r="B1436" s="692">
        <f t="shared" si="69"/>
        <v>1</v>
      </c>
      <c r="C1436" s="791">
        <f t="shared" si="67"/>
        <v>41293</v>
      </c>
      <c r="D1436" s="791" t="s">
        <v>1261</v>
      </c>
      <c r="E1436" s="806">
        <v>41293</v>
      </c>
      <c r="F1436" s="867" t="s">
        <v>721</v>
      </c>
      <c r="G1436" s="49" t="s">
        <v>720</v>
      </c>
      <c r="H1436" s="795" t="s">
        <v>1257</v>
      </c>
      <c r="I1436" s="870">
        <v>100</v>
      </c>
      <c r="J1436" s="248">
        <v>8598.3013100436692</v>
      </c>
      <c r="K1436" s="693">
        <f t="shared" si="68"/>
        <v>859830</v>
      </c>
      <c r="L1436" s="52" t="s">
        <v>164</v>
      </c>
      <c r="M1436" s="849" t="s">
        <v>162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IF(OR(TH!L1436=TH!$U$7,M1436=TH!$U$7),"x","")</f>
        <v/>
      </c>
      <c r="V1436" s="52" t="str">
        <f>IF(AND(B1436&gt;='IN-NX'!$P$3,B1436&lt;='IN-NX'!$Q$3,'IN-NX'!$D$7=D1436,OR(LEFT(L1436,2)="15",AND(LEFT(M1436,2)&lt;&gt;"15",LEFT(M1436,2)&lt;&gt;"33"))),"x","")</f>
        <v/>
      </c>
      <c r="W1436" s="52" t="str">
        <f>IF(AND(OR(LEFT(TH!L1436,2)="15",LEFT(TH!M1436,2)="15"),'152-CT'!$J$8=TH!F1436),"x","")</f>
        <v/>
      </c>
      <c r="X1436" s="52" t="str">
        <f>IF(AND(OR(LEFT(TH!L1436,2)="15",LEFT(TH!M1436,2)="15"),TK!$E$7=TH!F1436),"x","")</f>
        <v/>
      </c>
      <c r="Y1436" s="52" t="str">
        <f>IF(AND(B1436&lt;=NKC!$N$8,B1436&gt;=NKC!$M$8),"x","")</f>
        <v/>
      </c>
    </row>
    <row r="1437" spans="1:25" s="767" customFormat="1" ht="15.75" customHeight="1">
      <c r="A1437" s="201" t="str">
        <f>IF(B1437&lt;&gt;"",IF(AND(B1437&gt;=_TM1,B1437&lt;=_TM2,OR(TH!L1437="1111",TH!M1437="1111")),TH!D1437,""),"")</f>
        <v/>
      </c>
      <c r="B1437" s="692">
        <f t="shared" si="69"/>
        <v>1</v>
      </c>
      <c r="C1437" s="791">
        <f t="shared" si="67"/>
        <v>41293</v>
      </c>
      <c r="D1437" s="791" t="s">
        <v>1261</v>
      </c>
      <c r="E1437" s="806">
        <v>41293</v>
      </c>
      <c r="F1437" s="49" t="s">
        <v>722</v>
      </c>
      <c r="G1437" s="49" t="s">
        <v>720</v>
      </c>
      <c r="H1437" s="795" t="s">
        <v>1257</v>
      </c>
      <c r="I1437" s="248">
        <v>494</v>
      </c>
      <c r="J1437" s="248">
        <v>13088.287140003185</v>
      </c>
      <c r="K1437" s="693">
        <f t="shared" si="68"/>
        <v>6465614</v>
      </c>
      <c r="L1437" s="52" t="s">
        <v>164</v>
      </c>
      <c r="M1437" s="849" t="s">
        <v>162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IF(OR(TH!L1437=TH!$U$7,M1437=TH!$U$7),"x","")</f>
        <v/>
      </c>
      <c r="V1437" s="52" t="str">
        <f>IF(AND(B1437&gt;='IN-NX'!$P$3,B1437&lt;='IN-NX'!$Q$3,'IN-NX'!$D$7=D1437,OR(LEFT(L1437,2)="15",AND(LEFT(M1437,2)&lt;&gt;"15",LEFT(M1437,2)&lt;&gt;"33"))),"x","")</f>
        <v/>
      </c>
      <c r="W1437" s="52" t="str">
        <f>IF(AND(OR(LEFT(TH!L1437,2)="15",LEFT(TH!M1437,2)="15"),'152-CT'!$J$8=TH!F1437),"x","")</f>
        <v/>
      </c>
      <c r="X1437" s="52" t="str">
        <f>IF(AND(OR(LEFT(TH!L1437,2)="15",LEFT(TH!M1437,2)="15"),TK!$E$7=TH!F1437),"x","")</f>
        <v/>
      </c>
      <c r="Y1437" s="52" t="str">
        <f>IF(AND(B1437&lt;=NKC!$N$8,B1437&gt;=NKC!$M$8),"x","")</f>
        <v/>
      </c>
    </row>
    <row r="1438" spans="1:25" s="767" customFormat="1" ht="15.75" customHeight="1">
      <c r="A1438" s="201" t="str">
        <f>IF(B1438&lt;&gt;"",IF(AND(B1438&gt;=_TM1,B1438&lt;=_TM2,OR(TH!L1438="1111",TH!M1438="1111")),TH!D1438,""),"")</f>
        <v/>
      </c>
      <c r="B1438" s="692">
        <f t="shared" si="69"/>
        <v>1</v>
      </c>
      <c r="C1438" s="791">
        <f t="shared" si="67"/>
        <v>41293</v>
      </c>
      <c r="D1438" s="791" t="s">
        <v>1261</v>
      </c>
      <c r="E1438" s="806">
        <v>41293</v>
      </c>
      <c r="F1438" s="867" t="s">
        <v>723</v>
      </c>
      <c r="G1438" s="49" t="s">
        <v>720</v>
      </c>
      <c r="H1438" s="795" t="s">
        <v>1257</v>
      </c>
      <c r="I1438" s="248">
        <v>284</v>
      </c>
      <c r="J1438" s="248">
        <v>12697.695676240852</v>
      </c>
      <c r="K1438" s="693">
        <f t="shared" si="68"/>
        <v>3606146</v>
      </c>
      <c r="L1438" s="52" t="s">
        <v>164</v>
      </c>
      <c r="M1438" s="849" t="s">
        <v>162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IF(OR(TH!L1438=TH!$U$7,M1438=TH!$U$7),"x","")</f>
        <v/>
      </c>
      <c r="V1438" s="52" t="str">
        <f>IF(AND(B1438&gt;='IN-NX'!$P$3,B1438&lt;='IN-NX'!$Q$3,'IN-NX'!$D$7=D1438,OR(LEFT(L1438,2)="15",AND(LEFT(M1438,2)&lt;&gt;"15",LEFT(M1438,2)&lt;&gt;"33"))),"x","")</f>
        <v/>
      </c>
      <c r="W1438" s="52" t="str">
        <f>IF(AND(OR(LEFT(TH!L1438,2)="15",LEFT(TH!M1438,2)="15"),'152-CT'!$J$8=TH!F1438),"x","")</f>
        <v/>
      </c>
      <c r="X1438" s="52" t="str">
        <f>IF(AND(OR(LEFT(TH!L1438,2)="15",LEFT(TH!M1438,2)="15"),TK!$E$7=TH!F1438),"x","")</f>
        <v/>
      </c>
      <c r="Y1438" s="52" t="str">
        <f>IF(AND(B1438&lt;=NKC!$N$8,B1438&gt;=NKC!$M$8),"x","")</f>
        <v/>
      </c>
    </row>
    <row r="1439" spans="1:25" s="767" customFormat="1" ht="15.75" customHeight="1">
      <c r="A1439" s="201" t="str">
        <f>IF(B1439&lt;&gt;"",IF(AND(B1439&gt;=_TM1,B1439&lt;=_TM2,OR(TH!L1439="1111",TH!M1439="1111")),TH!D1439,""),"")</f>
        <v/>
      </c>
      <c r="B1439" s="692">
        <f t="shared" si="69"/>
        <v>1</v>
      </c>
      <c r="C1439" s="791">
        <f t="shared" si="67"/>
        <v>41297</v>
      </c>
      <c r="D1439" s="791" t="s">
        <v>1261</v>
      </c>
      <c r="E1439" s="806">
        <v>41297</v>
      </c>
      <c r="F1439" s="867" t="s">
        <v>724</v>
      </c>
      <c r="G1439" s="49" t="s">
        <v>725</v>
      </c>
      <c r="H1439" s="795" t="s">
        <v>1257</v>
      </c>
      <c r="I1439" s="248">
        <v>707</v>
      </c>
      <c r="J1439" s="248">
        <v>7225.6619889687045</v>
      </c>
      <c r="K1439" s="693">
        <f t="shared" si="68"/>
        <v>5108543</v>
      </c>
      <c r="L1439" s="52" t="s">
        <v>164</v>
      </c>
      <c r="M1439" s="849" t="s">
        <v>162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IF(OR(TH!L1439=TH!$U$7,M1439=TH!$U$7),"x","")</f>
        <v/>
      </c>
      <c r="V1439" s="52" t="str">
        <f>IF(AND(B1439&gt;='IN-NX'!$P$3,B1439&lt;='IN-NX'!$Q$3,'IN-NX'!$D$7=D1439,OR(LEFT(L1439,2)="15",AND(LEFT(M1439,2)&lt;&gt;"15",LEFT(M1439,2)&lt;&gt;"33"))),"x","")</f>
        <v/>
      </c>
      <c r="W1439" s="52" t="str">
        <f>IF(AND(OR(LEFT(TH!L1439,2)="15",LEFT(TH!M1439,2)="15"),'152-CT'!$J$8=TH!F1439),"x","")</f>
        <v/>
      </c>
      <c r="X1439" s="52" t="str">
        <f>IF(AND(OR(LEFT(TH!L1439,2)="15",LEFT(TH!M1439,2)="15"),TK!$E$7=TH!F1439),"x","")</f>
        <v/>
      </c>
      <c r="Y1439" s="52" t="str">
        <f>IF(AND(B1439&lt;=NKC!$N$8,B1439&gt;=NKC!$M$8),"x","")</f>
        <v/>
      </c>
    </row>
    <row r="1440" spans="1:25" s="767" customFormat="1" ht="15.75" customHeight="1">
      <c r="A1440" s="201" t="str">
        <f>IF(B1440&lt;&gt;"",IF(AND(B1440&gt;=_TM1,B1440&lt;=_TM2,OR(TH!L1440="1111",TH!M1440="1111")),TH!D1440,""),"")</f>
        <v/>
      </c>
      <c r="B1440" s="692">
        <f t="shared" si="69"/>
        <v>1</v>
      </c>
      <c r="C1440" s="791">
        <f t="shared" si="67"/>
        <v>41303</v>
      </c>
      <c r="D1440" s="791" t="s">
        <v>1261</v>
      </c>
      <c r="E1440" s="806">
        <v>41303</v>
      </c>
      <c r="F1440" s="867" t="s">
        <v>708</v>
      </c>
      <c r="G1440" s="49" t="s">
        <v>726</v>
      </c>
      <c r="H1440" s="795" t="s">
        <v>1257</v>
      </c>
      <c r="I1440" s="248">
        <v>593</v>
      </c>
      <c r="J1440" s="248">
        <v>7448.1006355074123</v>
      </c>
      <c r="K1440" s="693">
        <f t="shared" si="68"/>
        <v>4416724</v>
      </c>
      <c r="L1440" s="52" t="s">
        <v>164</v>
      </c>
      <c r="M1440" s="849" t="s">
        <v>162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IF(OR(TH!L1440=TH!$U$7,M1440=TH!$U$7),"x","")</f>
        <v/>
      </c>
      <c r="V1440" s="52" t="str">
        <f>IF(AND(B1440&gt;='IN-NX'!$P$3,B1440&lt;='IN-NX'!$Q$3,'IN-NX'!$D$7=D1440,OR(LEFT(L1440,2)="15",AND(LEFT(M1440,2)&lt;&gt;"15",LEFT(M1440,2)&lt;&gt;"33"))),"x","")</f>
        <v/>
      </c>
      <c r="W1440" s="52" t="str">
        <f>IF(AND(OR(LEFT(TH!L1440,2)="15",LEFT(TH!M1440,2)="15"),'152-CT'!$J$8=TH!F1440),"x","")</f>
        <v/>
      </c>
      <c r="X1440" s="52" t="str">
        <f>IF(AND(OR(LEFT(TH!L1440,2)="15",LEFT(TH!M1440,2)="15"),TK!$E$7=TH!F1440),"x","")</f>
        <v/>
      </c>
      <c r="Y1440" s="52" t="str">
        <f>IF(AND(B1440&lt;=NKC!$N$8,B1440&gt;=NKC!$M$8),"x","")</f>
        <v/>
      </c>
    </row>
    <row r="1441" spans="1:25" s="767" customFormat="1" ht="15.75" customHeight="1">
      <c r="A1441" s="201" t="str">
        <f>IF(B1441&lt;&gt;"",IF(AND(B1441&gt;=_TM1,B1441&lt;=_TM2,OR(TH!L1441="1111",TH!M1441="1111")),TH!D1441,""),"")</f>
        <v/>
      </c>
      <c r="B1441" s="692">
        <f t="shared" si="69"/>
        <v>1</v>
      </c>
      <c r="C1441" s="791">
        <f t="shared" si="67"/>
        <v>41303</v>
      </c>
      <c r="D1441" s="791" t="s">
        <v>1261</v>
      </c>
      <c r="E1441" s="806">
        <v>41303</v>
      </c>
      <c r="F1441" s="867" t="s">
        <v>727</v>
      </c>
      <c r="G1441" s="49" t="s">
        <v>726</v>
      </c>
      <c r="H1441" s="795" t="s">
        <v>1257</v>
      </c>
      <c r="I1441" s="248">
        <v>398</v>
      </c>
      <c r="J1441" s="248">
        <v>7546.2058326567339</v>
      </c>
      <c r="K1441" s="693">
        <f t="shared" si="68"/>
        <v>3003390</v>
      </c>
      <c r="L1441" s="52" t="s">
        <v>164</v>
      </c>
      <c r="M1441" s="849" t="s">
        <v>162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IF(OR(TH!L1441=TH!$U$7,M1441=TH!$U$7),"x","")</f>
        <v/>
      </c>
      <c r="V1441" s="52" t="str">
        <f>IF(AND(B1441&gt;='IN-NX'!$P$3,B1441&lt;='IN-NX'!$Q$3,'IN-NX'!$D$7=D1441,OR(LEFT(L1441,2)="15",AND(LEFT(M1441,2)&lt;&gt;"15",LEFT(M1441,2)&lt;&gt;"33"))),"x","")</f>
        <v/>
      </c>
      <c r="W1441" s="52" t="str">
        <f>IF(AND(OR(LEFT(TH!L1441,2)="15",LEFT(TH!M1441,2)="15"),'152-CT'!$J$8=TH!F1441),"x","")</f>
        <v/>
      </c>
      <c r="X1441" s="52" t="str">
        <f>IF(AND(OR(LEFT(TH!L1441,2)="15",LEFT(TH!M1441,2)="15"),TK!$E$7=TH!F1441),"x","")</f>
        <v/>
      </c>
      <c r="Y1441" s="52" t="str">
        <f>IF(AND(B1441&lt;=NKC!$N$8,B1441&gt;=NKC!$M$8),"x","")</f>
        <v/>
      </c>
    </row>
    <row r="1442" spans="1:25" s="767" customFormat="1" ht="15.75" customHeight="1">
      <c r="A1442" s="201" t="str">
        <f>IF(B1442&lt;&gt;"",IF(AND(B1442&gt;=_TM1,B1442&lt;=_TM2,OR(TH!L1442="1111",TH!M1442="1111")),TH!D1442,""),"")</f>
        <v/>
      </c>
      <c r="B1442" s="692">
        <f t="shared" si="69"/>
        <v>1</v>
      </c>
      <c r="C1442" s="791">
        <f t="shared" si="67"/>
        <v>41303</v>
      </c>
      <c r="D1442" s="791" t="s">
        <v>1261</v>
      </c>
      <c r="E1442" s="806">
        <v>41303</v>
      </c>
      <c r="F1442" s="867" t="s">
        <v>719</v>
      </c>
      <c r="G1442" s="49" t="s">
        <v>728</v>
      </c>
      <c r="H1442" s="795" t="s">
        <v>1257</v>
      </c>
      <c r="I1442" s="248">
        <v>410</v>
      </c>
      <c r="J1442" s="248">
        <v>13214.962285653424</v>
      </c>
      <c r="K1442" s="693">
        <f t="shared" si="68"/>
        <v>5418135</v>
      </c>
      <c r="L1442" s="52" t="s">
        <v>164</v>
      </c>
      <c r="M1442" s="849" t="s">
        <v>162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IF(OR(TH!L1442=TH!$U$7,M1442=TH!$U$7),"x","")</f>
        <v/>
      </c>
      <c r="V1442" s="52" t="str">
        <f>IF(AND(B1442&gt;='IN-NX'!$P$3,B1442&lt;='IN-NX'!$Q$3,'IN-NX'!$D$7=D1442,OR(LEFT(L1442,2)="15",AND(LEFT(M1442,2)&lt;&gt;"15",LEFT(M1442,2)&lt;&gt;"33"))),"x","")</f>
        <v/>
      </c>
      <c r="W1442" s="52" t="str">
        <f>IF(AND(OR(LEFT(TH!L1442,2)="15",LEFT(TH!M1442,2)="15"),'152-CT'!$J$8=TH!F1442),"x","")</f>
        <v/>
      </c>
      <c r="X1442" s="52" t="str">
        <f>IF(AND(OR(LEFT(TH!L1442,2)="15",LEFT(TH!M1442,2)="15"),TK!$E$7=TH!F1442),"x","")</f>
        <v/>
      </c>
      <c r="Y1442" s="52" t="str">
        <f>IF(AND(B1442&lt;=NKC!$N$8,B1442&gt;=NKC!$M$8),"x","")</f>
        <v/>
      </c>
    </row>
    <row r="1443" spans="1:25" s="767" customFormat="1" ht="15.75" customHeight="1">
      <c r="A1443" s="201" t="str">
        <f>IF(B1443&lt;&gt;"",IF(AND(B1443&gt;=_TM1,B1443&lt;=_TM2,OR(TH!L1443="1111",TH!M1443="1111")),TH!D1443,""),"")</f>
        <v/>
      </c>
      <c r="B1443" s="692">
        <f t="shared" si="69"/>
        <v>1</v>
      </c>
      <c r="C1443" s="791">
        <f t="shared" si="67"/>
        <v>41303</v>
      </c>
      <c r="D1443" s="791" t="s">
        <v>1261</v>
      </c>
      <c r="E1443" s="791">
        <v>41303</v>
      </c>
      <c r="F1443" s="848" t="s">
        <v>724</v>
      </c>
      <c r="G1443" s="792" t="s">
        <v>729</v>
      </c>
      <c r="H1443" s="795" t="s">
        <v>1257</v>
      </c>
      <c r="I1443" s="248">
        <v>1106</v>
      </c>
      <c r="J1443" s="248">
        <v>7222.2859393384251</v>
      </c>
      <c r="K1443" s="693">
        <f t="shared" si="68"/>
        <v>7987848</v>
      </c>
      <c r="L1443" s="52" t="s">
        <v>164</v>
      </c>
      <c r="M1443" s="849" t="s">
        <v>162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IF(OR(TH!L1443=TH!$U$7,M1443=TH!$U$7),"x","")</f>
        <v/>
      </c>
      <c r="V1443" s="52" t="str">
        <f>IF(AND(B1443&gt;='IN-NX'!$P$3,B1443&lt;='IN-NX'!$Q$3,'IN-NX'!$D$7=D1443,OR(LEFT(L1443,2)="15",AND(LEFT(M1443,2)&lt;&gt;"15",LEFT(M1443,2)&lt;&gt;"33"))),"x","")</f>
        <v/>
      </c>
      <c r="W1443" s="52" t="str">
        <f>IF(AND(OR(LEFT(TH!L1443,2)="15",LEFT(TH!M1443,2)="15"),'152-CT'!$J$8=TH!F1443),"x","")</f>
        <v/>
      </c>
      <c r="X1443" s="52" t="str">
        <f>IF(AND(OR(LEFT(TH!L1443,2)="15",LEFT(TH!M1443,2)="15"),TK!$E$7=TH!F1443),"x","")</f>
        <v/>
      </c>
      <c r="Y1443" s="52" t="str">
        <f>IF(AND(B1443&lt;=NKC!$N$8,B1443&gt;=NKC!$M$8),"x","")</f>
        <v/>
      </c>
    </row>
    <row r="1444" spans="1:25" s="767" customFormat="1" ht="15.75" customHeight="1">
      <c r="A1444" s="201" t="str">
        <f>IF(B1444&lt;&gt;"",IF(AND(B1444&gt;=_TM1,B1444&lt;=_TM2,OR(TH!L1444="1111",TH!M1444="1111")),TH!D1444,""),"")</f>
        <v/>
      </c>
      <c r="B1444" s="692">
        <f t="shared" si="69"/>
        <v>1</v>
      </c>
      <c r="C1444" s="791">
        <f t="shared" si="67"/>
        <v>41305</v>
      </c>
      <c r="D1444" s="791" t="s">
        <v>1261</v>
      </c>
      <c r="E1444" s="791">
        <v>41305</v>
      </c>
      <c r="F1444" s="848" t="s">
        <v>698</v>
      </c>
      <c r="G1444" s="792" t="s">
        <v>730</v>
      </c>
      <c r="H1444" s="795" t="s">
        <v>1257</v>
      </c>
      <c r="I1444" s="248">
        <v>1693</v>
      </c>
      <c r="J1444" s="248">
        <v>8011.9167855309679</v>
      </c>
      <c r="K1444" s="693">
        <f t="shared" si="68"/>
        <v>13564175</v>
      </c>
      <c r="L1444" s="52" t="s">
        <v>164</v>
      </c>
      <c r="M1444" s="849" t="s">
        <v>162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IF(OR(TH!L1444=TH!$U$7,M1444=TH!$U$7),"x","")</f>
        <v/>
      </c>
      <c r="V1444" s="52" t="str">
        <f>IF(AND(B1444&gt;='IN-NX'!$P$3,B1444&lt;='IN-NX'!$Q$3,'IN-NX'!$D$7=D1444,OR(LEFT(L1444,2)="15",AND(LEFT(M1444,2)&lt;&gt;"15",LEFT(M1444,2)&lt;&gt;"33"))),"x","")</f>
        <v/>
      </c>
      <c r="W1444" s="52" t="str">
        <f>IF(AND(OR(LEFT(TH!L1444,2)="15",LEFT(TH!M1444,2)="15"),'152-CT'!$J$8=TH!F1444),"x","")</f>
        <v/>
      </c>
      <c r="X1444" s="52" t="str">
        <f>IF(AND(OR(LEFT(TH!L1444,2)="15",LEFT(TH!M1444,2)="15"),TK!$E$7=TH!F1444),"x","")</f>
        <v/>
      </c>
      <c r="Y1444" s="52" t="str">
        <f>IF(AND(B1444&lt;=NKC!$N$8,B1444&gt;=NKC!$M$8),"x","")</f>
        <v/>
      </c>
    </row>
    <row r="1445" spans="1:25" s="767" customFormat="1" ht="15.75" customHeight="1">
      <c r="A1445" s="201" t="str">
        <f>IF(B1445&lt;&gt;"",IF(AND(B1445&gt;=_TM1,B1445&lt;=_TM2,OR(TH!L1445="1111",TH!M1445="1111")),TH!D1445,""),"")</f>
        <v/>
      </c>
      <c r="B1445" s="692">
        <f t="shared" si="69"/>
        <v>1</v>
      </c>
      <c r="C1445" s="791">
        <f t="shared" si="67"/>
        <v>41305</v>
      </c>
      <c r="D1445" s="791" t="s">
        <v>1261</v>
      </c>
      <c r="E1445" s="806">
        <v>41305</v>
      </c>
      <c r="F1445" s="49" t="s">
        <v>731</v>
      </c>
      <c r="G1445" s="49" t="s">
        <v>732</v>
      </c>
      <c r="H1445" s="795" t="s">
        <v>1257</v>
      </c>
      <c r="I1445" s="248">
        <v>466</v>
      </c>
      <c r="J1445" s="248">
        <v>21416.116760687448</v>
      </c>
      <c r="K1445" s="693">
        <f t="shared" si="68"/>
        <v>9979910</v>
      </c>
      <c r="L1445" s="52" t="s">
        <v>164</v>
      </c>
      <c r="M1445" s="849" t="s">
        <v>162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IF(OR(TH!L1445=TH!$U$7,M1445=TH!$U$7),"x","")</f>
        <v/>
      </c>
      <c r="V1445" s="52" t="str">
        <f>IF(AND(B1445&gt;='IN-NX'!$P$3,B1445&lt;='IN-NX'!$Q$3,'IN-NX'!$D$7=D1445,OR(LEFT(L1445,2)="15",AND(LEFT(M1445,2)&lt;&gt;"15",LEFT(M1445,2)&lt;&gt;"33"))),"x","")</f>
        <v/>
      </c>
      <c r="W1445" s="52" t="str">
        <f>IF(AND(OR(LEFT(TH!L1445,2)="15",LEFT(TH!M1445,2)="15"),'152-CT'!$J$8=TH!F1445),"x","")</f>
        <v/>
      </c>
      <c r="X1445" s="52" t="str">
        <f>IF(AND(OR(LEFT(TH!L1445,2)="15",LEFT(TH!M1445,2)="15"),TK!$E$7=TH!F1445),"x","")</f>
        <v/>
      </c>
      <c r="Y1445" s="52" t="str">
        <f>IF(AND(B1445&lt;=NKC!$N$8,B1445&gt;=NKC!$M$8),"x","")</f>
        <v/>
      </c>
    </row>
    <row r="1446" spans="1:25" s="767" customFormat="1" ht="15.75" customHeight="1">
      <c r="A1446" s="201" t="str">
        <f>IF(B1446&lt;&gt;"",IF(AND(B1446&gt;=_TM1,B1446&lt;=_TM2,OR(TH!L1446="1111",TH!M1446="1111")),TH!D1446,""),"")</f>
        <v/>
      </c>
      <c r="B1446" s="692">
        <f t="shared" si="69"/>
        <v>2</v>
      </c>
      <c r="C1446" s="791">
        <f t="shared" si="67"/>
        <v>41328</v>
      </c>
      <c r="D1446" s="791" t="s">
        <v>1261</v>
      </c>
      <c r="E1446" s="806">
        <v>41328</v>
      </c>
      <c r="F1446" s="867" t="s">
        <v>733</v>
      </c>
      <c r="G1446" s="49" t="s">
        <v>734</v>
      </c>
      <c r="H1446" s="795" t="s">
        <v>1257</v>
      </c>
      <c r="I1446" s="248">
        <v>610</v>
      </c>
      <c r="J1446" s="248">
        <v>7278.6439329944869</v>
      </c>
      <c r="K1446" s="693">
        <f t="shared" si="68"/>
        <v>4439973</v>
      </c>
      <c r="L1446" s="52" t="s">
        <v>164</v>
      </c>
      <c r="M1446" s="849" t="s">
        <v>162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IF(OR(TH!L1446=TH!$U$7,M1446=TH!$U$7),"x","")</f>
        <v/>
      </c>
      <c r="V1446" s="52" t="str">
        <f>IF(AND(B1446&gt;='IN-NX'!$P$3,B1446&lt;='IN-NX'!$Q$3,'IN-NX'!$D$7=D1446,OR(LEFT(L1446,2)="15",AND(LEFT(M1446,2)&lt;&gt;"15",LEFT(M1446,2)&lt;&gt;"33"))),"x","")</f>
        <v/>
      </c>
      <c r="W1446" s="52" t="str">
        <f>IF(AND(OR(LEFT(TH!L1446,2)="15",LEFT(TH!M1446,2)="15"),'152-CT'!$J$8=TH!F1446),"x","")</f>
        <v/>
      </c>
      <c r="X1446" s="52" t="str">
        <f>IF(AND(OR(LEFT(TH!L1446,2)="15",LEFT(TH!M1446,2)="15"),TK!$E$7=TH!F1446),"x","")</f>
        <v/>
      </c>
      <c r="Y1446" s="52" t="str">
        <f>IF(AND(B1446&lt;=NKC!$N$8,B1446&gt;=NKC!$M$8),"x","")</f>
        <v/>
      </c>
    </row>
    <row r="1447" spans="1:25" s="767" customFormat="1" ht="15.75" customHeight="1">
      <c r="A1447" s="201" t="str">
        <f>IF(B1447&lt;&gt;"",IF(AND(B1447&gt;=_TM1,B1447&lt;=_TM2,OR(TH!L1447="1111",TH!M1447="1111")),TH!D1447,""),"")</f>
        <v/>
      </c>
      <c r="B1447" s="692">
        <f t="shared" si="69"/>
        <v>3</v>
      </c>
      <c r="C1447" s="791">
        <f t="shared" si="67"/>
        <v>41337</v>
      </c>
      <c r="D1447" s="791" t="s">
        <v>1261</v>
      </c>
      <c r="E1447" s="806">
        <v>41337</v>
      </c>
      <c r="F1447" s="867" t="s">
        <v>735</v>
      </c>
      <c r="G1447" s="49" t="s">
        <v>736</v>
      </c>
      <c r="H1447" s="795" t="s">
        <v>1257</v>
      </c>
      <c r="I1447" s="248">
        <v>620</v>
      </c>
      <c r="J1447" s="248">
        <v>9716.4626003662488</v>
      </c>
      <c r="K1447" s="693">
        <f t="shared" si="68"/>
        <v>6024207</v>
      </c>
      <c r="L1447" s="52" t="s">
        <v>164</v>
      </c>
      <c r="M1447" s="849" t="s">
        <v>162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IF(OR(TH!L1447=TH!$U$7,M1447=TH!$U$7),"x","")</f>
        <v/>
      </c>
      <c r="V1447" s="52" t="str">
        <f>IF(AND(B1447&gt;='IN-NX'!$P$3,B1447&lt;='IN-NX'!$Q$3,'IN-NX'!$D$7=D1447,OR(LEFT(L1447,2)="15",AND(LEFT(M1447,2)&lt;&gt;"15",LEFT(M1447,2)&lt;&gt;"33"))),"x","")</f>
        <v/>
      </c>
      <c r="W1447" s="52" t="str">
        <f>IF(AND(OR(LEFT(TH!L1447,2)="15",LEFT(TH!M1447,2)="15"),'152-CT'!$J$8=TH!F1447),"x","")</f>
        <v/>
      </c>
      <c r="X1447" s="52" t="str">
        <f>IF(AND(OR(LEFT(TH!L1447,2)="15",LEFT(TH!M1447,2)="15"),TK!$E$7=TH!F1447),"x","")</f>
        <v/>
      </c>
      <c r="Y1447" s="52" t="str">
        <f>IF(AND(B1447&lt;=NKC!$N$8,B1447&gt;=NKC!$M$8),"x","")</f>
        <v/>
      </c>
    </row>
    <row r="1448" spans="1:25" s="767" customFormat="1" ht="15.75" customHeight="1">
      <c r="A1448" s="201" t="str">
        <f>IF(B1448&lt;&gt;"",IF(AND(B1448&gt;=_TM1,B1448&lt;=_TM2,OR(TH!L1448="1111",TH!M1448="1111")),TH!D1448,""),"")</f>
        <v/>
      </c>
      <c r="B1448" s="692">
        <f t="shared" si="69"/>
        <v>3</v>
      </c>
      <c r="C1448" s="791">
        <f t="shared" si="67"/>
        <v>41337</v>
      </c>
      <c r="D1448" s="791" t="s">
        <v>1261</v>
      </c>
      <c r="E1448" s="806">
        <v>41337</v>
      </c>
      <c r="F1448" s="867" t="s">
        <v>716</v>
      </c>
      <c r="G1448" s="49" t="s">
        <v>737</v>
      </c>
      <c r="H1448" s="795" t="s">
        <v>1257</v>
      </c>
      <c r="I1448" s="248">
        <v>1963</v>
      </c>
      <c r="J1448" s="248">
        <v>5237.7159814649622</v>
      </c>
      <c r="K1448" s="693">
        <f t="shared" si="68"/>
        <v>10281636</v>
      </c>
      <c r="L1448" s="52" t="s">
        <v>164</v>
      </c>
      <c r="M1448" s="849" t="s">
        <v>162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IF(OR(TH!L1448=TH!$U$7,M1448=TH!$U$7),"x","")</f>
        <v/>
      </c>
      <c r="V1448" s="52" t="str">
        <f>IF(AND(B1448&gt;='IN-NX'!$P$3,B1448&lt;='IN-NX'!$Q$3,'IN-NX'!$D$7=D1448,OR(LEFT(L1448,2)="15",AND(LEFT(M1448,2)&lt;&gt;"15",LEFT(M1448,2)&lt;&gt;"33"))),"x","")</f>
        <v/>
      </c>
      <c r="W1448" s="52" t="str">
        <f>IF(AND(OR(LEFT(TH!L1448,2)="15",LEFT(TH!M1448,2)="15"),'152-CT'!$J$8=TH!F1448),"x","")</f>
        <v/>
      </c>
      <c r="X1448" s="52" t="str">
        <f>IF(AND(OR(LEFT(TH!L1448,2)="15",LEFT(TH!M1448,2)="15"),TK!$E$7=TH!F1448),"x","")</f>
        <v/>
      </c>
      <c r="Y1448" s="52" t="str">
        <f>IF(AND(B1448&lt;=NKC!$N$8,B1448&gt;=NKC!$M$8),"x","")</f>
        <v/>
      </c>
    </row>
    <row r="1449" spans="1:25" s="767" customFormat="1" ht="15.75" customHeight="1">
      <c r="A1449" s="201" t="str">
        <f>IF(B1449&lt;&gt;"",IF(AND(B1449&gt;=_TM1,B1449&lt;=_TM2,OR(TH!L1449="1111",TH!M1449="1111")),TH!D1449,""),"")</f>
        <v/>
      </c>
      <c r="B1449" s="692">
        <f t="shared" si="69"/>
        <v>3</v>
      </c>
      <c r="C1449" s="791">
        <f t="shared" si="67"/>
        <v>41337</v>
      </c>
      <c r="D1449" s="791" t="s">
        <v>1261</v>
      </c>
      <c r="E1449" s="806">
        <v>41337</v>
      </c>
      <c r="F1449" s="867" t="s">
        <v>692</v>
      </c>
      <c r="G1449" s="49" t="s">
        <v>737</v>
      </c>
      <c r="H1449" s="795" t="s">
        <v>1257</v>
      </c>
      <c r="I1449" s="248">
        <v>559</v>
      </c>
      <c r="J1449" s="248">
        <v>4627.0723297216655</v>
      </c>
      <c r="K1449" s="693">
        <f t="shared" si="68"/>
        <v>2586533</v>
      </c>
      <c r="L1449" s="52" t="s">
        <v>164</v>
      </c>
      <c r="M1449" s="849" t="s">
        <v>162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IF(OR(TH!L1449=TH!$U$7,M1449=TH!$U$7),"x","")</f>
        <v/>
      </c>
      <c r="V1449" s="52" t="str">
        <f>IF(AND(B1449&gt;='IN-NX'!$P$3,B1449&lt;='IN-NX'!$Q$3,'IN-NX'!$D$7=D1449,OR(LEFT(L1449,2)="15",AND(LEFT(M1449,2)&lt;&gt;"15",LEFT(M1449,2)&lt;&gt;"33"))),"x","")</f>
        <v/>
      </c>
      <c r="W1449" s="52" t="str">
        <f>IF(AND(OR(LEFT(TH!L1449,2)="15",LEFT(TH!M1449,2)="15"),'152-CT'!$J$8=TH!F1449),"x","")</f>
        <v/>
      </c>
      <c r="X1449" s="52" t="str">
        <f>IF(AND(OR(LEFT(TH!L1449,2)="15",LEFT(TH!M1449,2)="15"),TK!$E$7=TH!F1449),"x","")</f>
        <v/>
      </c>
      <c r="Y1449" s="52" t="str">
        <f>IF(AND(B1449&lt;=NKC!$N$8,B1449&gt;=NKC!$M$8),"x","")</f>
        <v/>
      </c>
    </row>
    <row r="1450" spans="1:25" s="767" customFormat="1" ht="15.75" customHeight="1">
      <c r="A1450" s="201" t="str">
        <f>IF(B1450&lt;&gt;"",IF(AND(B1450&gt;=_TM1,B1450&lt;=_TM2,OR(TH!L1450="1111",TH!M1450="1111")),TH!D1450,""),"")</f>
        <v/>
      </c>
      <c r="B1450" s="692">
        <f t="shared" si="69"/>
        <v>3</v>
      </c>
      <c r="C1450" s="791">
        <f t="shared" si="67"/>
        <v>41337</v>
      </c>
      <c r="D1450" s="791" t="s">
        <v>1261</v>
      </c>
      <c r="E1450" s="806">
        <v>41337</v>
      </c>
      <c r="F1450" s="867" t="s">
        <v>738</v>
      </c>
      <c r="G1450" s="49" t="s">
        <v>737</v>
      </c>
      <c r="H1450" s="795" t="s">
        <v>1257</v>
      </c>
      <c r="I1450" s="248">
        <v>617</v>
      </c>
      <c r="J1450" s="248">
        <v>9742.3677606109304</v>
      </c>
      <c r="K1450" s="693">
        <f t="shared" si="68"/>
        <v>6011041</v>
      </c>
      <c r="L1450" s="52" t="s">
        <v>164</v>
      </c>
      <c r="M1450" s="849" t="s">
        <v>162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IF(OR(TH!L1450=TH!$U$7,M1450=TH!$U$7),"x","")</f>
        <v/>
      </c>
      <c r="V1450" s="52" t="str">
        <f>IF(AND(B1450&gt;='IN-NX'!$P$3,B1450&lt;='IN-NX'!$Q$3,'IN-NX'!$D$7=D1450,OR(LEFT(L1450,2)="15",AND(LEFT(M1450,2)&lt;&gt;"15",LEFT(M1450,2)&lt;&gt;"33"))),"x","")</f>
        <v/>
      </c>
      <c r="W1450" s="52" t="str">
        <f>IF(AND(OR(LEFT(TH!L1450,2)="15",LEFT(TH!M1450,2)="15"),'152-CT'!$J$8=TH!F1450),"x","")</f>
        <v/>
      </c>
      <c r="X1450" s="52" t="str">
        <f>IF(AND(OR(LEFT(TH!L1450,2)="15",LEFT(TH!M1450,2)="15"),TK!$E$7=TH!F1450),"x","")</f>
        <v/>
      </c>
      <c r="Y1450" s="52" t="str">
        <f>IF(AND(B1450&lt;=NKC!$N$8,B1450&gt;=NKC!$M$8),"x","")</f>
        <v/>
      </c>
    </row>
    <row r="1451" spans="1:25" s="767" customFormat="1" ht="15.75" customHeight="1">
      <c r="A1451" s="201" t="str">
        <f>IF(B1451&lt;&gt;"",IF(AND(B1451&gt;=_TM1,B1451&lt;=_TM2,OR(TH!L1451="1111",TH!M1451="1111")),TH!D1451,""),"")</f>
        <v/>
      </c>
      <c r="B1451" s="692">
        <f t="shared" si="69"/>
        <v>3</v>
      </c>
      <c r="C1451" s="791">
        <f t="shared" si="67"/>
        <v>41345</v>
      </c>
      <c r="D1451" s="791" t="s">
        <v>1261</v>
      </c>
      <c r="E1451" s="806">
        <v>41345</v>
      </c>
      <c r="F1451" s="867" t="s">
        <v>1093</v>
      </c>
      <c r="G1451" s="49" t="s">
        <v>739</v>
      </c>
      <c r="H1451" s="795" t="s">
        <v>1257</v>
      </c>
      <c r="I1451" s="248">
        <v>310</v>
      </c>
      <c r="J1451" s="248">
        <v>11868.20453585012</v>
      </c>
      <c r="K1451" s="693">
        <f t="shared" si="68"/>
        <v>3679143</v>
      </c>
      <c r="L1451" s="52" t="s">
        <v>164</v>
      </c>
      <c r="M1451" s="849" t="s">
        <v>162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IF(OR(TH!L1451=TH!$U$7,M1451=TH!$U$7),"x","")</f>
        <v/>
      </c>
      <c r="V1451" s="52" t="str">
        <f>IF(AND(B1451&gt;='IN-NX'!$P$3,B1451&lt;='IN-NX'!$Q$3,'IN-NX'!$D$7=D1451,OR(LEFT(L1451,2)="15",AND(LEFT(M1451,2)&lt;&gt;"15",LEFT(M1451,2)&lt;&gt;"33"))),"x","")</f>
        <v/>
      </c>
      <c r="W1451" s="52" t="str">
        <f>IF(AND(OR(LEFT(TH!L1451,2)="15",LEFT(TH!M1451,2)="15"),'152-CT'!$J$8=TH!F1451),"x","")</f>
        <v/>
      </c>
      <c r="X1451" s="52" t="str">
        <f>IF(AND(OR(LEFT(TH!L1451,2)="15",LEFT(TH!M1451,2)="15"),TK!$E$7=TH!F1451),"x","")</f>
        <v/>
      </c>
      <c r="Y1451" s="52" t="str">
        <f>IF(AND(B1451&lt;=NKC!$N$8,B1451&gt;=NKC!$M$8),"x","")</f>
        <v/>
      </c>
    </row>
    <row r="1452" spans="1:25" s="767" customFormat="1" ht="15.75" customHeight="1">
      <c r="A1452" s="201" t="str">
        <f>IF(B1452&lt;&gt;"",IF(AND(B1452&gt;=_TM1,B1452&lt;=_TM2,OR(TH!L1452="1111",TH!M1452="1111")),TH!D1452,""),"")</f>
        <v/>
      </c>
      <c r="B1452" s="692">
        <f t="shared" si="69"/>
        <v>3</v>
      </c>
      <c r="C1452" s="791">
        <f t="shared" si="67"/>
        <v>41345</v>
      </c>
      <c r="D1452" s="791" t="s">
        <v>1261</v>
      </c>
      <c r="E1452" s="806">
        <v>41345</v>
      </c>
      <c r="F1452" s="867" t="s">
        <v>708</v>
      </c>
      <c r="G1452" s="49" t="s">
        <v>741</v>
      </c>
      <c r="H1452" s="795" t="s">
        <v>1257</v>
      </c>
      <c r="I1452" s="870">
        <v>500</v>
      </c>
      <c r="J1452" s="248">
        <v>7418.3013100436683</v>
      </c>
      <c r="K1452" s="693">
        <f t="shared" si="68"/>
        <v>3709151</v>
      </c>
      <c r="L1452" s="52" t="s">
        <v>164</v>
      </c>
      <c r="M1452" s="849" t="s">
        <v>162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IF(OR(TH!L1452=TH!$U$7,M1452=TH!$U$7),"x","")</f>
        <v/>
      </c>
      <c r="V1452" s="52" t="str">
        <f>IF(AND(B1452&gt;='IN-NX'!$P$3,B1452&lt;='IN-NX'!$Q$3,'IN-NX'!$D$7=D1452,OR(LEFT(L1452,2)="15",AND(LEFT(M1452,2)&lt;&gt;"15",LEFT(M1452,2)&lt;&gt;"33"))),"x","")</f>
        <v/>
      </c>
      <c r="W1452" s="52" t="str">
        <f>IF(AND(OR(LEFT(TH!L1452,2)="15",LEFT(TH!M1452,2)="15"),'152-CT'!$J$8=TH!F1452),"x","")</f>
        <v/>
      </c>
      <c r="X1452" s="52" t="str">
        <f>IF(AND(OR(LEFT(TH!L1452,2)="15",LEFT(TH!M1452,2)="15"),TK!$E$7=TH!F1452),"x","")</f>
        <v/>
      </c>
      <c r="Y1452" s="52" t="str">
        <f>IF(AND(B1452&lt;=NKC!$N$8,B1452&gt;=NKC!$M$8),"x","")</f>
        <v/>
      </c>
    </row>
    <row r="1453" spans="1:25" s="767" customFormat="1" ht="15.75" customHeight="1">
      <c r="A1453" s="201" t="str">
        <f>IF(B1453&lt;&gt;"",IF(AND(B1453&gt;=_TM1,B1453&lt;=_TM2,OR(TH!L1453="1111",TH!M1453="1111")),TH!D1453,""),"")</f>
        <v/>
      </c>
      <c r="B1453" s="692">
        <f t="shared" si="69"/>
        <v>3</v>
      </c>
      <c r="C1453" s="791">
        <f t="shared" si="67"/>
        <v>41345</v>
      </c>
      <c r="D1453" s="791" t="s">
        <v>1261</v>
      </c>
      <c r="E1453" s="791">
        <v>41345</v>
      </c>
      <c r="F1453" s="848" t="s">
        <v>727</v>
      </c>
      <c r="G1453" s="792" t="s">
        <v>741</v>
      </c>
      <c r="H1453" s="795" t="s">
        <v>1257</v>
      </c>
      <c r="I1453" s="248">
        <v>300</v>
      </c>
      <c r="J1453" s="248">
        <v>9375.3013100436692</v>
      </c>
      <c r="K1453" s="693">
        <f t="shared" si="68"/>
        <v>2812590</v>
      </c>
      <c r="L1453" s="52" t="s">
        <v>164</v>
      </c>
      <c r="M1453" s="849" t="s">
        <v>162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IF(OR(TH!L1453=TH!$U$7,M1453=TH!$U$7),"x","")</f>
        <v/>
      </c>
      <c r="V1453" s="52" t="str">
        <f>IF(AND(B1453&gt;='IN-NX'!$P$3,B1453&lt;='IN-NX'!$Q$3,'IN-NX'!$D$7=D1453,OR(LEFT(L1453,2)="15",AND(LEFT(M1453,2)&lt;&gt;"15",LEFT(M1453,2)&lt;&gt;"33"))),"x","")</f>
        <v/>
      </c>
      <c r="W1453" s="52" t="str">
        <f>IF(AND(OR(LEFT(TH!L1453,2)="15",LEFT(TH!M1453,2)="15"),'152-CT'!$J$8=TH!F1453),"x","")</f>
        <v/>
      </c>
      <c r="X1453" s="52" t="str">
        <f>IF(AND(OR(LEFT(TH!L1453,2)="15",LEFT(TH!M1453,2)="15"),TK!$E$7=TH!F1453),"x","")</f>
        <v/>
      </c>
      <c r="Y1453" s="52" t="str">
        <f>IF(AND(B1453&lt;=NKC!$N$8,B1453&gt;=NKC!$M$8),"x","")</f>
        <v/>
      </c>
    </row>
    <row r="1454" spans="1:25" s="767" customFormat="1" ht="15.75" customHeight="1">
      <c r="A1454" s="201" t="str">
        <f>IF(B1454&lt;&gt;"",IF(AND(B1454&gt;=_TM1,B1454&lt;=_TM2,OR(TH!L1454="1111",TH!M1454="1111")),TH!D1454,""),"")</f>
        <v/>
      </c>
      <c r="B1454" s="692">
        <f t="shared" si="69"/>
        <v>3</v>
      </c>
      <c r="C1454" s="791">
        <f t="shared" si="67"/>
        <v>41346</v>
      </c>
      <c r="D1454" s="791" t="s">
        <v>1261</v>
      </c>
      <c r="E1454" s="791">
        <v>41346</v>
      </c>
      <c r="F1454" s="848" t="s">
        <v>742</v>
      </c>
      <c r="G1454" s="792" t="s">
        <v>463</v>
      </c>
      <c r="H1454" s="795" t="s">
        <v>1257</v>
      </c>
      <c r="I1454" s="248">
        <v>512</v>
      </c>
      <c r="J1454" s="248">
        <v>21992.438028793666</v>
      </c>
      <c r="K1454" s="693">
        <f t="shared" si="68"/>
        <v>11260128</v>
      </c>
      <c r="L1454" s="52" t="s">
        <v>164</v>
      </c>
      <c r="M1454" s="849" t="s">
        <v>162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IF(OR(TH!L1454=TH!$U$7,M1454=TH!$U$7),"x","")</f>
        <v/>
      </c>
      <c r="V1454" s="52" t="str">
        <f>IF(AND(B1454&gt;='IN-NX'!$P$3,B1454&lt;='IN-NX'!$Q$3,'IN-NX'!$D$7=D1454,OR(LEFT(L1454,2)="15",AND(LEFT(M1454,2)&lt;&gt;"15",LEFT(M1454,2)&lt;&gt;"33"))),"x","")</f>
        <v/>
      </c>
      <c r="W1454" s="52" t="str">
        <f>IF(AND(OR(LEFT(TH!L1454,2)="15",LEFT(TH!M1454,2)="15"),'152-CT'!$J$8=TH!F1454),"x","")</f>
        <v/>
      </c>
      <c r="X1454" s="52" t="str">
        <f>IF(AND(OR(LEFT(TH!L1454,2)="15",LEFT(TH!M1454,2)="15"),TK!$E$7=TH!F1454),"x","")</f>
        <v/>
      </c>
      <c r="Y1454" s="52" t="str">
        <f>IF(AND(B1454&lt;=NKC!$N$8,B1454&gt;=NKC!$M$8),"x","")</f>
        <v/>
      </c>
    </row>
    <row r="1455" spans="1:25" s="767" customFormat="1" ht="15.75" customHeight="1">
      <c r="A1455" s="201" t="str">
        <f>IF(B1455&lt;&gt;"",IF(AND(B1455&gt;=_TM1,B1455&lt;=_TM2,OR(TH!L1455="1111",TH!M1455="1111")),TH!D1455,""),"")</f>
        <v/>
      </c>
      <c r="B1455" s="692">
        <f t="shared" si="69"/>
        <v>3</v>
      </c>
      <c r="C1455" s="791">
        <f t="shared" si="67"/>
        <v>41346</v>
      </c>
      <c r="D1455" s="791" t="s">
        <v>1261</v>
      </c>
      <c r="E1455" s="791">
        <v>41346</v>
      </c>
      <c r="F1455" s="848" t="s">
        <v>1094</v>
      </c>
      <c r="G1455" s="792" t="s">
        <v>743</v>
      </c>
      <c r="H1455" s="795" t="s">
        <v>1257</v>
      </c>
      <c r="I1455" s="248">
        <v>500</v>
      </c>
      <c r="J1455" s="248">
        <v>11770.331310043668</v>
      </c>
      <c r="K1455" s="693">
        <f t="shared" si="68"/>
        <v>5885166</v>
      </c>
      <c r="L1455" s="52" t="s">
        <v>164</v>
      </c>
      <c r="M1455" s="849" t="s">
        <v>162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IF(OR(TH!L1455=TH!$U$7,M1455=TH!$U$7),"x","")</f>
        <v/>
      </c>
      <c r="V1455" s="52" t="str">
        <f>IF(AND(B1455&gt;='IN-NX'!$P$3,B1455&lt;='IN-NX'!$Q$3,'IN-NX'!$D$7=D1455,OR(LEFT(L1455,2)="15",AND(LEFT(M1455,2)&lt;&gt;"15",LEFT(M1455,2)&lt;&gt;"33"))),"x","")</f>
        <v/>
      </c>
      <c r="W1455" s="52" t="str">
        <f>IF(AND(OR(LEFT(TH!L1455,2)="15",LEFT(TH!M1455,2)="15"),'152-CT'!$J$8=TH!F1455),"x","")</f>
        <v/>
      </c>
      <c r="X1455" s="52" t="str">
        <f>IF(AND(OR(LEFT(TH!L1455,2)="15",LEFT(TH!M1455,2)="15"),TK!$E$7=TH!F1455),"x","")</f>
        <v/>
      </c>
      <c r="Y1455" s="52" t="str">
        <f>IF(AND(B1455&lt;=NKC!$N$8,B1455&gt;=NKC!$M$8),"x","")</f>
        <v/>
      </c>
    </row>
    <row r="1456" spans="1:25" s="767" customFormat="1" ht="15.75" customHeight="1">
      <c r="A1456" s="201" t="str">
        <f>IF(B1456&lt;&gt;"",IF(AND(B1456&gt;=_TM1,B1456&lt;=_TM2,OR(TH!L1456="1111",TH!M1456="1111")),TH!D1456,""),"")</f>
        <v/>
      </c>
      <c r="B1456" s="692">
        <f t="shared" si="69"/>
        <v>3</v>
      </c>
      <c r="C1456" s="791">
        <f t="shared" si="67"/>
        <v>41351</v>
      </c>
      <c r="D1456" s="791" t="s">
        <v>1261</v>
      </c>
      <c r="E1456" s="48">
        <v>41351</v>
      </c>
      <c r="F1456" s="49" t="s">
        <v>745</v>
      </c>
      <c r="G1456" s="49" t="s">
        <v>746</v>
      </c>
      <c r="H1456" s="795" t="s">
        <v>1257</v>
      </c>
      <c r="I1456" s="248">
        <v>105</v>
      </c>
      <c r="J1456" s="248">
        <v>24843.301310043666</v>
      </c>
      <c r="K1456" s="693">
        <f t="shared" si="68"/>
        <v>2608547</v>
      </c>
      <c r="L1456" s="52" t="s">
        <v>164</v>
      </c>
      <c r="M1456" s="849" t="s">
        <v>162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IF(OR(TH!L1456=TH!$U$7,M1456=TH!$U$7),"x","")</f>
        <v/>
      </c>
      <c r="V1456" s="52" t="str">
        <f>IF(AND(B1456&gt;='IN-NX'!$P$3,B1456&lt;='IN-NX'!$Q$3,'IN-NX'!$D$7=D1456,OR(LEFT(L1456,2)="15",AND(LEFT(M1456,2)&lt;&gt;"15",LEFT(M1456,2)&lt;&gt;"33"))),"x","")</f>
        <v/>
      </c>
      <c r="W1456" s="52" t="str">
        <f>IF(AND(OR(LEFT(TH!L1456,2)="15",LEFT(TH!M1456,2)="15"),'152-CT'!$J$8=TH!F1456),"x","")</f>
        <v/>
      </c>
      <c r="X1456" s="52" t="str">
        <f>IF(AND(OR(LEFT(TH!L1456,2)="15",LEFT(TH!M1456,2)="15"),TK!$E$7=TH!F1456),"x","")</f>
        <v/>
      </c>
      <c r="Y1456" s="52" t="str">
        <f>IF(AND(B1456&lt;=NKC!$N$8,B1456&gt;=NKC!$M$8),"x","")</f>
        <v/>
      </c>
    </row>
    <row r="1457" spans="1:25" s="767" customFormat="1" ht="15.75" customHeight="1">
      <c r="A1457" s="201" t="str">
        <f>IF(B1457&lt;&gt;"",IF(AND(B1457&gt;=_TM1,B1457&lt;=_TM2,OR(TH!L1457="1111",TH!M1457="1111")),TH!D1457,""),"")</f>
        <v/>
      </c>
      <c r="B1457" s="692">
        <f t="shared" si="69"/>
        <v>3</v>
      </c>
      <c r="C1457" s="791">
        <f t="shared" si="67"/>
        <v>41359</v>
      </c>
      <c r="D1457" s="791" t="s">
        <v>1261</v>
      </c>
      <c r="E1457" s="48">
        <v>41359</v>
      </c>
      <c r="F1457" s="49" t="s">
        <v>747</v>
      </c>
      <c r="G1457" s="49" t="s">
        <v>748</v>
      </c>
      <c r="H1457" s="795" t="s">
        <v>1257</v>
      </c>
      <c r="I1457" s="248">
        <v>513</v>
      </c>
      <c r="J1457" s="248">
        <v>16736.353941622612</v>
      </c>
      <c r="K1457" s="693">
        <f t="shared" si="68"/>
        <v>8585750</v>
      </c>
      <c r="L1457" s="52" t="s">
        <v>164</v>
      </c>
      <c r="M1457" s="849" t="s">
        <v>162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IF(OR(TH!L1457=TH!$U$7,M1457=TH!$U$7),"x","")</f>
        <v/>
      </c>
      <c r="V1457" s="52" t="str">
        <f>IF(AND(B1457&gt;='IN-NX'!$P$3,B1457&lt;='IN-NX'!$Q$3,'IN-NX'!$D$7=D1457,OR(LEFT(L1457,2)="15",AND(LEFT(M1457,2)&lt;&gt;"15",LEFT(M1457,2)&lt;&gt;"33"))),"x","")</f>
        <v/>
      </c>
      <c r="W1457" s="52" t="str">
        <f>IF(AND(OR(LEFT(TH!L1457,2)="15",LEFT(TH!M1457,2)="15"),'152-CT'!$J$8=TH!F1457),"x","")</f>
        <v/>
      </c>
      <c r="X1457" s="52" t="str">
        <f>IF(AND(OR(LEFT(TH!L1457,2)="15",LEFT(TH!M1457,2)="15"),TK!$E$7=TH!F1457),"x","")</f>
        <v/>
      </c>
      <c r="Y1457" s="52" t="str">
        <f>IF(AND(B1457&lt;=NKC!$N$8,B1457&gt;=NKC!$M$8),"x","")</f>
        <v/>
      </c>
    </row>
    <row r="1458" spans="1:25" s="767" customFormat="1" ht="15.75" customHeight="1">
      <c r="A1458" s="201" t="str">
        <f>IF(B1458&lt;&gt;"",IF(AND(B1458&gt;=_TM1,B1458&lt;=_TM2,OR(TH!L1458="1111",TH!M1458="1111")),TH!D1458,""),"")</f>
        <v/>
      </c>
      <c r="B1458" s="692">
        <f t="shared" si="69"/>
        <v>3</v>
      </c>
      <c r="C1458" s="791">
        <f t="shared" si="67"/>
        <v>41359</v>
      </c>
      <c r="D1458" s="791" t="s">
        <v>1261</v>
      </c>
      <c r="E1458" s="847">
        <v>41359</v>
      </c>
      <c r="F1458" s="867" t="s">
        <v>786</v>
      </c>
      <c r="G1458" s="868" t="s">
        <v>748</v>
      </c>
      <c r="H1458" s="795" t="s">
        <v>1257</v>
      </c>
      <c r="I1458" s="248">
        <v>1100</v>
      </c>
      <c r="J1458" s="248">
        <v>1917.3649464073044</v>
      </c>
      <c r="K1458" s="693">
        <f t="shared" si="68"/>
        <v>2109101</v>
      </c>
      <c r="L1458" s="52" t="s">
        <v>164</v>
      </c>
      <c r="M1458" s="849" t="s">
        <v>162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IF(OR(TH!L1458=TH!$U$7,M1458=TH!$U$7),"x","")</f>
        <v/>
      </c>
      <c r="V1458" s="52" t="str">
        <f>IF(AND(B1458&gt;='IN-NX'!$P$3,B1458&lt;='IN-NX'!$Q$3,'IN-NX'!$D$7=D1458,OR(LEFT(L1458,2)="15",AND(LEFT(M1458,2)&lt;&gt;"15",LEFT(M1458,2)&lt;&gt;"33"))),"x","")</f>
        <v/>
      </c>
      <c r="W1458" s="52" t="str">
        <f>IF(AND(OR(LEFT(TH!L1458,2)="15",LEFT(TH!M1458,2)="15"),'152-CT'!$J$8=TH!F1458),"x","")</f>
        <v/>
      </c>
      <c r="X1458" s="52" t="str">
        <f>IF(AND(OR(LEFT(TH!L1458,2)="15",LEFT(TH!M1458,2)="15"),TK!$E$7=TH!F1458),"x","")</f>
        <v/>
      </c>
      <c r="Y1458" s="52" t="str">
        <f>IF(AND(B1458&lt;=NKC!$N$8,B1458&gt;=NKC!$M$8),"x","")</f>
        <v/>
      </c>
    </row>
    <row r="1459" spans="1:25" s="767" customFormat="1" ht="15.75" customHeight="1">
      <c r="A1459" s="201" t="str">
        <f>IF(B1459&lt;&gt;"",IF(AND(B1459&gt;=_TM1,B1459&lt;=_TM2,OR(TH!L1459="1111",TH!M1459="1111")),TH!D1459,""),"")</f>
        <v/>
      </c>
      <c r="B1459" s="692">
        <f t="shared" si="69"/>
        <v>3</v>
      </c>
      <c r="C1459" s="791">
        <f t="shared" si="67"/>
        <v>41361</v>
      </c>
      <c r="D1459" s="791" t="s">
        <v>1261</v>
      </c>
      <c r="E1459" s="847">
        <v>41361</v>
      </c>
      <c r="F1459" s="867" t="s">
        <v>745</v>
      </c>
      <c r="G1459" s="868" t="s">
        <v>749</v>
      </c>
      <c r="H1459" s="795" t="s">
        <v>1257</v>
      </c>
      <c r="I1459" s="248">
        <v>60</v>
      </c>
      <c r="J1459" s="248">
        <v>24843.301310043666</v>
      </c>
      <c r="K1459" s="693">
        <f t="shared" si="68"/>
        <v>1490598</v>
      </c>
      <c r="L1459" s="52" t="s">
        <v>164</v>
      </c>
      <c r="M1459" s="849" t="s">
        <v>162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IF(OR(TH!L1459=TH!$U$7,M1459=TH!$U$7),"x","")</f>
        <v/>
      </c>
      <c r="V1459" s="52" t="str">
        <f>IF(AND(B1459&gt;='IN-NX'!$P$3,B1459&lt;='IN-NX'!$Q$3,'IN-NX'!$D$7=D1459,OR(LEFT(L1459,2)="15",AND(LEFT(M1459,2)&lt;&gt;"15",LEFT(M1459,2)&lt;&gt;"33"))),"x","")</f>
        <v/>
      </c>
      <c r="W1459" s="52" t="str">
        <f>IF(AND(OR(LEFT(TH!L1459,2)="15",LEFT(TH!M1459,2)="15"),'152-CT'!$J$8=TH!F1459),"x","")</f>
        <v/>
      </c>
      <c r="X1459" s="52" t="str">
        <f>IF(AND(OR(LEFT(TH!L1459,2)="15",LEFT(TH!M1459,2)="15"),TK!$E$7=TH!F1459),"x","")</f>
        <v/>
      </c>
      <c r="Y1459" s="52" t="str">
        <f>IF(AND(B1459&lt;=NKC!$N$8,B1459&gt;=NKC!$M$8),"x","")</f>
        <v/>
      </c>
    </row>
    <row r="1460" spans="1:25" s="767" customFormat="1" ht="15.75" customHeight="1">
      <c r="A1460" s="201" t="str">
        <f>IF(B1460&lt;&gt;"",IF(AND(B1460&gt;=_TM1,B1460&lt;=_TM2,OR(TH!L1460="1111",TH!M1460="1111")),TH!D1460,""),"")</f>
        <v/>
      </c>
      <c r="B1460" s="692">
        <f t="shared" si="69"/>
        <v>3</v>
      </c>
      <c r="C1460" s="791">
        <f t="shared" si="67"/>
        <v>41361</v>
      </c>
      <c r="D1460" s="791" t="s">
        <v>1261</v>
      </c>
      <c r="E1460" s="847">
        <v>41361</v>
      </c>
      <c r="F1460" s="867" t="s">
        <v>723</v>
      </c>
      <c r="G1460" s="868" t="s">
        <v>750</v>
      </c>
      <c r="H1460" s="795" t="s">
        <v>1257</v>
      </c>
      <c r="I1460" s="248">
        <v>505</v>
      </c>
      <c r="J1460" s="248">
        <v>11790.043884301096</v>
      </c>
      <c r="K1460" s="693">
        <f t="shared" si="68"/>
        <v>5953972</v>
      </c>
      <c r="L1460" s="52" t="s">
        <v>164</v>
      </c>
      <c r="M1460" s="849" t="s">
        <v>162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IF(OR(TH!L1460=TH!$U$7,M1460=TH!$U$7),"x","")</f>
        <v/>
      </c>
      <c r="V1460" s="52" t="str">
        <f>IF(AND(B1460&gt;='IN-NX'!$P$3,B1460&lt;='IN-NX'!$Q$3,'IN-NX'!$D$7=D1460,OR(LEFT(L1460,2)="15",AND(LEFT(M1460,2)&lt;&gt;"15",LEFT(M1460,2)&lt;&gt;"33"))),"x","")</f>
        <v/>
      </c>
      <c r="W1460" s="52" t="str">
        <f>IF(AND(OR(LEFT(TH!L1460,2)="15",LEFT(TH!M1460,2)="15"),'152-CT'!$J$8=TH!F1460),"x","")</f>
        <v/>
      </c>
      <c r="X1460" s="52" t="str">
        <f>IF(AND(OR(LEFT(TH!L1460,2)="15",LEFT(TH!M1460,2)="15"),TK!$E$7=TH!F1460),"x","")</f>
        <v/>
      </c>
      <c r="Y1460" s="52" t="str">
        <f>IF(AND(B1460&lt;=NKC!$N$8,B1460&gt;=NKC!$M$8),"x","")</f>
        <v/>
      </c>
    </row>
    <row r="1461" spans="1:25" s="767" customFormat="1" ht="15.75" customHeight="1">
      <c r="A1461" s="201" t="str">
        <f>IF(B1461&lt;&gt;"",IF(AND(B1461&gt;=_TM1,B1461&lt;=_TM2,OR(TH!L1461="1111",TH!M1461="1111")),TH!D1461,""),"")</f>
        <v/>
      </c>
      <c r="B1461" s="692">
        <f t="shared" si="69"/>
        <v>3</v>
      </c>
      <c r="C1461" s="791">
        <f t="shared" si="67"/>
        <v>41361</v>
      </c>
      <c r="D1461" s="791" t="s">
        <v>1261</v>
      </c>
      <c r="E1461" s="847">
        <v>41361</v>
      </c>
      <c r="F1461" s="867" t="s">
        <v>751</v>
      </c>
      <c r="G1461" s="868" t="s">
        <v>750</v>
      </c>
      <c r="H1461" s="795" t="s">
        <v>1257</v>
      </c>
      <c r="I1461" s="248">
        <v>1990</v>
      </c>
      <c r="J1461" s="248">
        <v>7202.8013100436674</v>
      </c>
      <c r="K1461" s="693">
        <f t="shared" si="68"/>
        <v>14333575</v>
      </c>
      <c r="L1461" s="52" t="s">
        <v>164</v>
      </c>
      <c r="M1461" s="849" t="s">
        <v>162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IF(OR(TH!L1461=TH!$U$7,M1461=TH!$U$7),"x","")</f>
        <v/>
      </c>
      <c r="V1461" s="52" t="str">
        <f>IF(AND(B1461&gt;='IN-NX'!$P$3,B1461&lt;='IN-NX'!$Q$3,'IN-NX'!$D$7=D1461,OR(LEFT(L1461,2)="15",AND(LEFT(M1461,2)&lt;&gt;"15",LEFT(M1461,2)&lt;&gt;"33"))),"x","")</f>
        <v/>
      </c>
      <c r="W1461" s="52" t="str">
        <f>IF(AND(OR(LEFT(TH!L1461,2)="15",LEFT(TH!M1461,2)="15"),'152-CT'!$J$8=TH!F1461),"x","")</f>
        <v/>
      </c>
      <c r="X1461" s="52" t="str">
        <f>IF(AND(OR(LEFT(TH!L1461,2)="15",LEFT(TH!M1461,2)="15"),TK!$E$7=TH!F1461),"x","")</f>
        <v/>
      </c>
      <c r="Y1461" s="52" t="str">
        <f>IF(AND(B1461&lt;=NKC!$N$8,B1461&gt;=NKC!$M$8),"x","")</f>
        <v/>
      </c>
    </row>
    <row r="1462" spans="1:25" s="767" customFormat="1" ht="15.75" customHeight="1">
      <c r="A1462" s="201" t="str">
        <f>IF(B1462&lt;&gt;"",IF(AND(B1462&gt;=_TM1,B1462&lt;=_TM2,OR(TH!L1462="1111",TH!M1462="1111")),TH!D1462,""),"")</f>
        <v/>
      </c>
      <c r="B1462" s="692">
        <f t="shared" si="69"/>
        <v>3</v>
      </c>
      <c r="C1462" s="791">
        <f t="shared" si="67"/>
        <v>41361</v>
      </c>
      <c r="D1462" s="791" t="s">
        <v>1261</v>
      </c>
      <c r="E1462" s="847">
        <v>41361</v>
      </c>
      <c r="F1462" s="867" t="s">
        <v>752</v>
      </c>
      <c r="G1462" s="868" t="s">
        <v>750</v>
      </c>
      <c r="H1462" s="795" t="s">
        <v>1257</v>
      </c>
      <c r="I1462" s="248">
        <v>310</v>
      </c>
      <c r="J1462" s="248">
        <v>5599.172277785603</v>
      </c>
      <c r="K1462" s="693">
        <f t="shared" si="68"/>
        <v>1735743</v>
      </c>
      <c r="L1462" s="52" t="s">
        <v>164</v>
      </c>
      <c r="M1462" s="849" t="s">
        <v>162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IF(OR(TH!L1462=TH!$U$7,M1462=TH!$U$7),"x","")</f>
        <v/>
      </c>
      <c r="V1462" s="52" t="str">
        <f>IF(AND(B1462&gt;='IN-NX'!$P$3,B1462&lt;='IN-NX'!$Q$3,'IN-NX'!$D$7=D1462,OR(LEFT(L1462,2)="15",AND(LEFT(M1462,2)&lt;&gt;"15",LEFT(M1462,2)&lt;&gt;"33"))),"x","")</f>
        <v/>
      </c>
      <c r="W1462" s="52" t="str">
        <f>IF(AND(OR(LEFT(TH!L1462,2)="15",LEFT(TH!M1462,2)="15"),'152-CT'!$J$8=TH!F1462),"x","")</f>
        <v/>
      </c>
      <c r="X1462" s="52" t="str">
        <f>IF(AND(OR(LEFT(TH!L1462,2)="15",LEFT(TH!M1462,2)="15"),TK!$E$7=TH!F1462),"x","")</f>
        <v/>
      </c>
      <c r="Y1462" s="52" t="str">
        <f>IF(AND(B1462&lt;=NKC!$N$8,B1462&gt;=NKC!$M$8),"x","")</f>
        <v/>
      </c>
    </row>
    <row r="1463" spans="1:25" s="767" customFormat="1" ht="15.75" customHeight="1">
      <c r="A1463" s="201" t="str">
        <f>IF(B1463&lt;&gt;"",IF(AND(B1463&gt;=_TM1,B1463&lt;=_TM2,OR(TH!L1463="1111",TH!M1463="1111")),TH!D1463,""),"")</f>
        <v/>
      </c>
      <c r="B1463" s="692">
        <f t="shared" si="69"/>
        <v>3</v>
      </c>
      <c r="C1463" s="791">
        <f t="shared" si="67"/>
        <v>41361</v>
      </c>
      <c r="D1463" s="791" t="s">
        <v>1261</v>
      </c>
      <c r="E1463" s="806">
        <v>41361</v>
      </c>
      <c r="F1463" s="867" t="s">
        <v>753</v>
      </c>
      <c r="G1463" s="49" t="s">
        <v>750</v>
      </c>
      <c r="H1463" s="795" t="s">
        <v>1257</v>
      </c>
      <c r="I1463" s="248">
        <v>305</v>
      </c>
      <c r="J1463" s="248">
        <v>3917.9242608633404</v>
      </c>
      <c r="K1463" s="693">
        <f t="shared" si="68"/>
        <v>1194967</v>
      </c>
      <c r="L1463" s="52" t="s">
        <v>164</v>
      </c>
      <c r="M1463" s="849" t="s">
        <v>162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IF(OR(TH!L1463=TH!$U$7,M1463=TH!$U$7),"x","")</f>
        <v/>
      </c>
      <c r="V1463" s="52" t="str">
        <f>IF(AND(B1463&gt;='IN-NX'!$P$3,B1463&lt;='IN-NX'!$Q$3,'IN-NX'!$D$7=D1463,OR(LEFT(L1463,2)="15",AND(LEFT(M1463,2)&lt;&gt;"15",LEFT(M1463,2)&lt;&gt;"33"))),"x","")</f>
        <v/>
      </c>
      <c r="W1463" s="52" t="str">
        <f>IF(AND(OR(LEFT(TH!L1463,2)="15",LEFT(TH!M1463,2)="15"),'152-CT'!$J$8=TH!F1463),"x","")</f>
        <v/>
      </c>
      <c r="X1463" s="52" t="str">
        <f>IF(AND(OR(LEFT(TH!L1463,2)="15",LEFT(TH!M1463,2)="15"),TK!$E$7=TH!F1463),"x","")</f>
        <v/>
      </c>
      <c r="Y1463" s="52" t="str">
        <f>IF(AND(B1463&lt;=NKC!$N$8,B1463&gt;=NKC!$M$8),"x","")</f>
        <v/>
      </c>
    </row>
    <row r="1464" spans="1:25" s="767" customFormat="1" ht="15.75" customHeight="1">
      <c r="A1464" s="201" t="str">
        <f>IF(B1464&lt;&gt;"",IF(AND(B1464&gt;=_TM1,B1464&lt;=_TM2,OR(TH!L1464="1111",TH!M1464="1111")),TH!D1464,""),"")</f>
        <v/>
      </c>
      <c r="B1464" s="692">
        <f t="shared" si="69"/>
        <v>3</v>
      </c>
      <c r="C1464" s="791">
        <f t="shared" si="67"/>
        <v>41361</v>
      </c>
      <c r="D1464" s="791" t="s">
        <v>1261</v>
      </c>
      <c r="E1464" s="806">
        <v>41361</v>
      </c>
      <c r="F1464" s="867" t="s">
        <v>721</v>
      </c>
      <c r="G1464" s="49" t="s">
        <v>750</v>
      </c>
      <c r="H1464" s="795" t="s">
        <v>1257</v>
      </c>
      <c r="I1464" s="248">
        <v>500</v>
      </c>
      <c r="J1464" s="248">
        <v>11192.301310043669</v>
      </c>
      <c r="K1464" s="693">
        <f t="shared" si="68"/>
        <v>5596151</v>
      </c>
      <c r="L1464" s="52" t="s">
        <v>164</v>
      </c>
      <c r="M1464" s="849" t="s">
        <v>162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IF(OR(TH!L1464=TH!$U$7,M1464=TH!$U$7),"x","")</f>
        <v/>
      </c>
      <c r="V1464" s="52" t="str">
        <f>IF(AND(B1464&gt;='IN-NX'!$P$3,B1464&lt;='IN-NX'!$Q$3,'IN-NX'!$D$7=D1464,OR(LEFT(L1464,2)="15",AND(LEFT(M1464,2)&lt;&gt;"15",LEFT(M1464,2)&lt;&gt;"33"))),"x","")</f>
        <v/>
      </c>
      <c r="W1464" s="52" t="str">
        <f>IF(AND(OR(LEFT(TH!L1464,2)="15",LEFT(TH!M1464,2)="15"),'152-CT'!$J$8=TH!F1464),"x","")</f>
        <v/>
      </c>
      <c r="X1464" s="52" t="str">
        <f>IF(AND(OR(LEFT(TH!L1464,2)="15",LEFT(TH!M1464,2)="15"),TK!$E$7=TH!F1464),"x","")</f>
        <v/>
      </c>
      <c r="Y1464" s="52" t="str">
        <f>IF(AND(B1464&lt;=NKC!$N$8,B1464&gt;=NKC!$M$8),"x","")</f>
        <v/>
      </c>
    </row>
    <row r="1465" spans="1:25" s="767" customFormat="1" ht="15.75" customHeight="1">
      <c r="A1465" s="201" t="str">
        <f>IF(B1465&lt;&gt;"",IF(AND(B1465&gt;=_TM1,B1465&lt;=_TM2,OR(TH!L1465="1111",TH!M1465="1111")),TH!D1465,""),"")</f>
        <v/>
      </c>
      <c r="B1465" s="692">
        <f t="shared" si="69"/>
        <v>3</v>
      </c>
      <c r="C1465" s="791">
        <f t="shared" si="67"/>
        <v>41363</v>
      </c>
      <c r="D1465" s="791" t="s">
        <v>1261</v>
      </c>
      <c r="E1465" s="806">
        <v>41363</v>
      </c>
      <c r="F1465" s="867" t="s">
        <v>690</v>
      </c>
      <c r="G1465" s="49" t="s">
        <v>754</v>
      </c>
      <c r="H1465" s="795" t="s">
        <v>1257</v>
      </c>
      <c r="I1465" s="248">
        <v>1280</v>
      </c>
      <c r="J1465" s="248">
        <v>5614.1450600436674</v>
      </c>
      <c r="K1465" s="693">
        <f t="shared" si="68"/>
        <v>7186106</v>
      </c>
      <c r="L1465" s="52" t="s">
        <v>164</v>
      </c>
      <c r="M1465" s="849" t="s">
        <v>162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IF(OR(TH!L1465=TH!$U$7,M1465=TH!$U$7),"x","")</f>
        <v/>
      </c>
      <c r="V1465" s="52" t="str">
        <f>IF(AND(B1465&gt;='IN-NX'!$P$3,B1465&lt;='IN-NX'!$Q$3,'IN-NX'!$D$7=D1465,OR(LEFT(L1465,2)="15",AND(LEFT(M1465,2)&lt;&gt;"15",LEFT(M1465,2)&lt;&gt;"33"))),"x","")</f>
        <v/>
      </c>
      <c r="W1465" s="52" t="str">
        <f>IF(AND(OR(LEFT(TH!L1465,2)="15",LEFT(TH!M1465,2)="15"),'152-CT'!$J$8=TH!F1465),"x","")</f>
        <v/>
      </c>
      <c r="X1465" s="52" t="str">
        <f>IF(AND(OR(LEFT(TH!L1465,2)="15",LEFT(TH!M1465,2)="15"),TK!$E$7=TH!F1465),"x","")</f>
        <v/>
      </c>
      <c r="Y1465" s="52" t="str">
        <f>IF(AND(B1465&lt;=NKC!$N$8,B1465&gt;=NKC!$M$8),"x","")</f>
        <v/>
      </c>
    </row>
    <row r="1466" spans="1:25" s="767" customFormat="1" ht="15.75" customHeight="1">
      <c r="A1466" s="201" t="str">
        <f>IF(B1466&lt;&gt;"",IF(AND(B1466&gt;=_TM1,B1466&lt;=_TM2,OR(TH!L1466="1111",TH!M1466="1111")),TH!D1466,""),"")</f>
        <v/>
      </c>
      <c r="B1466" s="692">
        <f t="shared" si="69"/>
        <v>3</v>
      </c>
      <c r="C1466" s="791">
        <f t="shared" si="67"/>
        <v>41363</v>
      </c>
      <c r="D1466" s="791" t="s">
        <v>1261</v>
      </c>
      <c r="E1466" s="806">
        <v>41363</v>
      </c>
      <c r="F1466" s="867" t="s">
        <v>1103</v>
      </c>
      <c r="G1466" s="49" t="s">
        <v>755</v>
      </c>
      <c r="H1466" s="795" t="s">
        <v>1257</v>
      </c>
      <c r="I1466" s="870">
        <v>1200</v>
      </c>
      <c r="J1466" s="248">
        <v>6364.3013100436674</v>
      </c>
      <c r="K1466" s="693">
        <f t="shared" si="68"/>
        <v>7637162</v>
      </c>
      <c r="L1466" s="52" t="s">
        <v>164</v>
      </c>
      <c r="M1466" s="849" t="s">
        <v>162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IF(OR(TH!L1466=TH!$U$7,M1466=TH!$U$7),"x","")</f>
        <v/>
      </c>
      <c r="V1466" s="52" t="str">
        <f>IF(AND(B1466&gt;='IN-NX'!$P$3,B1466&lt;='IN-NX'!$Q$3,'IN-NX'!$D$7=D1466,OR(LEFT(L1466,2)="15",AND(LEFT(M1466,2)&lt;&gt;"15",LEFT(M1466,2)&lt;&gt;"33"))),"x","")</f>
        <v/>
      </c>
      <c r="W1466" s="52" t="str">
        <f>IF(AND(OR(LEFT(TH!L1466,2)="15",LEFT(TH!M1466,2)="15"),'152-CT'!$J$8=TH!F1466),"x","")</f>
        <v/>
      </c>
      <c r="X1466" s="52" t="str">
        <f>IF(AND(OR(LEFT(TH!L1466,2)="15",LEFT(TH!M1466,2)="15"),TK!$E$7=TH!F1466),"x","")</f>
        <v/>
      </c>
      <c r="Y1466" s="52" t="str">
        <f>IF(AND(B1466&lt;=NKC!$N$8,B1466&gt;=NKC!$M$8),"x","")</f>
        <v/>
      </c>
    </row>
    <row r="1467" spans="1:25" s="798" customFormat="1" ht="15.75" customHeight="1">
      <c r="A1467" s="201" t="str">
        <f>IF(B1467&lt;&gt;"",IF(AND(B1467&gt;=_TM1,B1467&lt;=_TM2,OR(TH!L1467="1111",TH!M1467="1111")),TH!D1467,""),"")</f>
        <v/>
      </c>
      <c r="B1467" s="796">
        <f t="shared" si="69"/>
        <v>4</v>
      </c>
      <c r="C1467" s="853">
        <f t="shared" si="67"/>
        <v>41367</v>
      </c>
      <c r="D1467" s="791" t="s">
        <v>1261</v>
      </c>
      <c r="E1467" s="872">
        <v>41367</v>
      </c>
      <c r="F1467" s="864" t="s">
        <v>1095</v>
      </c>
      <c r="G1467" s="855" t="s">
        <v>756</v>
      </c>
      <c r="H1467" s="856" t="s">
        <v>1257</v>
      </c>
      <c r="I1467" s="873">
        <v>515</v>
      </c>
      <c r="J1467" s="863">
        <v>15890.23495145631</v>
      </c>
      <c r="K1467" s="793">
        <f t="shared" si="68"/>
        <v>8183471</v>
      </c>
      <c r="L1467" s="786" t="s">
        <v>164</v>
      </c>
      <c r="M1467" s="859" t="s">
        <v>162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IF(OR(TH!L1467=TH!$U$7,M1467=TH!$U$7),"x","")</f>
        <v/>
      </c>
      <c r="V1467" s="52" t="str">
        <f>IF(AND(B1467&gt;='IN-NX'!$P$3,B1467&lt;='IN-NX'!$Q$3,'IN-NX'!$D$7=D1467,OR(LEFT(L1467,2)="15",AND(LEFT(M1467,2)&lt;&gt;"15",LEFT(M1467,2)&lt;&gt;"33"))),"x","")</f>
        <v/>
      </c>
      <c r="W1467" s="52" t="str">
        <f>IF(AND(OR(LEFT(TH!L1467,2)="15",LEFT(TH!M1467,2)="15"),'152-CT'!$J$8=TH!F1467),"x","")</f>
        <v/>
      </c>
      <c r="X1467" s="52" t="str">
        <f>IF(AND(OR(LEFT(TH!L1467,2)="15",LEFT(TH!M1467,2)="15"),TK!$E$7=TH!F1467),"x","")</f>
        <v/>
      </c>
      <c r="Y1467" s="52" t="str">
        <f>IF(AND(B1467&lt;=NKC!$N$8,B1467&gt;=NKC!$M$8),"x","")</f>
        <v/>
      </c>
    </row>
    <row r="1468" spans="1:25" s="767" customFormat="1" ht="15.75" customHeight="1">
      <c r="A1468" s="201" t="str">
        <f>IF(B1468&lt;&gt;"",IF(AND(B1468&gt;=_TM1,B1468&lt;=_TM2,OR(TH!L1468="1111",TH!M1468="1111")),TH!D1468,""),"")</f>
        <v/>
      </c>
      <c r="B1468" s="692">
        <f t="shared" si="69"/>
        <v>4</v>
      </c>
      <c r="C1468" s="791">
        <f t="shared" ref="C1468:C1531" si="70">E1468</f>
        <v>41368</v>
      </c>
      <c r="D1468" s="791" t="s">
        <v>1261</v>
      </c>
      <c r="E1468" s="806">
        <v>41368</v>
      </c>
      <c r="F1468" s="867" t="s">
        <v>708</v>
      </c>
      <c r="G1468" s="49" t="s">
        <v>758</v>
      </c>
      <c r="H1468" s="795" t="s">
        <v>1257</v>
      </c>
      <c r="I1468" s="248">
        <v>500</v>
      </c>
      <c r="J1468" s="248">
        <v>7889.7359999999999</v>
      </c>
      <c r="K1468" s="693">
        <f t="shared" ref="K1468:K1531" si="71">ROUND(I1468*J1468,0)</f>
        <v>3944868</v>
      </c>
      <c r="L1468" s="52" t="s">
        <v>164</v>
      </c>
      <c r="M1468" s="849" t="s">
        <v>162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IF(OR(TH!L1468=TH!$U$7,M1468=TH!$U$7),"x","")</f>
        <v/>
      </c>
      <c r="V1468" s="52" t="str">
        <f>IF(AND(B1468&gt;='IN-NX'!$P$3,B1468&lt;='IN-NX'!$Q$3,'IN-NX'!$D$7=D1468,OR(LEFT(L1468,2)="15",AND(LEFT(M1468,2)&lt;&gt;"15",LEFT(M1468,2)&lt;&gt;"33"))),"x","")</f>
        <v/>
      </c>
      <c r="W1468" s="52" t="str">
        <f>IF(AND(OR(LEFT(TH!L1468,2)="15",LEFT(TH!M1468,2)="15"),'152-CT'!$J$8=TH!F1468),"x","")</f>
        <v/>
      </c>
      <c r="X1468" s="52" t="str">
        <f>IF(AND(OR(LEFT(TH!L1468,2)="15",LEFT(TH!M1468,2)="15"),TK!$E$7=TH!F1468),"x","")</f>
        <v/>
      </c>
      <c r="Y1468" s="52" t="str">
        <f>IF(AND(B1468&lt;=NKC!$N$8,B1468&gt;=NKC!$M$8),"x","")</f>
        <v/>
      </c>
    </row>
    <row r="1469" spans="1:25" s="767" customFormat="1" ht="15.75" customHeight="1">
      <c r="A1469" s="201" t="str">
        <f>IF(B1469&lt;&gt;"",IF(AND(B1469&gt;=_TM1,B1469&lt;=_TM2,OR(TH!L1469="1111",TH!M1469="1111")),TH!D1469,""),"")</f>
        <v/>
      </c>
      <c r="B1469" s="692">
        <f t="shared" si="69"/>
        <v>4</v>
      </c>
      <c r="C1469" s="791">
        <f t="shared" si="70"/>
        <v>41368</v>
      </c>
      <c r="D1469" s="791" t="s">
        <v>1261</v>
      </c>
      <c r="E1469" s="806">
        <v>41368</v>
      </c>
      <c r="F1469" s="867" t="s">
        <v>451</v>
      </c>
      <c r="G1469" s="49" t="s">
        <v>759</v>
      </c>
      <c r="H1469" s="795" t="s">
        <v>1257</v>
      </c>
      <c r="I1469" s="248">
        <v>400</v>
      </c>
      <c r="J1469" s="248">
        <v>11491.195</v>
      </c>
      <c r="K1469" s="693">
        <f t="shared" si="71"/>
        <v>4596478</v>
      </c>
      <c r="L1469" s="52" t="s">
        <v>164</v>
      </c>
      <c r="M1469" s="849" t="s">
        <v>162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IF(OR(TH!L1469=TH!$U$7,M1469=TH!$U$7),"x","")</f>
        <v/>
      </c>
      <c r="V1469" s="52" t="str">
        <f>IF(AND(B1469&gt;='IN-NX'!$P$3,B1469&lt;='IN-NX'!$Q$3,'IN-NX'!$D$7=D1469,OR(LEFT(L1469,2)="15",AND(LEFT(M1469,2)&lt;&gt;"15",LEFT(M1469,2)&lt;&gt;"33"))),"x","")</f>
        <v/>
      </c>
      <c r="W1469" s="52" t="str">
        <f>IF(AND(OR(LEFT(TH!L1469,2)="15",LEFT(TH!M1469,2)="15"),'152-CT'!$J$8=TH!F1469),"x","")</f>
        <v/>
      </c>
      <c r="X1469" s="52" t="str">
        <f>IF(AND(OR(LEFT(TH!L1469,2)="15",LEFT(TH!M1469,2)="15"),TK!$E$7=TH!F1469),"x","")</f>
        <v/>
      </c>
      <c r="Y1469" s="52" t="str">
        <f>IF(AND(B1469&lt;=NKC!$N$8,B1469&gt;=NKC!$M$8),"x","")</f>
        <v/>
      </c>
    </row>
    <row r="1470" spans="1:25" s="767" customFormat="1" ht="15.75" customHeight="1">
      <c r="A1470" s="201" t="str">
        <f>IF(B1470&lt;&gt;"",IF(AND(B1470&gt;=_TM1,B1470&lt;=_TM2,OR(TH!L1470="1111",TH!M1470="1111")),TH!D1470,""),"")</f>
        <v/>
      </c>
      <c r="B1470" s="692">
        <f t="shared" si="69"/>
        <v>4</v>
      </c>
      <c r="C1470" s="791">
        <f t="shared" si="70"/>
        <v>41369</v>
      </c>
      <c r="D1470" s="791" t="s">
        <v>1261</v>
      </c>
      <c r="E1470" s="806">
        <v>41369</v>
      </c>
      <c r="F1470" s="794" t="s">
        <v>451</v>
      </c>
      <c r="G1470" s="49" t="s">
        <v>546</v>
      </c>
      <c r="H1470" s="795" t="s">
        <v>1257</v>
      </c>
      <c r="I1470" s="248">
        <v>500</v>
      </c>
      <c r="J1470" s="248">
        <v>11401.736000000001</v>
      </c>
      <c r="K1470" s="693">
        <f t="shared" si="71"/>
        <v>5700868</v>
      </c>
      <c r="L1470" s="52" t="s">
        <v>164</v>
      </c>
      <c r="M1470" s="849" t="s">
        <v>162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IF(OR(TH!L1470=TH!$U$7,M1470=TH!$U$7),"x","")</f>
        <v/>
      </c>
      <c r="V1470" s="52" t="str">
        <f>IF(AND(B1470&gt;='IN-NX'!$P$3,B1470&lt;='IN-NX'!$Q$3,'IN-NX'!$D$7=D1470,OR(LEFT(L1470,2)="15",AND(LEFT(M1470,2)&lt;&gt;"15",LEFT(M1470,2)&lt;&gt;"33"))),"x","")</f>
        <v/>
      </c>
      <c r="W1470" s="52" t="str">
        <f>IF(AND(OR(LEFT(TH!L1470,2)="15",LEFT(TH!M1470,2)="15"),'152-CT'!$J$8=TH!F1470),"x","")</f>
        <v/>
      </c>
      <c r="X1470" s="52" t="str">
        <f>IF(AND(OR(LEFT(TH!L1470,2)="15",LEFT(TH!M1470,2)="15"),TK!$E$7=TH!F1470),"x","")</f>
        <v/>
      </c>
      <c r="Y1470" s="52" t="str">
        <f>IF(AND(B1470&lt;=NKC!$N$8,B1470&gt;=NKC!$M$8),"x","")</f>
        <v/>
      </c>
    </row>
    <row r="1471" spans="1:25" s="767" customFormat="1" ht="15.75" customHeight="1">
      <c r="A1471" s="201" t="str">
        <f>IF(B1471&lt;&gt;"",IF(AND(B1471&gt;=_TM1,B1471&lt;=_TM2,OR(TH!L1471="1111",TH!M1471="1111")),TH!D1471,""),"")</f>
        <v/>
      </c>
      <c r="B1471" s="692">
        <f t="shared" si="69"/>
        <v>4</v>
      </c>
      <c r="C1471" s="791">
        <f t="shared" si="70"/>
        <v>41369</v>
      </c>
      <c r="D1471" s="791" t="s">
        <v>1261</v>
      </c>
      <c r="E1471" s="806">
        <v>41369</v>
      </c>
      <c r="F1471" s="49" t="s">
        <v>762</v>
      </c>
      <c r="G1471" s="49" t="s">
        <v>763</v>
      </c>
      <c r="H1471" s="795" t="s">
        <v>1257</v>
      </c>
      <c r="I1471" s="248">
        <v>1000</v>
      </c>
      <c r="J1471" s="248">
        <v>12403.04</v>
      </c>
      <c r="K1471" s="693">
        <f t="shared" si="71"/>
        <v>12403040</v>
      </c>
      <c r="L1471" s="52" t="s">
        <v>164</v>
      </c>
      <c r="M1471" s="849" t="s">
        <v>162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IF(OR(TH!L1471=TH!$U$7,M1471=TH!$U$7),"x","")</f>
        <v/>
      </c>
      <c r="V1471" s="52" t="str">
        <f>IF(AND(B1471&gt;='IN-NX'!$P$3,B1471&lt;='IN-NX'!$Q$3,'IN-NX'!$D$7=D1471,OR(LEFT(L1471,2)="15",AND(LEFT(M1471,2)&lt;&gt;"15",LEFT(M1471,2)&lt;&gt;"33"))),"x","")</f>
        <v/>
      </c>
      <c r="W1471" s="52" t="str">
        <f>IF(AND(OR(LEFT(TH!L1471,2)="15",LEFT(TH!M1471,2)="15"),'152-CT'!$J$8=TH!F1471),"x","")</f>
        <v/>
      </c>
      <c r="X1471" s="52" t="str">
        <f>IF(AND(OR(LEFT(TH!L1471,2)="15",LEFT(TH!M1471,2)="15"),TK!$E$7=TH!F1471),"x","")</f>
        <v/>
      </c>
      <c r="Y1471" s="52" t="str">
        <f>IF(AND(B1471&lt;=NKC!$N$8,B1471&gt;=NKC!$M$8),"x","")</f>
        <v/>
      </c>
    </row>
    <row r="1472" spans="1:25" s="767" customFormat="1" ht="15.75" customHeight="1">
      <c r="A1472" s="201" t="str">
        <f>IF(B1472&lt;&gt;"",IF(AND(B1472&gt;=_TM1,B1472&lt;=_TM2,OR(TH!L1472="1111",TH!M1472="1111")),TH!D1472,""),"")</f>
        <v/>
      </c>
      <c r="B1472" s="692">
        <f t="shared" si="69"/>
        <v>4</v>
      </c>
      <c r="C1472" s="791">
        <f t="shared" si="70"/>
        <v>41370</v>
      </c>
      <c r="D1472" s="791" t="s">
        <v>1261</v>
      </c>
      <c r="E1472" s="806">
        <v>41370</v>
      </c>
      <c r="F1472" s="867" t="s">
        <v>764</v>
      </c>
      <c r="G1472" s="49" t="s">
        <v>765</v>
      </c>
      <c r="H1472" s="795" t="s">
        <v>1257</v>
      </c>
      <c r="I1472" s="248">
        <v>500</v>
      </c>
      <c r="J1472" s="248">
        <v>12221.736000000001</v>
      </c>
      <c r="K1472" s="693">
        <f t="shared" si="71"/>
        <v>6110868</v>
      </c>
      <c r="L1472" s="52" t="s">
        <v>164</v>
      </c>
      <c r="M1472" s="849" t="s">
        <v>162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IF(OR(TH!L1472=TH!$U$7,M1472=TH!$U$7),"x","")</f>
        <v/>
      </c>
      <c r="V1472" s="52" t="str">
        <f>IF(AND(B1472&gt;='IN-NX'!$P$3,B1472&lt;='IN-NX'!$Q$3,'IN-NX'!$D$7=D1472,OR(LEFT(L1472,2)="15",AND(LEFT(M1472,2)&lt;&gt;"15",LEFT(M1472,2)&lt;&gt;"33"))),"x","")</f>
        <v/>
      </c>
      <c r="W1472" s="52" t="str">
        <f>IF(AND(OR(LEFT(TH!L1472,2)="15",LEFT(TH!M1472,2)="15"),'152-CT'!$J$8=TH!F1472),"x","")</f>
        <v/>
      </c>
      <c r="X1472" s="52" t="str">
        <f>IF(AND(OR(LEFT(TH!L1472,2)="15",LEFT(TH!M1472,2)="15"),TK!$E$7=TH!F1472),"x","")</f>
        <v/>
      </c>
      <c r="Y1472" s="52" t="str">
        <f>IF(AND(B1472&lt;=NKC!$N$8,B1472&gt;=NKC!$M$8),"x","")</f>
        <v/>
      </c>
    </row>
    <row r="1473" spans="1:25" s="767" customFormat="1" ht="15.75" customHeight="1">
      <c r="A1473" s="201" t="str">
        <f>IF(B1473&lt;&gt;"",IF(AND(B1473&gt;=_TM1,B1473&lt;=_TM2,OR(TH!L1473="1111",TH!M1473="1111")),TH!D1473,""),"")</f>
        <v/>
      </c>
      <c r="B1473" s="692">
        <f t="shared" si="69"/>
        <v>4</v>
      </c>
      <c r="C1473" s="791">
        <f t="shared" si="70"/>
        <v>41370</v>
      </c>
      <c r="D1473" s="791" t="s">
        <v>1261</v>
      </c>
      <c r="E1473" s="806">
        <v>41370</v>
      </c>
      <c r="F1473" s="867" t="s">
        <v>764</v>
      </c>
      <c r="G1473" s="49" t="s">
        <v>765</v>
      </c>
      <c r="H1473" s="795" t="s">
        <v>1257</v>
      </c>
      <c r="I1473" s="248">
        <v>100</v>
      </c>
      <c r="J1473" s="248">
        <v>12221.74</v>
      </c>
      <c r="K1473" s="693">
        <f t="shared" si="71"/>
        <v>1222174</v>
      </c>
      <c r="L1473" s="52" t="s">
        <v>164</v>
      </c>
      <c r="M1473" s="849" t="s">
        <v>162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IF(OR(TH!L1473=TH!$U$7,M1473=TH!$U$7),"x","")</f>
        <v/>
      </c>
      <c r="V1473" s="52" t="str">
        <f>IF(AND(B1473&gt;='IN-NX'!$P$3,B1473&lt;='IN-NX'!$Q$3,'IN-NX'!$D$7=D1473,OR(LEFT(L1473,2)="15",AND(LEFT(M1473,2)&lt;&gt;"15",LEFT(M1473,2)&lt;&gt;"33"))),"x","")</f>
        <v/>
      </c>
      <c r="W1473" s="52" t="str">
        <f>IF(AND(OR(LEFT(TH!L1473,2)="15",LEFT(TH!M1473,2)="15"),'152-CT'!$J$8=TH!F1473),"x","")</f>
        <v/>
      </c>
      <c r="X1473" s="52" t="str">
        <f>IF(AND(OR(LEFT(TH!L1473,2)="15",LEFT(TH!M1473,2)="15"),TK!$E$7=TH!F1473),"x","")</f>
        <v/>
      </c>
      <c r="Y1473" s="52" t="str">
        <f>IF(AND(B1473&lt;=NKC!$N$8,B1473&gt;=NKC!$M$8),"x","")</f>
        <v/>
      </c>
    </row>
    <row r="1474" spans="1:25" s="767" customFormat="1" ht="15.75" customHeight="1">
      <c r="A1474" s="201" t="str">
        <f>IF(B1474&lt;&gt;"",IF(AND(B1474&gt;=_TM1,B1474&lt;=_TM2,OR(TH!L1474="1111",TH!M1474="1111")),TH!D1474,""),"")</f>
        <v/>
      </c>
      <c r="B1474" s="692">
        <f t="shared" si="69"/>
        <v>4</v>
      </c>
      <c r="C1474" s="791">
        <f t="shared" si="70"/>
        <v>41375</v>
      </c>
      <c r="D1474" s="791" t="s">
        <v>1261</v>
      </c>
      <c r="E1474" s="806">
        <v>41375</v>
      </c>
      <c r="F1474" s="867" t="s">
        <v>1129</v>
      </c>
      <c r="G1474" s="49" t="s">
        <v>766</v>
      </c>
      <c r="H1474" s="795" t="s">
        <v>1257</v>
      </c>
      <c r="I1474" s="248">
        <v>3990</v>
      </c>
      <c r="J1474" s="248">
        <v>5307.5290726817038</v>
      </c>
      <c r="K1474" s="693">
        <f t="shared" si="71"/>
        <v>21177041</v>
      </c>
      <c r="L1474" s="52" t="s">
        <v>164</v>
      </c>
      <c r="M1474" s="849" t="s">
        <v>162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IF(OR(TH!L1474=TH!$U$7,M1474=TH!$U$7),"x","")</f>
        <v/>
      </c>
      <c r="V1474" s="52" t="str">
        <f>IF(AND(B1474&gt;='IN-NX'!$P$3,B1474&lt;='IN-NX'!$Q$3,'IN-NX'!$D$7=D1474,OR(LEFT(L1474,2)="15",AND(LEFT(M1474,2)&lt;&gt;"15",LEFT(M1474,2)&lt;&gt;"33"))),"x","")</f>
        <v/>
      </c>
      <c r="W1474" s="52" t="str">
        <f>IF(AND(OR(LEFT(TH!L1474,2)="15",LEFT(TH!M1474,2)="15"),'152-CT'!$J$8=TH!F1474),"x","")</f>
        <v/>
      </c>
      <c r="X1474" s="52" t="str">
        <f>IF(AND(OR(LEFT(TH!L1474,2)="15",LEFT(TH!M1474,2)="15"),TK!$E$7=TH!F1474),"x","")</f>
        <v/>
      </c>
      <c r="Y1474" s="52" t="str">
        <f>IF(AND(B1474&lt;=NKC!$N$8,B1474&gt;=NKC!$M$8),"x","")</f>
        <v/>
      </c>
    </row>
    <row r="1475" spans="1:25" s="767" customFormat="1" ht="15.75" customHeight="1">
      <c r="A1475" s="201" t="str">
        <f>IF(B1475&lt;&gt;"",IF(AND(B1475&gt;=_TM1,B1475&lt;=_TM2,OR(TH!L1475="1111",TH!M1475="1111")),TH!D1475,""),"")</f>
        <v/>
      </c>
      <c r="B1475" s="692">
        <f t="shared" si="69"/>
        <v>4</v>
      </c>
      <c r="C1475" s="791">
        <f t="shared" si="70"/>
        <v>41375</v>
      </c>
      <c r="D1475" s="791" t="s">
        <v>1261</v>
      </c>
      <c r="E1475" s="806">
        <v>41375</v>
      </c>
      <c r="F1475" s="867" t="s">
        <v>1103</v>
      </c>
      <c r="G1475" s="49" t="s">
        <v>766</v>
      </c>
      <c r="H1475" s="795" t="s">
        <v>1257</v>
      </c>
      <c r="I1475" s="248">
        <v>2763</v>
      </c>
      <c r="J1475" s="248">
        <v>5869.5522982265657</v>
      </c>
      <c r="K1475" s="693">
        <f t="shared" si="71"/>
        <v>16217573</v>
      </c>
      <c r="L1475" s="52" t="s">
        <v>164</v>
      </c>
      <c r="M1475" s="849" t="s">
        <v>162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IF(OR(TH!L1475=TH!$U$7,M1475=TH!$U$7),"x","")</f>
        <v/>
      </c>
      <c r="V1475" s="52" t="str">
        <f>IF(AND(B1475&gt;='IN-NX'!$P$3,B1475&lt;='IN-NX'!$Q$3,'IN-NX'!$D$7=D1475,OR(LEFT(L1475,2)="15",AND(LEFT(M1475,2)&lt;&gt;"15",LEFT(M1475,2)&lt;&gt;"33"))),"x","")</f>
        <v/>
      </c>
      <c r="W1475" s="52" t="str">
        <f>IF(AND(OR(LEFT(TH!L1475,2)="15",LEFT(TH!M1475,2)="15"),'152-CT'!$J$8=TH!F1475),"x","")</f>
        <v/>
      </c>
      <c r="X1475" s="52" t="str">
        <f>IF(AND(OR(LEFT(TH!L1475,2)="15",LEFT(TH!M1475,2)="15"),TK!$E$7=TH!F1475),"x","")</f>
        <v/>
      </c>
      <c r="Y1475" s="52" t="str">
        <f>IF(AND(B1475&lt;=NKC!$N$8,B1475&gt;=NKC!$M$8),"x","")</f>
        <v/>
      </c>
    </row>
    <row r="1476" spans="1:25" s="767" customFormat="1" ht="15.75" customHeight="1">
      <c r="A1476" s="201" t="str">
        <f>IF(B1476&lt;&gt;"",IF(AND(B1476&gt;=_TM1,B1476&lt;=_TM2,OR(TH!L1476="1111",TH!M1476="1111")),TH!D1476,""),"")</f>
        <v/>
      </c>
      <c r="B1476" s="692">
        <f t="shared" si="69"/>
        <v>4</v>
      </c>
      <c r="C1476" s="791">
        <f t="shared" si="70"/>
        <v>41375</v>
      </c>
      <c r="D1476" s="791" t="s">
        <v>1261</v>
      </c>
      <c r="E1476" s="806">
        <v>41375</v>
      </c>
      <c r="F1476" s="49" t="s">
        <v>1110</v>
      </c>
      <c r="G1476" s="49" t="s">
        <v>767</v>
      </c>
      <c r="H1476" s="795" t="s">
        <v>1257</v>
      </c>
      <c r="I1476" s="248">
        <v>103</v>
      </c>
      <c r="J1476" s="248">
        <v>17168.233009708736</v>
      </c>
      <c r="K1476" s="693">
        <f t="shared" si="71"/>
        <v>1768328</v>
      </c>
      <c r="L1476" s="52" t="s">
        <v>164</v>
      </c>
      <c r="M1476" s="849" t="s">
        <v>162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IF(OR(TH!L1476=TH!$U$7,M1476=TH!$U$7),"x","")</f>
        <v/>
      </c>
      <c r="V1476" s="52" t="str">
        <f>IF(AND(B1476&gt;='IN-NX'!$P$3,B1476&lt;='IN-NX'!$Q$3,'IN-NX'!$D$7=D1476,OR(LEFT(L1476,2)="15",AND(LEFT(M1476,2)&lt;&gt;"15",LEFT(M1476,2)&lt;&gt;"33"))),"x","")</f>
        <v/>
      </c>
      <c r="W1476" s="52" t="str">
        <f>IF(AND(OR(LEFT(TH!L1476,2)="15",LEFT(TH!M1476,2)="15"),'152-CT'!$J$8=TH!F1476),"x","")</f>
        <v/>
      </c>
      <c r="X1476" s="52" t="str">
        <f>IF(AND(OR(LEFT(TH!L1476,2)="15",LEFT(TH!M1476,2)="15"),TK!$E$7=TH!F1476),"x","")</f>
        <v/>
      </c>
      <c r="Y1476" s="52" t="str">
        <f>IF(AND(B1476&lt;=NKC!$N$8,B1476&gt;=NKC!$M$8),"x","")</f>
        <v/>
      </c>
    </row>
    <row r="1477" spans="1:25" s="767" customFormat="1" ht="15.75" customHeight="1">
      <c r="A1477" s="201" t="str">
        <f>IF(B1477&lt;&gt;"",IF(AND(B1477&gt;=_TM1,B1477&lt;=_TM2,OR(TH!L1477="1111",TH!M1477="1111")),TH!D1477,""),"")</f>
        <v/>
      </c>
      <c r="B1477" s="692">
        <f t="shared" si="69"/>
        <v>4</v>
      </c>
      <c r="C1477" s="791">
        <f t="shared" si="70"/>
        <v>41375</v>
      </c>
      <c r="D1477" s="791" t="s">
        <v>1261</v>
      </c>
      <c r="E1477" s="806">
        <v>41375</v>
      </c>
      <c r="F1477" s="49" t="s">
        <v>768</v>
      </c>
      <c r="G1477" s="49" t="s">
        <v>767</v>
      </c>
      <c r="H1477" s="795" t="s">
        <v>1257</v>
      </c>
      <c r="I1477" s="248">
        <v>200</v>
      </c>
      <c r="J1477" s="248">
        <v>1356.4349999999999</v>
      </c>
      <c r="K1477" s="693">
        <f t="shared" si="71"/>
        <v>271287</v>
      </c>
      <c r="L1477" s="52" t="s">
        <v>164</v>
      </c>
      <c r="M1477" s="849" t="s">
        <v>162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IF(OR(TH!L1477=TH!$U$7,M1477=TH!$U$7),"x","")</f>
        <v/>
      </c>
      <c r="V1477" s="52" t="str">
        <f>IF(AND(B1477&gt;='IN-NX'!$P$3,B1477&lt;='IN-NX'!$Q$3,'IN-NX'!$D$7=D1477,OR(LEFT(L1477,2)="15",AND(LEFT(M1477,2)&lt;&gt;"15",LEFT(M1477,2)&lt;&gt;"33"))),"x","")</f>
        <v/>
      </c>
      <c r="W1477" s="52" t="str">
        <f>IF(AND(OR(LEFT(TH!L1477,2)="15",LEFT(TH!M1477,2)="15"),'152-CT'!$J$8=TH!F1477),"x","")</f>
        <v/>
      </c>
      <c r="X1477" s="52" t="str">
        <f>IF(AND(OR(LEFT(TH!L1477,2)="15",LEFT(TH!M1477,2)="15"),TK!$E$7=TH!F1477),"x","")</f>
        <v/>
      </c>
      <c r="Y1477" s="52" t="str">
        <f>IF(AND(B1477&lt;=NKC!$N$8,B1477&gt;=NKC!$M$8),"x","")</f>
        <v/>
      </c>
    </row>
    <row r="1478" spans="1:25" s="767" customFormat="1" ht="15.75" customHeight="1">
      <c r="A1478" s="201" t="str">
        <f>IF(B1478&lt;&gt;"",IF(AND(B1478&gt;=_TM1,B1478&lt;=_TM2,OR(TH!L1478="1111",TH!M1478="1111")),TH!D1478,""),"")</f>
        <v/>
      </c>
      <c r="B1478" s="692">
        <f t="shared" si="69"/>
        <v>4</v>
      </c>
      <c r="C1478" s="791">
        <f t="shared" si="70"/>
        <v>41375</v>
      </c>
      <c r="D1478" s="791" t="s">
        <v>1261</v>
      </c>
      <c r="E1478" s="806">
        <v>41375</v>
      </c>
      <c r="F1478" s="867" t="s">
        <v>1108</v>
      </c>
      <c r="G1478" s="49" t="s">
        <v>767</v>
      </c>
      <c r="H1478" s="795" t="s">
        <v>1257</v>
      </c>
      <c r="I1478" s="248">
        <v>990</v>
      </c>
      <c r="J1478" s="248">
        <v>5263.3616161616164</v>
      </c>
      <c r="K1478" s="693">
        <f t="shared" si="71"/>
        <v>5210728</v>
      </c>
      <c r="L1478" s="52" t="s">
        <v>164</v>
      </c>
      <c r="M1478" s="849" t="s">
        <v>162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IF(OR(TH!L1478=TH!$U$7,M1478=TH!$U$7),"x","")</f>
        <v/>
      </c>
      <c r="V1478" s="52" t="str">
        <f>IF(AND(B1478&gt;='IN-NX'!$P$3,B1478&lt;='IN-NX'!$Q$3,'IN-NX'!$D$7=D1478,OR(LEFT(L1478,2)="15",AND(LEFT(M1478,2)&lt;&gt;"15",LEFT(M1478,2)&lt;&gt;"33"))),"x","")</f>
        <v/>
      </c>
      <c r="W1478" s="52" t="str">
        <f>IF(AND(OR(LEFT(TH!L1478,2)="15",LEFT(TH!M1478,2)="15"),'152-CT'!$J$8=TH!F1478),"x","")</f>
        <v/>
      </c>
      <c r="X1478" s="52" t="str">
        <f>IF(AND(OR(LEFT(TH!L1478,2)="15",LEFT(TH!M1478,2)="15"),TK!$E$7=TH!F1478),"x","")</f>
        <v/>
      </c>
      <c r="Y1478" s="52" t="str">
        <f>IF(AND(B1478&lt;=NKC!$N$8,B1478&gt;=NKC!$M$8),"x","")</f>
        <v/>
      </c>
    </row>
    <row r="1479" spans="1:25" s="767" customFormat="1" ht="15.75" customHeight="1">
      <c r="A1479" s="201" t="str">
        <f>IF(B1479&lt;&gt;"",IF(AND(B1479&gt;=_TM1,B1479&lt;=_TM2,OR(TH!L1479="1111",TH!M1479="1111")),TH!D1479,""),"")</f>
        <v/>
      </c>
      <c r="B1479" s="692">
        <f t="shared" si="69"/>
        <v>4</v>
      </c>
      <c r="C1479" s="791">
        <f t="shared" si="70"/>
        <v>41376</v>
      </c>
      <c r="D1479" s="791" t="s">
        <v>1261</v>
      </c>
      <c r="E1479" s="791">
        <v>41376</v>
      </c>
      <c r="F1479" s="848" t="s">
        <v>722</v>
      </c>
      <c r="G1479" s="792" t="s">
        <v>769</v>
      </c>
      <c r="H1479" s="795" t="s">
        <v>1257</v>
      </c>
      <c r="I1479" s="248">
        <v>1095</v>
      </c>
      <c r="J1479" s="248">
        <v>13151.806392694063</v>
      </c>
      <c r="K1479" s="693">
        <f t="shared" si="71"/>
        <v>14401228</v>
      </c>
      <c r="L1479" s="52" t="s">
        <v>164</v>
      </c>
      <c r="M1479" s="849" t="s">
        <v>162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IF(OR(TH!L1479=TH!$U$7,M1479=TH!$U$7),"x","")</f>
        <v/>
      </c>
      <c r="V1479" s="52" t="str">
        <f>IF(AND(B1479&gt;='IN-NX'!$P$3,B1479&lt;='IN-NX'!$Q$3,'IN-NX'!$D$7=D1479,OR(LEFT(L1479,2)="15",AND(LEFT(M1479,2)&lt;&gt;"15",LEFT(M1479,2)&lt;&gt;"33"))),"x","")</f>
        <v/>
      </c>
      <c r="W1479" s="52" t="str">
        <f>IF(AND(OR(LEFT(TH!L1479,2)="15",LEFT(TH!M1479,2)="15"),'152-CT'!$J$8=TH!F1479),"x","")</f>
        <v/>
      </c>
      <c r="X1479" s="52" t="str">
        <f>IF(AND(OR(LEFT(TH!L1479,2)="15",LEFT(TH!M1479,2)="15"),TK!$E$7=TH!F1479),"x","")</f>
        <v/>
      </c>
      <c r="Y1479" s="52" t="str">
        <f>IF(AND(B1479&lt;=NKC!$N$8,B1479&gt;=NKC!$M$8),"x","")</f>
        <v/>
      </c>
    </row>
    <row r="1480" spans="1:25" s="767" customFormat="1" ht="15.75" customHeight="1">
      <c r="A1480" s="201" t="str">
        <f>IF(B1480&lt;&gt;"",IF(AND(B1480&gt;=_TM1,B1480&lt;=_TM2,OR(TH!L1480="1111",TH!M1480="1111")),TH!D1480,""),"")</f>
        <v/>
      </c>
      <c r="B1480" s="692">
        <f t="shared" si="69"/>
        <v>4</v>
      </c>
      <c r="C1480" s="791">
        <f t="shared" si="70"/>
        <v>41376</v>
      </c>
      <c r="D1480" s="791" t="s">
        <v>1261</v>
      </c>
      <c r="E1480" s="791">
        <v>41376</v>
      </c>
      <c r="F1480" s="848" t="s">
        <v>719</v>
      </c>
      <c r="G1480" s="792" t="s">
        <v>769</v>
      </c>
      <c r="H1480" s="795" t="s">
        <v>1257</v>
      </c>
      <c r="I1480" s="248">
        <v>360</v>
      </c>
      <c r="J1480" s="248">
        <v>12221.736111111111</v>
      </c>
      <c r="K1480" s="693">
        <f t="shared" si="71"/>
        <v>4399825</v>
      </c>
      <c r="L1480" s="52" t="s">
        <v>164</v>
      </c>
      <c r="M1480" s="849" t="s">
        <v>162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IF(OR(TH!L1480=TH!$U$7,M1480=TH!$U$7),"x","")</f>
        <v/>
      </c>
      <c r="V1480" s="52" t="str">
        <f>IF(AND(B1480&gt;='IN-NX'!$P$3,B1480&lt;='IN-NX'!$Q$3,'IN-NX'!$D$7=D1480,OR(LEFT(L1480,2)="15",AND(LEFT(M1480,2)&lt;&gt;"15",LEFT(M1480,2)&lt;&gt;"33"))),"x","")</f>
        <v/>
      </c>
      <c r="W1480" s="52" t="str">
        <f>IF(AND(OR(LEFT(TH!L1480,2)="15",LEFT(TH!M1480,2)="15"),'152-CT'!$J$8=TH!F1480),"x","")</f>
        <v/>
      </c>
      <c r="X1480" s="52" t="str">
        <f>IF(AND(OR(LEFT(TH!L1480,2)="15",LEFT(TH!M1480,2)="15"),TK!$E$7=TH!F1480),"x","")</f>
        <v/>
      </c>
      <c r="Y1480" s="52" t="str">
        <f>IF(AND(B1480&lt;=NKC!$N$8,B1480&gt;=NKC!$M$8),"x","")</f>
        <v/>
      </c>
    </row>
    <row r="1481" spans="1:25" s="767" customFormat="1" ht="15.75" customHeight="1">
      <c r="A1481" s="201" t="str">
        <f>IF(B1481&lt;&gt;"",IF(AND(B1481&gt;=_TM1,B1481&lt;=_TM2,OR(TH!L1481="1111",TH!M1481="1111")),TH!D1481,""),"")</f>
        <v/>
      </c>
      <c r="B1481" s="692">
        <f t="shared" si="69"/>
        <v>4</v>
      </c>
      <c r="C1481" s="791">
        <f t="shared" si="70"/>
        <v>41380</v>
      </c>
      <c r="D1481" s="791" t="s">
        <v>1261</v>
      </c>
      <c r="E1481" s="847">
        <v>41380</v>
      </c>
      <c r="F1481" s="867" t="s">
        <v>1103</v>
      </c>
      <c r="G1481" s="868" t="s">
        <v>770</v>
      </c>
      <c r="H1481" s="795" t="s">
        <v>1257</v>
      </c>
      <c r="I1481" s="248">
        <v>3930</v>
      </c>
      <c r="J1481" s="248">
        <v>5870.2837150127225</v>
      </c>
      <c r="K1481" s="693">
        <f t="shared" si="71"/>
        <v>23070215</v>
      </c>
      <c r="L1481" s="52" t="s">
        <v>164</v>
      </c>
      <c r="M1481" s="849" t="s">
        <v>162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IF(OR(TH!L1481=TH!$U$7,M1481=TH!$U$7),"x","")</f>
        <v/>
      </c>
      <c r="V1481" s="52" t="str">
        <f>IF(AND(B1481&gt;='IN-NX'!$P$3,B1481&lt;='IN-NX'!$Q$3,'IN-NX'!$D$7=D1481,OR(LEFT(L1481,2)="15",AND(LEFT(M1481,2)&lt;&gt;"15",LEFT(M1481,2)&lt;&gt;"33"))),"x","")</f>
        <v/>
      </c>
      <c r="W1481" s="52" t="str">
        <f>IF(AND(OR(LEFT(TH!L1481,2)="15",LEFT(TH!M1481,2)="15"),'152-CT'!$J$8=TH!F1481),"x","")</f>
        <v/>
      </c>
      <c r="X1481" s="52" t="str">
        <f>IF(AND(OR(LEFT(TH!L1481,2)="15",LEFT(TH!M1481,2)="15"),TK!$E$7=TH!F1481),"x","")</f>
        <v/>
      </c>
      <c r="Y1481" s="52" t="str">
        <f>IF(AND(B1481&lt;=NKC!$N$8,B1481&gt;=NKC!$M$8),"x","")</f>
        <v/>
      </c>
    </row>
    <row r="1482" spans="1:25" s="767" customFormat="1" ht="15.75" customHeight="1">
      <c r="A1482" s="201" t="str">
        <f>IF(B1482&lt;&gt;"",IF(AND(B1482&gt;=_TM1,B1482&lt;=_TM2,OR(TH!L1482="1111",TH!M1482="1111")),TH!D1482,""),"")</f>
        <v/>
      </c>
      <c r="B1482" s="692">
        <f t="shared" si="69"/>
        <v>4</v>
      </c>
      <c r="C1482" s="791">
        <f t="shared" si="70"/>
        <v>41380</v>
      </c>
      <c r="D1482" s="791" t="s">
        <v>1261</v>
      </c>
      <c r="E1482" s="791">
        <v>41380</v>
      </c>
      <c r="F1482" s="848" t="s">
        <v>807</v>
      </c>
      <c r="G1482" s="792" t="s">
        <v>771</v>
      </c>
      <c r="H1482" s="795" t="s">
        <v>1257</v>
      </c>
      <c r="I1482" s="248">
        <v>1040</v>
      </c>
      <c r="J1482" s="248">
        <v>6391.9182692307695</v>
      </c>
      <c r="K1482" s="693">
        <f t="shared" si="71"/>
        <v>6647595</v>
      </c>
      <c r="L1482" s="52" t="s">
        <v>164</v>
      </c>
      <c r="M1482" s="849" t="s">
        <v>162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IF(OR(TH!L1482=TH!$U$7,M1482=TH!$U$7),"x","")</f>
        <v/>
      </c>
      <c r="V1482" s="52" t="str">
        <f>IF(AND(B1482&gt;='IN-NX'!$P$3,B1482&lt;='IN-NX'!$Q$3,'IN-NX'!$D$7=D1482,OR(LEFT(L1482,2)="15",AND(LEFT(M1482,2)&lt;&gt;"15",LEFT(M1482,2)&lt;&gt;"33"))),"x","")</f>
        <v/>
      </c>
      <c r="W1482" s="52" t="str">
        <f>IF(AND(OR(LEFT(TH!L1482,2)="15",LEFT(TH!M1482,2)="15"),'152-CT'!$J$8=TH!F1482),"x","")</f>
        <v/>
      </c>
      <c r="X1482" s="52" t="str">
        <f>IF(AND(OR(LEFT(TH!L1482,2)="15",LEFT(TH!M1482,2)="15"),TK!$E$7=TH!F1482),"x","")</f>
        <v/>
      </c>
      <c r="Y1482" s="52" t="str">
        <f>IF(AND(B1482&lt;=NKC!$N$8,B1482&gt;=NKC!$M$8),"x","")</f>
        <v/>
      </c>
    </row>
    <row r="1483" spans="1:25" s="767" customFormat="1" ht="15.75" customHeight="1">
      <c r="A1483" s="201" t="str">
        <f>IF(B1483&lt;&gt;"",IF(AND(B1483&gt;=_TM1,B1483&lt;=_TM2,OR(TH!L1483="1111",TH!M1483="1111")),TH!D1483,""),"")</f>
        <v/>
      </c>
      <c r="B1483" s="692">
        <f t="shared" si="69"/>
        <v>4</v>
      </c>
      <c r="C1483" s="791">
        <f t="shared" si="70"/>
        <v>41381</v>
      </c>
      <c r="D1483" s="791" t="s">
        <v>1261</v>
      </c>
      <c r="E1483" s="791">
        <v>41381</v>
      </c>
      <c r="F1483" s="848" t="s">
        <v>708</v>
      </c>
      <c r="G1483" s="792" t="s">
        <v>452</v>
      </c>
      <c r="H1483" s="795" t="s">
        <v>1257</v>
      </c>
      <c r="I1483" s="248">
        <v>670</v>
      </c>
      <c r="J1483" s="248">
        <v>7767.429850746269</v>
      </c>
      <c r="K1483" s="693">
        <f t="shared" si="71"/>
        <v>5204178</v>
      </c>
      <c r="L1483" s="52" t="s">
        <v>164</v>
      </c>
      <c r="M1483" s="849" t="s">
        <v>162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IF(OR(TH!L1483=TH!$U$7,M1483=TH!$U$7),"x","")</f>
        <v/>
      </c>
      <c r="V1483" s="52" t="str">
        <f>IF(AND(B1483&gt;='IN-NX'!$P$3,B1483&lt;='IN-NX'!$Q$3,'IN-NX'!$D$7=D1483,OR(LEFT(L1483,2)="15",AND(LEFT(M1483,2)&lt;&gt;"15",LEFT(M1483,2)&lt;&gt;"33"))),"x","")</f>
        <v/>
      </c>
      <c r="W1483" s="52" t="str">
        <f>IF(AND(OR(LEFT(TH!L1483,2)="15",LEFT(TH!M1483,2)="15"),'152-CT'!$J$8=TH!F1483),"x","")</f>
        <v/>
      </c>
      <c r="X1483" s="52" t="str">
        <f>IF(AND(OR(LEFT(TH!L1483,2)="15",LEFT(TH!M1483,2)="15"),TK!$E$7=TH!F1483),"x","")</f>
        <v/>
      </c>
      <c r="Y1483" s="52" t="str">
        <f>IF(AND(B1483&lt;=NKC!$N$8,B1483&gt;=NKC!$M$8),"x","")</f>
        <v/>
      </c>
    </row>
    <row r="1484" spans="1:25" s="767" customFormat="1" ht="15.75" customHeight="1">
      <c r="A1484" s="201" t="str">
        <f>IF(B1484&lt;&gt;"",IF(AND(B1484&gt;=_TM1,B1484&lt;=_TM2,OR(TH!L1484="1111",TH!M1484="1111")),TH!D1484,""),"")</f>
        <v/>
      </c>
      <c r="B1484" s="692">
        <f t="shared" si="69"/>
        <v>4</v>
      </c>
      <c r="C1484" s="791">
        <f t="shared" si="70"/>
        <v>41387</v>
      </c>
      <c r="D1484" s="791" t="s">
        <v>1261</v>
      </c>
      <c r="E1484" s="791">
        <v>41387</v>
      </c>
      <c r="F1484" s="848" t="s">
        <v>772</v>
      </c>
      <c r="G1484" s="792" t="s">
        <v>773</v>
      </c>
      <c r="H1484" s="795" t="s">
        <v>1257</v>
      </c>
      <c r="I1484" s="248">
        <v>514</v>
      </c>
      <c r="J1484" s="248">
        <v>7971.4416342412451</v>
      </c>
      <c r="K1484" s="693">
        <f t="shared" si="71"/>
        <v>4097321</v>
      </c>
      <c r="L1484" s="52" t="s">
        <v>164</v>
      </c>
      <c r="M1484" s="849" t="s">
        <v>162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IF(OR(TH!L1484=TH!$U$7,M1484=TH!$U$7),"x","")</f>
        <v/>
      </c>
      <c r="V1484" s="52" t="str">
        <f>IF(AND(B1484&gt;='IN-NX'!$P$3,B1484&lt;='IN-NX'!$Q$3,'IN-NX'!$D$7=D1484,OR(LEFT(L1484,2)="15",AND(LEFT(M1484,2)&lt;&gt;"15",LEFT(M1484,2)&lt;&gt;"33"))),"x","")</f>
        <v/>
      </c>
      <c r="W1484" s="52" t="str">
        <f>IF(AND(OR(LEFT(TH!L1484,2)="15",LEFT(TH!M1484,2)="15"),'152-CT'!$J$8=TH!F1484),"x","")</f>
        <v/>
      </c>
      <c r="X1484" s="52" t="str">
        <f>IF(AND(OR(LEFT(TH!L1484,2)="15",LEFT(TH!M1484,2)="15"),TK!$E$7=TH!F1484),"x","")</f>
        <v/>
      </c>
      <c r="Y1484" s="52" t="str">
        <f>IF(AND(B1484&lt;=NKC!$N$8,B1484&gt;=NKC!$M$8),"x","")</f>
        <v/>
      </c>
    </row>
    <row r="1485" spans="1:25" s="767" customFormat="1" ht="15.75" customHeight="1">
      <c r="A1485" s="201" t="str">
        <f>IF(B1485&lt;&gt;"",IF(AND(B1485&gt;=_TM1,B1485&lt;=_TM2,OR(TH!L1485="1111",TH!M1485="1111")),TH!D1485,""),"")</f>
        <v/>
      </c>
      <c r="B1485" s="692">
        <f t="shared" si="69"/>
        <v>4</v>
      </c>
      <c r="C1485" s="791">
        <f t="shared" si="70"/>
        <v>41387</v>
      </c>
      <c r="D1485" s="791" t="s">
        <v>1261</v>
      </c>
      <c r="E1485" s="791">
        <v>41387</v>
      </c>
      <c r="F1485" s="848" t="s">
        <v>775</v>
      </c>
      <c r="G1485" s="792" t="s">
        <v>773</v>
      </c>
      <c r="H1485" s="795" t="s">
        <v>1257</v>
      </c>
      <c r="I1485" s="248">
        <v>520</v>
      </c>
      <c r="J1485" s="248">
        <v>8935.3250000000007</v>
      </c>
      <c r="K1485" s="693">
        <f t="shared" si="71"/>
        <v>4646369</v>
      </c>
      <c r="L1485" s="52" t="s">
        <v>164</v>
      </c>
      <c r="M1485" s="849" t="s">
        <v>162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IF(OR(TH!L1485=TH!$U$7,M1485=TH!$U$7),"x","")</f>
        <v/>
      </c>
      <c r="V1485" s="52" t="str">
        <f>IF(AND(B1485&gt;='IN-NX'!$P$3,B1485&lt;='IN-NX'!$Q$3,'IN-NX'!$D$7=D1485,OR(LEFT(L1485,2)="15",AND(LEFT(M1485,2)&lt;&gt;"15",LEFT(M1485,2)&lt;&gt;"33"))),"x","")</f>
        <v/>
      </c>
      <c r="W1485" s="52" t="str">
        <f>IF(AND(OR(LEFT(TH!L1485,2)="15",LEFT(TH!M1485,2)="15"),'152-CT'!$J$8=TH!F1485),"x","")</f>
        <v/>
      </c>
      <c r="X1485" s="52" t="str">
        <f>IF(AND(OR(LEFT(TH!L1485,2)="15",LEFT(TH!M1485,2)="15"),TK!$E$7=TH!F1485),"x","")</f>
        <v/>
      </c>
      <c r="Y1485" s="52" t="str">
        <f>IF(AND(B1485&lt;=NKC!$N$8,B1485&gt;=NKC!$M$8),"x","")</f>
        <v/>
      </c>
    </row>
    <row r="1486" spans="1:25" s="767" customFormat="1" ht="15.75" customHeight="1">
      <c r="A1486" s="201" t="str">
        <f>IF(B1486&lt;&gt;"",IF(AND(B1486&gt;=_TM1,B1486&lt;=_TM2,OR(TH!L1486="1111",TH!M1486="1111")),TH!D1486,""),"")</f>
        <v/>
      </c>
      <c r="B1486" s="692">
        <f t="shared" si="69"/>
        <v>4</v>
      </c>
      <c r="C1486" s="791">
        <f t="shared" si="70"/>
        <v>41388</v>
      </c>
      <c r="D1486" s="791" t="s">
        <v>1261</v>
      </c>
      <c r="E1486" s="791">
        <v>41388</v>
      </c>
      <c r="F1486" s="848" t="s">
        <v>1107</v>
      </c>
      <c r="G1486" s="792" t="s">
        <v>776</v>
      </c>
      <c r="H1486" s="795" t="s">
        <v>1257</v>
      </c>
      <c r="I1486" s="248">
        <v>100</v>
      </c>
      <c r="J1486" s="248">
        <v>16434.240000000002</v>
      </c>
      <c r="K1486" s="693">
        <f t="shared" si="71"/>
        <v>1643424</v>
      </c>
      <c r="L1486" s="52" t="s">
        <v>164</v>
      </c>
      <c r="M1486" s="849" t="s">
        <v>162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IF(OR(TH!L1486=TH!$U$7,M1486=TH!$U$7),"x","")</f>
        <v/>
      </c>
      <c r="V1486" s="52" t="str">
        <f>IF(AND(B1486&gt;='IN-NX'!$P$3,B1486&lt;='IN-NX'!$Q$3,'IN-NX'!$D$7=D1486,OR(LEFT(L1486,2)="15",AND(LEFT(M1486,2)&lt;&gt;"15",LEFT(M1486,2)&lt;&gt;"33"))),"x","")</f>
        <v/>
      </c>
      <c r="W1486" s="52" t="str">
        <f>IF(AND(OR(LEFT(TH!L1486,2)="15",LEFT(TH!M1486,2)="15"),'152-CT'!$J$8=TH!F1486),"x","")</f>
        <v/>
      </c>
      <c r="X1486" s="52" t="str">
        <f>IF(AND(OR(LEFT(TH!L1486,2)="15",LEFT(TH!M1486,2)="15"),TK!$E$7=TH!F1486),"x","")</f>
        <v/>
      </c>
      <c r="Y1486" s="52" t="str">
        <f>IF(AND(B1486&lt;=NKC!$N$8,B1486&gt;=NKC!$M$8),"x","")</f>
        <v/>
      </c>
    </row>
    <row r="1487" spans="1:25" s="767" customFormat="1" ht="15.75" customHeight="1">
      <c r="A1487" s="201" t="str">
        <f>IF(B1487&lt;&gt;"",IF(AND(B1487&gt;=_TM1,B1487&lt;=_TM2,OR(TH!L1487="1111",TH!M1487="1111")),TH!D1487,""),"")</f>
        <v/>
      </c>
      <c r="B1487" s="692">
        <f t="shared" si="69"/>
        <v>4</v>
      </c>
      <c r="C1487" s="791">
        <f t="shared" si="70"/>
        <v>41388</v>
      </c>
      <c r="D1487" s="791" t="s">
        <v>1261</v>
      </c>
      <c r="E1487" s="791">
        <v>41388</v>
      </c>
      <c r="F1487" s="848" t="s">
        <v>1113</v>
      </c>
      <c r="G1487" s="792" t="s">
        <v>776</v>
      </c>
      <c r="H1487" s="795" t="s">
        <v>1257</v>
      </c>
      <c r="I1487" s="248">
        <v>99</v>
      </c>
      <c r="J1487" s="248">
        <v>14861.232323232323</v>
      </c>
      <c r="K1487" s="693">
        <f t="shared" si="71"/>
        <v>1471262</v>
      </c>
      <c r="L1487" s="52" t="s">
        <v>164</v>
      </c>
      <c r="M1487" s="849" t="s">
        <v>162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IF(OR(TH!L1487=TH!$U$7,M1487=TH!$U$7),"x","")</f>
        <v/>
      </c>
      <c r="V1487" s="52" t="str">
        <f>IF(AND(B1487&gt;='IN-NX'!$P$3,B1487&lt;='IN-NX'!$Q$3,'IN-NX'!$D$7=D1487,OR(LEFT(L1487,2)="15",AND(LEFT(M1487,2)&lt;&gt;"15",LEFT(M1487,2)&lt;&gt;"33"))),"x","")</f>
        <v/>
      </c>
      <c r="W1487" s="52" t="str">
        <f>IF(AND(OR(LEFT(TH!L1487,2)="15",LEFT(TH!M1487,2)="15"),'152-CT'!$J$8=TH!F1487),"x","")</f>
        <v/>
      </c>
      <c r="X1487" s="52" t="str">
        <f>IF(AND(OR(LEFT(TH!L1487,2)="15",LEFT(TH!M1487,2)="15"),TK!$E$7=TH!F1487),"x","")</f>
        <v/>
      </c>
      <c r="Y1487" s="52" t="str">
        <f>IF(AND(B1487&lt;=NKC!$N$8,B1487&gt;=NKC!$M$8),"x","")</f>
        <v/>
      </c>
    </row>
    <row r="1488" spans="1:25" s="767" customFormat="1" ht="15.75" customHeight="1">
      <c r="A1488" s="201" t="str">
        <f>IF(B1488&lt;&gt;"",IF(AND(B1488&gt;=_TM1,B1488&lt;=_TM2,OR(TH!L1488="1111",TH!M1488="1111")),TH!D1488,""),"")</f>
        <v/>
      </c>
      <c r="B1488" s="692">
        <f t="shared" si="69"/>
        <v>4</v>
      </c>
      <c r="C1488" s="791">
        <f t="shared" si="70"/>
        <v>41388</v>
      </c>
      <c r="D1488" s="791" t="s">
        <v>1261</v>
      </c>
      <c r="E1488" s="791">
        <v>41388</v>
      </c>
      <c r="F1488" s="848" t="s">
        <v>777</v>
      </c>
      <c r="G1488" s="792" t="s">
        <v>778</v>
      </c>
      <c r="H1488" s="795" t="s">
        <v>1257</v>
      </c>
      <c r="I1488" s="248">
        <v>200</v>
      </c>
      <c r="J1488" s="248">
        <v>5954.2349999999997</v>
      </c>
      <c r="K1488" s="693">
        <f t="shared" si="71"/>
        <v>1190847</v>
      </c>
      <c r="L1488" s="52" t="s">
        <v>164</v>
      </c>
      <c r="M1488" s="849" t="s">
        <v>162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IF(OR(TH!L1488=TH!$U$7,M1488=TH!$U$7),"x","")</f>
        <v/>
      </c>
      <c r="V1488" s="52" t="str">
        <f>IF(AND(B1488&gt;='IN-NX'!$P$3,B1488&lt;='IN-NX'!$Q$3,'IN-NX'!$D$7=D1488,OR(LEFT(L1488,2)="15",AND(LEFT(M1488,2)&lt;&gt;"15",LEFT(M1488,2)&lt;&gt;"33"))),"x","")</f>
        <v/>
      </c>
      <c r="W1488" s="52" t="str">
        <f>IF(AND(OR(LEFT(TH!L1488,2)="15",LEFT(TH!M1488,2)="15"),'152-CT'!$J$8=TH!F1488),"x","")</f>
        <v/>
      </c>
      <c r="X1488" s="52" t="str">
        <f>IF(AND(OR(LEFT(TH!L1488,2)="15",LEFT(TH!M1488,2)="15"),TK!$E$7=TH!F1488),"x","")</f>
        <v/>
      </c>
      <c r="Y1488" s="52" t="str">
        <f>IF(AND(B1488&lt;=NKC!$N$8,B1488&gt;=NKC!$M$8),"x","")</f>
        <v/>
      </c>
    </row>
    <row r="1489" spans="1:25" s="767" customFormat="1" ht="15.75" customHeight="1">
      <c r="A1489" s="201" t="str">
        <f>IF(B1489&lt;&gt;"",IF(AND(B1489&gt;=_TM1,B1489&lt;=_TM2,OR(TH!L1489="1111",TH!M1489="1111")),TH!D1489,""),"")</f>
        <v/>
      </c>
      <c r="B1489" s="692">
        <f t="shared" si="69"/>
        <v>4</v>
      </c>
      <c r="C1489" s="791">
        <f t="shared" si="70"/>
        <v>41388</v>
      </c>
      <c r="D1489" s="791" t="s">
        <v>1261</v>
      </c>
      <c r="E1489" s="791">
        <v>41388</v>
      </c>
      <c r="F1489" s="848" t="s">
        <v>779</v>
      </c>
      <c r="G1489" s="792" t="s">
        <v>778</v>
      </c>
      <c r="H1489" s="795" t="s">
        <v>1257</v>
      </c>
      <c r="I1489" s="866">
        <v>204</v>
      </c>
      <c r="J1489" s="866">
        <v>5033.1960784313724</v>
      </c>
      <c r="K1489" s="693">
        <f t="shared" si="71"/>
        <v>1026772</v>
      </c>
      <c r="L1489" s="52" t="s">
        <v>164</v>
      </c>
      <c r="M1489" s="849" t="s">
        <v>162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IF(OR(TH!L1489=TH!$U$7,M1489=TH!$U$7),"x","")</f>
        <v/>
      </c>
      <c r="V1489" s="52" t="str">
        <f>IF(AND(B1489&gt;='IN-NX'!$P$3,B1489&lt;='IN-NX'!$Q$3,'IN-NX'!$D$7=D1489,OR(LEFT(L1489,2)="15",AND(LEFT(M1489,2)&lt;&gt;"15",LEFT(M1489,2)&lt;&gt;"33"))),"x","")</f>
        <v/>
      </c>
      <c r="W1489" s="52" t="str">
        <f>IF(AND(OR(LEFT(TH!L1489,2)="15",LEFT(TH!M1489,2)="15"),'152-CT'!$J$8=TH!F1489),"x","")</f>
        <v/>
      </c>
      <c r="X1489" s="52" t="str">
        <f>IF(AND(OR(LEFT(TH!L1489,2)="15",LEFT(TH!M1489,2)="15"),TK!$E$7=TH!F1489),"x","")</f>
        <v/>
      </c>
      <c r="Y1489" s="52" t="str">
        <f>IF(AND(B1489&lt;=NKC!$N$8,B1489&gt;=NKC!$M$8),"x","")</f>
        <v/>
      </c>
    </row>
    <row r="1490" spans="1:25" s="767" customFormat="1" ht="15.75" customHeight="1">
      <c r="A1490" s="201" t="str">
        <f>IF(B1490&lt;&gt;"",IF(AND(B1490&gt;=_TM1,B1490&lt;=_TM2,OR(TH!L1490="1111",TH!M1490="1111")),TH!D1490,""),"")</f>
        <v/>
      </c>
      <c r="B1490" s="692">
        <f t="shared" si="69"/>
        <v>4</v>
      </c>
      <c r="C1490" s="791">
        <f t="shared" si="70"/>
        <v>41389</v>
      </c>
      <c r="D1490" s="791" t="s">
        <v>1261</v>
      </c>
      <c r="E1490" s="791">
        <v>41389</v>
      </c>
      <c r="F1490" s="848" t="s">
        <v>1103</v>
      </c>
      <c r="G1490" s="792" t="s">
        <v>780</v>
      </c>
      <c r="H1490" s="795" t="s">
        <v>1257</v>
      </c>
      <c r="I1490" s="248">
        <v>4080</v>
      </c>
      <c r="J1490" s="248">
        <v>5867.7507352941175</v>
      </c>
      <c r="K1490" s="693">
        <f t="shared" si="71"/>
        <v>23940423</v>
      </c>
      <c r="L1490" s="52" t="s">
        <v>164</v>
      </c>
      <c r="M1490" s="849" t="s">
        <v>162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IF(OR(TH!L1490=TH!$U$7,M1490=TH!$U$7),"x","")</f>
        <v/>
      </c>
      <c r="V1490" s="52" t="str">
        <f>IF(AND(B1490&gt;='IN-NX'!$P$3,B1490&lt;='IN-NX'!$Q$3,'IN-NX'!$D$7=D1490,OR(LEFT(L1490,2)="15",AND(LEFT(M1490,2)&lt;&gt;"15",LEFT(M1490,2)&lt;&gt;"33"))),"x","")</f>
        <v/>
      </c>
      <c r="W1490" s="52" t="str">
        <f>IF(AND(OR(LEFT(TH!L1490,2)="15",LEFT(TH!M1490,2)="15"),'152-CT'!$J$8=TH!F1490),"x","")</f>
        <v/>
      </c>
      <c r="X1490" s="52" t="str">
        <f>IF(AND(OR(LEFT(TH!L1490,2)="15",LEFT(TH!M1490,2)="15"),TK!$E$7=TH!F1490),"x","")</f>
        <v/>
      </c>
      <c r="Y1490" s="52" t="str">
        <f>IF(AND(B1490&lt;=NKC!$N$8,B1490&gt;=NKC!$M$8),"x","")</f>
        <v/>
      </c>
    </row>
    <row r="1491" spans="1:25" s="767" customFormat="1" ht="15.75" customHeight="1">
      <c r="A1491" s="201" t="str">
        <f>IF(B1491&lt;&gt;"",IF(AND(B1491&gt;=_TM1,B1491&lt;=_TM2,OR(TH!L1491="1111",TH!M1491="1111")),TH!D1491,""),"")</f>
        <v/>
      </c>
      <c r="B1491" s="692">
        <f t="shared" si="69"/>
        <v>4</v>
      </c>
      <c r="C1491" s="791">
        <f t="shared" si="70"/>
        <v>41391</v>
      </c>
      <c r="D1491" s="791" t="s">
        <v>1261</v>
      </c>
      <c r="E1491" s="791">
        <v>41391</v>
      </c>
      <c r="F1491" s="848" t="s">
        <v>781</v>
      </c>
      <c r="G1491" s="792" t="s">
        <v>782</v>
      </c>
      <c r="H1491" s="795" t="s">
        <v>1257</v>
      </c>
      <c r="I1491" s="248">
        <v>310</v>
      </c>
      <c r="J1491" s="248">
        <v>10033.977419354838</v>
      </c>
      <c r="K1491" s="693">
        <f t="shared" si="71"/>
        <v>3110533</v>
      </c>
      <c r="L1491" s="52" t="s">
        <v>164</v>
      </c>
      <c r="M1491" s="849" t="s">
        <v>162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IF(OR(TH!L1491=TH!$U$7,M1491=TH!$U$7),"x","")</f>
        <v/>
      </c>
      <c r="V1491" s="52" t="str">
        <f>IF(AND(B1491&gt;='IN-NX'!$P$3,B1491&lt;='IN-NX'!$Q$3,'IN-NX'!$D$7=D1491,OR(LEFT(L1491,2)="15",AND(LEFT(M1491,2)&lt;&gt;"15",LEFT(M1491,2)&lt;&gt;"33"))),"x","")</f>
        <v/>
      </c>
      <c r="W1491" s="52" t="str">
        <f>IF(AND(OR(LEFT(TH!L1491,2)="15",LEFT(TH!M1491,2)="15"),'152-CT'!$J$8=TH!F1491),"x","")</f>
        <v/>
      </c>
      <c r="X1491" s="52" t="str">
        <f>IF(AND(OR(LEFT(TH!L1491,2)="15",LEFT(TH!M1491,2)="15"),TK!$E$7=TH!F1491),"x","")</f>
        <v/>
      </c>
      <c r="Y1491" s="52" t="str">
        <f>IF(AND(B1491&lt;=NKC!$N$8,B1491&gt;=NKC!$M$8),"x","")</f>
        <v/>
      </c>
    </row>
    <row r="1492" spans="1:25" s="767" customFormat="1" ht="15.75" customHeight="1">
      <c r="A1492" s="201" t="str">
        <f>IF(B1492&lt;&gt;"",IF(AND(B1492&gt;=_TM1,B1492&lt;=_TM2,OR(TH!L1492="1111",TH!M1492="1111")),TH!D1492,""),"")</f>
        <v/>
      </c>
      <c r="B1492" s="692">
        <f t="shared" si="69"/>
        <v>4</v>
      </c>
      <c r="C1492" s="791">
        <f t="shared" si="70"/>
        <v>41391</v>
      </c>
      <c r="D1492" s="791" t="s">
        <v>1261</v>
      </c>
      <c r="E1492" s="791">
        <v>41391</v>
      </c>
      <c r="F1492" s="848" t="s">
        <v>783</v>
      </c>
      <c r="G1492" s="792" t="s">
        <v>782</v>
      </c>
      <c r="H1492" s="795" t="s">
        <v>1257</v>
      </c>
      <c r="I1492" s="248">
        <v>225</v>
      </c>
      <c r="J1492" s="248">
        <v>7983.0622222222219</v>
      </c>
      <c r="K1492" s="693">
        <f t="shared" si="71"/>
        <v>1796189</v>
      </c>
      <c r="L1492" s="52" t="s">
        <v>164</v>
      </c>
      <c r="M1492" s="849" t="s">
        <v>162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IF(OR(TH!L1492=TH!$U$7,M1492=TH!$U$7),"x","")</f>
        <v/>
      </c>
      <c r="V1492" s="52" t="str">
        <f>IF(AND(B1492&gt;='IN-NX'!$P$3,B1492&lt;='IN-NX'!$Q$3,'IN-NX'!$D$7=D1492,OR(LEFT(L1492,2)="15",AND(LEFT(M1492,2)&lt;&gt;"15",LEFT(M1492,2)&lt;&gt;"33"))),"x","")</f>
        <v/>
      </c>
      <c r="W1492" s="52" t="str">
        <f>IF(AND(OR(LEFT(TH!L1492,2)="15",LEFT(TH!M1492,2)="15"),'152-CT'!$J$8=TH!F1492),"x","")</f>
        <v/>
      </c>
      <c r="X1492" s="52" t="str">
        <f>IF(AND(OR(LEFT(TH!L1492,2)="15",LEFT(TH!M1492,2)="15"),TK!$E$7=TH!F1492),"x","")</f>
        <v/>
      </c>
      <c r="Y1492" s="52" t="str">
        <f>IF(AND(B1492&lt;=NKC!$N$8,B1492&gt;=NKC!$M$8),"x","")</f>
        <v/>
      </c>
    </row>
    <row r="1493" spans="1:25" s="767" customFormat="1" ht="15.75" customHeight="1">
      <c r="A1493" s="201" t="str">
        <f>IF(B1493&lt;&gt;"",IF(AND(B1493&gt;=_TM1,B1493&lt;=_TM2,OR(TH!L1493="1111",TH!M1493="1111")),TH!D1493,""),"")</f>
        <v/>
      </c>
      <c r="B1493" s="692">
        <f t="shared" si="69"/>
        <v>5</v>
      </c>
      <c r="C1493" s="791">
        <f t="shared" si="70"/>
        <v>41400</v>
      </c>
      <c r="D1493" s="791" t="s">
        <v>1261</v>
      </c>
      <c r="E1493" s="791">
        <v>41400</v>
      </c>
      <c r="F1493" s="848" t="s">
        <v>784</v>
      </c>
      <c r="G1493" s="792" t="s">
        <v>785</v>
      </c>
      <c r="H1493" s="795" t="s">
        <v>1257</v>
      </c>
      <c r="I1493" s="248">
        <v>514</v>
      </c>
      <c r="J1493" s="248">
        <v>17050.9766536965</v>
      </c>
      <c r="K1493" s="693">
        <f t="shared" si="71"/>
        <v>8764202</v>
      </c>
      <c r="L1493" s="52" t="s">
        <v>164</v>
      </c>
      <c r="M1493" s="849" t="s">
        <v>162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IF(OR(TH!L1493=TH!$U$7,M1493=TH!$U$7),"x","")</f>
        <v/>
      </c>
      <c r="V1493" s="52" t="str">
        <f>IF(AND(B1493&gt;='IN-NX'!$P$3,B1493&lt;='IN-NX'!$Q$3,'IN-NX'!$D$7=D1493,OR(LEFT(L1493,2)="15",AND(LEFT(M1493,2)&lt;&gt;"15",LEFT(M1493,2)&lt;&gt;"33"))),"x","")</f>
        <v/>
      </c>
      <c r="W1493" s="52" t="str">
        <f>IF(AND(OR(LEFT(TH!L1493,2)="15",LEFT(TH!M1493,2)="15"),'152-CT'!$J$8=TH!F1493),"x","")</f>
        <v/>
      </c>
      <c r="X1493" s="52" t="str">
        <f>IF(AND(OR(LEFT(TH!L1493,2)="15",LEFT(TH!M1493,2)="15"),TK!$E$7=TH!F1493),"x","")</f>
        <v/>
      </c>
      <c r="Y1493" s="52" t="str">
        <f>IF(AND(B1493&lt;=NKC!$N$8,B1493&gt;=NKC!$M$8),"x","")</f>
        <v/>
      </c>
    </row>
    <row r="1494" spans="1:25" s="767" customFormat="1" ht="15.75" customHeight="1">
      <c r="A1494" s="201" t="str">
        <f>IF(B1494&lt;&gt;"",IF(AND(B1494&gt;=_TM1,B1494&lt;=_TM2,OR(TH!L1494="1111",TH!M1494="1111")),TH!D1494,""),"")</f>
        <v/>
      </c>
      <c r="B1494" s="692">
        <f t="shared" ref="B1494:B1557" si="72">IF(C1494&lt;&gt;"",MONTH(C1494),"")</f>
        <v>5</v>
      </c>
      <c r="C1494" s="791">
        <f t="shared" si="70"/>
        <v>41400</v>
      </c>
      <c r="D1494" s="791" t="s">
        <v>1261</v>
      </c>
      <c r="E1494" s="48">
        <v>41400</v>
      </c>
      <c r="F1494" s="49" t="s">
        <v>786</v>
      </c>
      <c r="G1494" s="49" t="s">
        <v>785</v>
      </c>
      <c r="H1494" s="795" t="s">
        <v>1257</v>
      </c>
      <c r="I1494" s="248">
        <v>1000</v>
      </c>
      <c r="J1494" s="248">
        <v>1049.252</v>
      </c>
      <c r="K1494" s="693">
        <f t="shared" si="71"/>
        <v>1049252</v>
      </c>
      <c r="L1494" s="52" t="s">
        <v>164</v>
      </c>
      <c r="M1494" s="849" t="s">
        <v>162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IF(OR(TH!L1494=TH!$U$7,M1494=TH!$U$7),"x","")</f>
        <v/>
      </c>
      <c r="V1494" s="52" t="str">
        <f>IF(AND(B1494&gt;='IN-NX'!$P$3,B1494&lt;='IN-NX'!$Q$3,'IN-NX'!$D$7=D1494,OR(LEFT(L1494,2)="15",AND(LEFT(M1494,2)&lt;&gt;"15",LEFT(M1494,2)&lt;&gt;"33"))),"x","")</f>
        <v/>
      </c>
      <c r="W1494" s="52" t="str">
        <f>IF(AND(OR(LEFT(TH!L1494,2)="15",LEFT(TH!M1494,2)="15"),'152-CT'!$J$8=TH!F1494),"x","")</f>
        <v/>
      </c>
      <c r="X1494" s="52" t="str">
        <f>IF(AND(OR(LEFT(TH!L1494,2)="15",LEFT(TH!M1494,2)="15"),TK!$E$7=TH!F1494),"x","")</f>
        <v/>
      </c>
      <c r="Y1494" s="52" t="str">
        <f>IF(AND(B1494&lt;=NKC!$N$8,B1494&gt;=NKC!$M$8),"x","")</f>
        <v/>
      </c>
    </row>
    <row r="1495" spans="1:25" s="767" customFormat="1" ht="15.75" customHeight="1">
      <c r="A1495" s="201" t="str">
        <f>IF(B1495&lt;&gt;"",IF(AND(B1495&gt;=_TM1,B1495&lt;=_TM2,OR(TH!L1495="1111",TH!M1495="1111")),TH!D1495,""),"")</f>
        <v/>
      </c>
      <c r="B1495" s="692">
        <f t="shared" si="72"/>
        <v>5</v>
      </c>
      <c r="C1495" s="791">
        <f t="shared" si="70"/>
        <v>41401</v>
      </c>
      <c r="D1495" s="791" t="s">
        <v>1261</v>
      </c>
      <c r="E1495" s="48">
        <v>41401</v>
      </c>
      <c r="F1495" s="49" t="s">
        <v>787</v>
      </c>
      <c r="G1495" s="49" t="s">
        <v>788</v>
      </c>
      <c r="H1495" s="795" t="s">
        <v>1257</v>
      </c>
      <c r="I1495" s="248">
        <v>500</v>
      </c>
      <c r="J1495" s="248">
        <v>8253.2360000000008</v>
      </c>
      <c r="K1495" s="693">
        <f t="shared" si="71"/>
        <v>4126618</v>
      </c>
      <c r="L1495" s="52" t="s">
        <v>164</v>
      </c>
      <c r="M1495" s="849" t="s">
        <v>162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IF(OR(TH!L1495=TH!$U$7,M1495=TH!$U$7),"x","")</f>
        <v/>
      </c>
      <c r="V1495" s="52" t="str">
        <f>IF(AND(B1495&gt;='IN-NX'!$P$3,B1495&lt;='IN-NX'!$Q$3,'IN-NX'!$D$7=D1495,OR(LEFT(L1495,2)="15",AND(LEFT(M1495,2)&lt;&gt;"15",LEFT(M1495,2)&lt;&gt;"33"))),"x","")</f>
        <v/>
      </c>
      <c r="W1495" s="52" t="str">
        <f>IF(AND(OR(LEFT(TH!L1495,2)="15",LEFT(TH!M1495,2)="15"),'152-CT'!$J$8=TH!F1495),"x","")</f>
        <v/>
      </c>
      <c r="X1495" s="52" t="str">
        <f>IF(AND(OR(LEFT(TH!L1495,2)="15",LEFT(TH!M1495,2)="15"),TK!$E$7=TH!F1495),"x","")</f>
        <v/>
      </c>
      <c r="Y1495" s="52" t="str">
        <f>IF(AND(B1495&lt;=NKC!$N$8,B1495&gt;=NKC!$M$8),"x","")</f>
        <v/>
      </c>
    </row>
    <row r="1496" spans="1:25" s="767" customFormat="1" ht="15.75" customHeight="1">
      <c r="A1496" s="201" t="str">
        <f>IF(B1496&lt;&gt;"",IF(AND(B1496&gt;=_TM1,B1496&lt;=_TM2,OR(TH!L1496="1111",TH!M1496="1111")),TH!D1496,""),"")</f>
        <v/>
      </c>
      <c r="B1496" s="692">
        <f t="shared" si="72"/>
        <v>5</v>
      </c>
      <c r="C1496" s="791">
        <f t="shared" si="70"/>
        <v>41409</v>
      </c>
      <c r="D1496" s="791" t="s">
        <v>1261</v>
      </c>
      <c r="E1496" s="48">
        <v>41409</v>
      </c>
      <c r="F1496" s="49" t="s">
        <v>781</v>
      </c>
      <c r="G1496" s="49" t="s">
        <v>789</v>
      </c>
      <c r="H1496" s="795" t="s">
        <v>1257</v>
      </c>
      <c r="I1496" s="248">
        <v>113</v>
      </c>
      <c r="J1496" s="248">
        <v>10296.964601769912</v>
      </c>
      <c r="K1496" s="693">
        <f t="shared" si="71"/>
        <v>1163557</v>
      </c>
      <c r="L1496" s="52" t="s">
        <v>164</v>
      </c>
      <c r="M1496" s="849" t="s">
        <v>162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IF(OR(TH!L1496=TH!$U$7,M1496=TH!$U$7),"x","")</f>
        <v/>
      </c>
      <c r="V1496" s="52" t="str">
        <f>IF(AND(B1496&gt;='IN-NX'!$P$3,B1496&lt;='IN-NX'!$Q$3,'IN-NX'!$D$7=D1496,OR(LEFT(L1496,2)="15",AND(LEFT(M1496,2)&lt;&gt;"15",LEFT(M1496,2)&lt;&gt;"33"))),"x","")</f>
        <v/>
      </c>
      <c r="W1496" s="52" t="str">
        <f>IF(AND(OR(LEFT(TH!L1496,2)="15",LEFT(TH!M1496,2)="15"),'152-CT'!$J$8=TH!F1496),"x","")</f>
        <v/>
      </c>
      <c r="X1496" s="52" t="str">
        <f>IF(AND(OR(LEFT(TH!L1496,2)="15",LEFT(TH!M1496,2)="15"),TK!$E$7=TH!F1496),"x","")</f>
        <v/>
      </c>
      <c r="Y1496" s="52" t="str">
        <f>IF(AND(B1496&lt;=NKC!$N$8,B1496&gt;=NKC!$M$8),"x","")</f>
        <v/>
      </c>
    </row>
    <row r="1497" spans="1:25" s="767" customFormat="1" ht="15.75" customHeight="1">
      <c r="A1497" s="201" t="str">
        <f>IF(B1497&lt;&gt;"",IF(AND(B1497&gt;=_TM1,B1497&lt;=_TM2,OR(TH!L1497="1111",TH!M1497="1111")),TH!D1497,""),"")</f>
        <v/>
      </c>
      <c r="B1497" s="692">
        <f t="shared" si="72"/>
        <v>5</v>
      </c>
      <c r="C1497" s="791">
        <f t="shared" si="70"/>
        <v>41409</v>
      </c>
      <c r="D1497" s="791" t="s">
        <v>1261</v>
      </c>
      <c r="E1497" s="48">
        <v>41409</v>
      </c>
      <c r="F1497" s="49" t="s">
        <v>1097</v>
      </c>
      <c r="G1497" s="49" t="s">
        <v>789</v>
      </c>
      <c r="H1497" s="795" t="s">
        <v>1257</v>
      </c>
      <c r="I1497" s="248">
        <v>198</v>
      </c>
      <c r="J1497" s="248">
        <v>6385.6919191919196</v>
      </c>
      <c r="K1497" s="693">
        <f t="shared" si="71"/>
        <v>1264367</v>
      </c>
      <c r="L1497" s="52" t="s">
        <v>164</v>
      </c>
      <c r="M1497" s="849" t="s">
        <v>162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IF(OR(TH!L1497=TH!$U$7,M1497=TH!$U$7),"x","")</f>
        <v/>
      </c>
      <c r="V1497" s="52" t="str">
        <f>IF(AND(B1497&gt;='IN-NX'!$P$3,B1497&lt;='IN-NX'!$Q$3,'IN-NX'!$D$7=D1497,OR(LEFT(L1497,2)="15",AND(LEFT(M1497,2)&lt;&gt;"15",LEFT(M1497,2)&lt;&gt;"33"))),"x","")</f>
        <v/>
      </c>
      <c r="W1497" s="52" t="str">
        <f>IF(AND(OR(LEFT(TH!L1497,2)="15",LEFT(TH!M1497,2)="15"),'152-CT'!$J$8=TH!F1497),"x","")</f>
        <v/>
      </c>
      <c r="X1497" s="52" t="str">
        <f>IF(AND(OR(LEFT(TH!L1497,2)="15",LEFT(TH!M1497,2)="15"),TK!$E$7=TH!F1497),"x","")</f>
        <v/>
      </c>
      <c r="Y1497" s="52" t="str">
        <f>IF(AND(B1497&lt;=NKC!$N$8,B1497&gt;=NKC!$M$8),"x","")</f>
        <v/>
      </c>
    </row>
    <row r="1498" spans="1:25" s="767" customFormat="1" ht="15.75" customHeight="1">
      <c r="A1498" s="201" t="str">
        <f>IF(B1498&lt;&gt;"",IF(AND(B1498&gt;=_TM1,B1498&lt;=_TM2,OR(TH!L1498="1111",TH!M1498="1111")),TH!D1498,""),"")</f>
        <v/>
      </c>
      <c r="B1498" s="692">
        <f t="shared" si="72"/>
        <v>5</v>
      </c>
      <c r="C1498" s="791">
        <f t="shared" si="70"/>
        <v>41409</v>
      </c>
      <c r="D1498" s="791" t="s">
        <v>1261</v>
      </c>
      <c r="E1498" s="48">
        <v>41409</v>
      </c>
      <c r="F1498" s="49" t="s">
        <v>1096</v>
      </c>
      <c r="G1498" s="49" t="s">
        <v>789</v>
      </c>
      <c r="H1498" s="795" t="s">
        <v>1257</v>
      </c>
      <c r="I1498" s="248">
        <v>104</v>
      </c>
      <c r="J1498" s="248">
        <v>13660.567307692309</v>
      </c>
      <c r="K1498" s="693">
        <f t="shared" si="71"/>
        <v>1420699</v>
      </c>
      <c r="L1498" s="52" t="s">
        <v>164</v>
      </c>
      <c r="M1498" s="849" t="s">
        <v>162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IF(OR(TH!L1498=TH!$U$7,M1498=TH!$U$7),"x","")</f>
        <v/>
      </c>
      <c r="V1498" s="52" t="str">
        <f>IF(AND(B1498&gt;='IN-NX'!$P$3,B1498&lt;='IN-NX'!$Q$3,'IN-NX'!$D$7=D1498,OR(LEFT(L1498,2)="15",AND(LEFT(M1498,2)&lt;&gt;"15",LEFT(M1498,2)&lt;&gt;"33"))),"x","")</f>
        <v/>
      </c>
      <c r="W1498" s="52" t="str">
        <f>IF(AND(OR(LEFT(TH!L1498,2)="15",LEFT(TH!M1498,2)="15"),'152-CT'!$J$8=TH!F1498),"x","")</f>
        <v/>
      </c>
      <c r="X1498" s="52" t="str">
        <f>IF(AND(OR(LEFT(TH!L1498,2)="15",LEFT(TH!M1498,2)="15"),TK!$E$7=TH!F1498),"x","")</f>
        <v/>
      </c>
      <c r="Y1498" s="52" t="str">
        <f>IF(AND(B1498&lt;=NKC!$N$8,B1498&gt;=NKC!$M$8),"x","")</f>
        <v/>
      </c>
    </row>
    <row r="1499" spans="1:25" s="767" customFormat="1" ht="15.75" customHeight="1">
      <c r="A1499" s="201" t="str">
        <f>IF(B1499&lt;&gt;"",IF(AND(B1499&gt;=_TM1,B1499&lt;=_TM2,OR(TH!L1499="1111",TH!M1499="1111")),TH!D1499,""),"")</f>
        <v/>
      </c>
      <c r="B1499" s="692">
        <f t="shared" si="72"/>
        <v>5</v>
      </c>
      <c r="C1499" s="791">
        <f t="shared" si="70"/>
        <v>41409</v>
      </c>
      <c r="D1499" s="791" t="s">
        <v>1261</v>
      </c>
      <c r="E1499" s="48">
        <v>41409</v>
      </c>
      <c r="F1499" s="49" t="s">
        <v>783</v>
      </c>
      <c r="G1499" s="49" t="s">
        <v>789</v>
      </c>
      <c r="H1499" s="795" t="s">
        <v>1257</v>
      </c>
      <c r="I1499" s="248">
        <v>211</v>
      </c>
      <c r="J1499" s="248">
        <v>7922.9099526066348</v>
      </c>
      <c r="K1499" s="693">
        <f t="shared" si="71"/>
        <v>1671734</v>
      </c>
      <c r="L1499" s="52" t="s">
        <v>164</v>
      </c>
      <c r="M1499" s="849" t="s">
        <v>162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IF(OR(TH!L1499=TH!$U$7,M1499=TH!$U$7),"x","")</f>
        <v/>
      </c>
      <c r="V1499" s="52" t="str">
        <f>IF(AND(B1499&gt;='IN-NX'!$P$3,B1499&lt;='IN-NX'!$Q$3,'IN-NX'!$D$7=D1499,OR(LEFT(L1499,2)="15",AND(LEFT(M1499,2)&lt;&gt;"15",LEFT(M1499,2)&lt;&gt;"33"))),"x","")</f>
        <v/>
      </c>
      <c r="W1499" s="52" t="str">
        <f>IF(AND(OR(LEFT(TH!L1499,2)="15",LEFT(TH!M1499,2)="15"),'152-CT'!$J$8=TH!F1499),"x","")</f>
        <v/>
      </c>
      <c r="X1499" s="52" t="str">
        <f>IF(AND(OR(LEFT(TH!L1499,2)="15",LEFT(TH!M1499,2)="15"),TK!$E$7=TH!F1499),"x","")</f>
        <v/>
      </c>
      <c r="Y1499" s="52" t="str">
        <f>IF(AND(B1499&lt;=NKC!$N$8,B1499&gt;=NKC!$M$8),"x","")</f>
        <v/>
      </c>
    </row>
    <row r="1500" spans="1:25" s="767" customFormat="1" ht="15.75" customHeight="1">
      <c r="A1500" s="201" t="str">
        <f>IF(B1500&lt;&gt;"",IF(AND(B1500&gt;=_TM1,B1500&lt;=_TM2,OR(TH!L1500="1111",TH!M1500="1111")),TH!D1500,""),"")</f>
        <v/>
      </c>
      <c r="B1500" s="692">
        <f t="shared" si="72"/>
        <v>5</v>
      </c>
      <c r="C1500" s="791">
        <f t="shared" si="70"/>
        <v>41409</v>
      </c>
      <c r="D1500" s="791" t="s">
        <v>1261</v>
      </c>
      <c r="E1500" s="48">
        <v>41409</v>
      </c>
      <c r="F1500" s="49" t="s">
        <v>451</v>
      </c>
      <c r="G1500" s="49" t="s">
        <v>790</v>
      </c>
      <c r="H1500" s="795" t="s">
        <v>1257</v>
      </c>
      <c r="I1500" s="248">
        <v>2000</v>
      </c>
      <c r="J1500" s="248">
        <v>8799.9359999999997</v>
      </c>
      <c r="K1500" s="693">
        <f t="shared" si="71"/>
        <v>17599872</v>
      </c>
      <c r="L1500" s="52" t="s">
        <v>164</v>
      </c>
      <c r="M1500" s="849" t="s">
        <v>162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IF(OR(TH!L1500=TH!$U$7,M1500=TH!$U$7),"x","")</f>
        <v/>
      </c>
      <c r="V1500" s="52" t="str">
        <f>IF(AND(B1500&gt;='IN-NX'!$P$3,B1500&lt;='IN-NX'!$Q$3,'IN-NX'!$D$7=D1500,OR(LEFT(L1500,2)="15",AND(LEFT(M1500,2)&lt;&gt;"15",LEFT(M1500,2)&lt;&gt;"33"))),"x","")</f>
        <v/>
      </c>
      <c r="W1500" s="52" t="str">
        <f>IF(AND(OR(LEFT(TH!L1500,2)="15",LEFT(TH!M1500,2)="15"),'152-CT'!$J$8=TH!F1500),"x","")</f>
        <v/>
      </c>
      <c r="X1500" s="52" t="str">
        <f>IF(AND(OR(LEFT(TH!L1500,2)="15",LEFT(TH!M1500,2)="15"),TK!$E$7=TH!F1500),"x","")</f>
        <v/>
      </c>
      <c r="Y1500" s="52" t="str">
        <f>IF(AND(B1500&lt;=NKC!$N$8,B1500&gt;=NKC!$M$8),"x","")</f>
        <v/>
      </c>
    </row>
    <row r="1501" spans="1:25" s="767" customFormat="1" ht="15.75" customHeight="1">
      <c r="A1501" s="201" t="str">
        <f>IF(B1501&lt;&gt;"",IF(AND(B1501&gt;=_TM1,B1501&lt;=_TM2,OR(TH!L1501="1111",TH!M1501="1111")),TH!D1501,""),"")</f>
        <v/>
      </c>
      <c r="B1501" s="692">
        <f t="shared" si="72"/>
        <v>5</v>
      </c>
      <c r="C1501" s="791">
        <f t="shared" si="70"/>
        <v>41410</v>
      </c>
      <c r="D1501" s="791" t="s">
        <v>1261</v>
      </c>
      <c r="E1501" s="48">
        <v>41410</v>
      </c>
      <c r="F1501" s="49" t="s">
        <v>451</v>
      </c>
      <c r="G1501" s="49" t="s">
        <v>792</v>
      </c>
      <c r="H1501" s="795" t="s">
        <v>1257</v>
      </c>
      <c r="I1501" s="248">
        <v>2500</v>
      </c>
      <c r="J1501" s="248">
        <v>6677.4856</v>
      </c>
      <c r="K1501" s="693">
        <f t="shared" si="71"/>
        <v>16693714</v>
      </c>
      <c r="L1501" s="52" t="s">
        <v>164</v>
      </c>
      <c r="M1501" s="849" t="s">
        <v>162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IF(OR(TH!L1501=TH!$U$7,M1501=TH!$U$7),"x","")</f>
        <v/>
      </c>
      <c r="V1501" s="52" t="str">
        <f>IF(AND(B1501&gt;='IN-NX'!$P$3,B1501&lt;='IN-NX'!$Q$3,'IN-NX'!$D$7=D1501,OR(LEFT(L1501,2)="15",AND(LEFT(M1501,2)&lt;&gt;"15",LEFT(M1501,2)&lt;&gt;"33"))),"x","")</f>
        <v/>
      </c>
      <c r="W1501" s="52" t="str">
        <f>IF(AND(OR(LEFT(TH!L1501,2)="15",LEFT(TH!M1501,2)="15"),'152-CT'!$J$8=TH!F1501),"x","")</f>
        <v/>
      </c>
      <c r="X1501" s="52" t="str">
        <f>IF(AND(OR(LEFT(TH!L1501,2)="15",LEFT(TH!M1501,2)="15"),TK!$E$7=TH!F1501),"x","")</f>
        <v/>
      </c>
      <c r="Y1501" s="52" t="str">
        <f>IF(AND(B1501&lt;=NKC!$N$8,B1501&gt;=NKC!$M$8),"x","")</f>
        <v/>
      </c>
    </row>
    <row r="1502" spans="1:25" s="767" customFormat="1" ht="15.75" customHeight="1">
      <c r="A1502" s="201" t="str">
        <f>IF(B1502&lt;&gt;"",IF(AND(B1502&gt;=_TM1,B1502&lt;=_TM2,OR(TH!L1502="1111",TH!M1502="1111")),TH!D1502,""),"")</f>
        <v/>
      </c>
      <c r="B1502" s="692">
        <f t="shared" si="72"/>
        <v>5</v>
      </c>
      <c r="C1502" s="791">
        <f t="shared" si="70"/>
        <v>41410</v>
      </c>
      <c r="D1502" s="791" t="s">
        <v>1261</v>
      </c>
      <c r="E1502" s="48">
        <v>41410</v>
      </c>
      <c r="F1502" s="49" t="s">
        <v>698</v>
      </c>
      <c r="G1502" s="49" t="s">
        <v>793</v>
      </c>
      <c r="H1502" s="795" t="s">
        <v>1257</v>
      </c>
      <c r="I1502" s="248">
        <v>1035</v>
      </c>
      <c r="J1502" s="248">
        <v>7923.5497584541063</v>
      </c>
      <c r="K1502" s="693">
        <f t="shared" si="71"/>
        <v>8200874</v>
      </c>
      <c r="L1502" s="52" t="s">
        <v>164</v>
      </c>
      <c r="M1502" s="849" t="s">
        <v>162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IF(OR(TH!L1502=TH!$U$7,M1502=TH!$U$7),"x","")</f>
        <v/>
      </c>
      <c r="V1502" s="52" t="str">
        <f>IF(AND(B1502&gt;='IN-NX'!$P$3,B1502&lt;='IN-NX'!$Q$3,'IN-NX'!$D$7=D1502,OR(LEFT(L1502,2)="15",AND(LEFT(M1502,2)&lt;&gt;"15",LEFT(M1502,2)&lt;&gt;"33"))),"x","")</f>
        <v/>
      </c>
      <c r="W1502" s="52" t="str">
        <f>IF(AND(OR(LEFT(TH!L1502,2)="15",LEFT(TH!M1502,2)="15"),'152-CT'!$J$8=TH!F1502),"x","")</f>
        <v/>
      </c>
      <c r="X1502" s="52" t="str">
        <f>IF(AND(OR(LEFT(TH!L1502,2)="15",LEFT(TH!M1502,2)="15"),TK!$E$7=TH!F1502),"x","")</f>
        <v/>
      </c>
      <c r="Y1502" s="52" t="str">
        <f>IF(AND(B1502&lt;=NKC!$N$8,B1502&gt;=NKC!$M$8),"x","")</f>
        <v/>
      </c>
    </row>
    <row r="1503" spans="1:25" s="767" customFormat="1" ht="15.75" customHeight="1">
      <c r="A1503" s="201" t="str">
        <f>IF(B1503&lt;&gt;"",IF(AND(B1503&gt;=_TM1,B1503&lt;=_TM2,OR(TH!L1503="1111",TH!M1503="1111")),TH!D1503,""),"")</f>
        <v/>
      </c>
      <c r="B1503" s="692">
        <f t="shared" si="72"/>
        <v>5</v>
      </c>
      <c r="C1503" s="791">
        <f t="shared" si="70"/>
        <v>41410</v>
      </c>
      <c r="D1503" s="791" t="s">
        <v>1261</v>
      </c>
      <c r="E1503" s="48">
        <v>41410</v>
      </c>
      <c r="F1503" s="49" t="s">
        <v>794</v>
      </c>
      <c r="G1503" s="49" t="s">
        <v>795</v>
      </c>
      <c r="H1503" s="795" t="s">
        <v>1257</v>
      </c>
      <c r="I1503" s="248">
        <v>553</v>
      </c>
      <c r="J1503" s="248">
        <v>8817.0433996383363</v>
      </c>
      <c r="K1503" s="693">
        <f t="shared" si="71"/>
        <v>4875825</v>
      </c>
      <c r="L1503" s="52" t="s">
        <v>164</v>
      </c>
      <c r="M1503" s="849" t="s">
        <v>162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IF(OR(TH!L1503=TH!$U$7,M1503=TH!$U$7),"x","")</f>
        <v/>
      </c>
      <c r="V1503" s="52" t="str">
        <f>IF(AND(B1503&gt;='IN-NX'!$P$3,B1503&lt;='IN-NX'!$Q$3,'IN-NX'!$D$7=D1503,OR(LEFT(L1503,2)="15",AND(LEFT(M1503,2)&lt;&gt;"15",LEFT(M1503,2)&lt;&gt;"33"))),"x","")</f>
        <v/>
      </c>
      <c r="W1503" s="52" t="str">
        <f>IF(AND(OR(LEFT(TH!L1503,2)="15",LEFT(TH!M1503,2)="15"),'152-CT'!$J$8=TH!F1503),"x","")</f>
        <v/>
      </c>
      <c r="X1503" s="52" t="str">
        <f>IF(AND(OR(LEFT(TH!L1503,2)="15",LEFT(TH!M1503,2)="15"),TK!$E$7=TH!F1503),"x","")</f>
        <v/>
      </c>
      <c r="Y1503" s="52" t="str">
        <f>IF(AND(B1503&lt;=NKC!$N$8,B1503&gt;=NKC!$M$8),"x","")</f>
        <v/>
      </c>
    </row>
    <row r="1504" spans="1:25" s="767" customFormat="1" ht="15.75" customHeight="1">
      <c r="A1504" s="201" t="str">
        <f>IF(B1504&lt;&gt;"",IF(AND(B1504&gt;=_TM1,B1504&lt;=_TM2,OR(TH!L1504="1111",TH!M1504="1111")),TH!D1504,""),"")</f>
        <v/>
      </c>
      <c r="B1504" s="692">
        <f t="shared" si="72"/>
        <v>5</v>
      </c>
      <c r="C1504" s="791">
        <f t="shared" si="70"/>
        <v>41411</v>
      </c>
      <c r="D1504" s="791" t="s">
        <v>1261</v>
      </c>
      <c r="E1504" s="48">
        <v>41411</v>
      </c>
      <c r="F1504" s="49" t="s">
        <v>781</v>
      </c>
      <c r="G1504" s="49" t="s">
        <v>797</v>
      </c>
      <c r="H1504" s="795" t="s">
        <v>1257</v>
      </c>
      <c r="I1504" s="248">
        <v>297</v>
      </c>
      <c r="J1504" s="248">
        <v>8829.3771043771048</v>
      </c>
      <c r="K1504" s="693">
        <f t="shared" si="71"/>
        <v>2622325</v>
      </c>
      <c r="L1504" s="52" t="s">
        <v>164</v>
      </c>
      <c r="M1504" s="849" t="s">
        <v>162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IF(OR(TH!L1504=TH!$U$7,M1504=TH!$U$7),"x","")</f>
        <v/>
      </c>
      <c r="V1504" s="52" t="str">
        <f>IF(AND(B1504&gt;='IN-NX'!$P$3,B1504&lt;='IN-NX'!$Q$3,'IN-NX'!$D$7=D1504,OR(LEFT(L1504,2)="15",AND(LEFT(M1504,2)&lt;&gt;"15",LEFT(M1504,2)&lt;&gt;"33"))),"x","")</f>
        <v/>
      </c>
      <c r="W1504" s="52" t="str">
        <f>IF(AND(OR(LEFT(TH!L1504,2)="15",LEFT(TH!M1504,2)="15"),'152-CT'!$J$8=TH!F1504),"x","")</f>
        <v/>
      </c>
      <c r="X1504" s="52" t="str">
        <f>IF(AND(OR(LEFT(TH!L1504,2)="15",LEFT(TH!M1504,2)="15"),TK!$E$7=TH!F1504),"x","")</f>
        <v/>
      </c>
      <c r="Y1504" s="52" t="str">
        <f>IF(AND(B1504&lt;=NKC!$N$8,B1504&gt;=NKC!$M$8),"x","")</f>
        <v/>
      </c>
    </row>
    <row r="1505" spans="1:25" s="767" customFormat="1" ht="15.75" customHeight="1">
      <c r="A1505" s="201" t="str">
        <f>IF(B1505&lt;&gt;"",IF(AND(B1505&gt;=_TM1,B1505&lt;=_TM2,OR(TH!L1505="1111",TH!M1505="1111")),TH!D1505,""),"")</f>
        <v/>
      </c>
      <c r="B1505" s="692">
        <f t="shared" si="72"/>
        <v>5</v>
      </c>
      <c r="C1505" s="791">
        <f t="shared" si="70"/>
        <v>41415</v>
      </c>
      <c r="D1505" s="791" t="s">
        <v>1261</v>
      </c>
      <c r="E1505" s="48">
        <v>41415</v>
      </c>
      <c r="F1505" s="49" t="s">
        <v>798</v>
      </c>
      <c r="G1505" s="49" t="s">
        <v>799</v>
      </c>
      <c r="H1505" s="795" t="s">
        <v>1257</v>
      </c>
      <c r="I1505" s="248">
        <v>303</v>
      </c>
      <c r="J1505" s="248">
        <v>4812.2013201320133</v>
      </c>
      <c r="K1505" s="693">
        <f t="shared" si="71"/>
        <v>1458097</v>
      </c>
      <c r="L1505" s="52" t="s">
        <v>164</v>
      </c>
      <c r="M1505" s="849" t="s">
        <v>162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IF(OR(TH!L1505=TH!$U$7,M1505=TH!$U$7),"x","")</f>
        <v/>
      </c>
      <c r="V1505" s="52" t="str">
        <f>IF(AND(B1505&gt;='IN-NX'!$P$3,B1505&lt;='IN-NX'!$Q$3,'IN-NX'!$D$7=D1505,OR(LEFT(L1505,2)="15",AND(LEFT(M1505,2)&lt;&gt;"15",LEFT(M1505,2)&lt;&gt;"33"))),"x","")</f>
        <v/>
      </c>
      <c r="W1505" s="52" t="str">
        <f>IF(AND(OR(LEFT(TH!L1505,2)="15",LEFT(TH!M1505,2)="15"),'152-CT'!$J$8=TH!F1505),"x","")</f>
        <v/>
      </c>
      <c r="X1505" s="52" t="str">
        <f>IF(AND(OR(LEFT(TH!L1505,2)="15",LEFT(TH!M1505,2)="15"),TK!$E$7=TH!F1505),"x","")</f>
        <v/>
      </c>
      <c r="Y1505" s="52" t="str">
        <f>IF(AND(B1505&lt;=NKC!$N$8,B1505&gt;=NKC!$M$8),"x","")</f>
        <v/>
      </c>
    </row>
    <row r="1506" spans="1:25" s="767" customFormat="1" ht="15.75" customHeight="1">
      <c r="A1506" s="201" t="str">
        <f>IF(B1506&lt;&gt;"",IF(AND(B1506&gt;=_TM1,B1506&lt;=_TM2,OR(TH!L1506="1111",TH!M1506="1111")),TH!D1506,""),"")</f>
        <v/>
      </c>
      <c r="B1506" s="692">
        <f t="shared" si="72"/>
        <v>5</v>
      </c>
      <c r="C1506" s="791">
        <f t="shared" si="70"/>
        <v>41415</v>
      </c>
      <c r="D1506" s="791" t="s">
        <v>1261</v>
      </c>
      <c r="E1506" s="48">
        <v>41415</v>
      </c>
      <c r="F1506" s="49" t="s">
        <v>800</v>
      </c>
      <c r="G1506" s="49" t="s">
        <v>799</v>
      </c>
      <c r="H1506" s="795" t="s">
        <v>1257</v>
      </c>
      <c r="I1506" s="248">
        <v>209</v>
      </c>
      <c r="J1506" s="248">
        <v>1625.5502392344497</v>
      </c>
      <c r="K1506" s="693">
        <f t="shared" si="71"/>
        <v>339740</v>
      </c>
      <c r="L1506" s="52" t="s">
        <v>164</v>
      </c>
      <c r="M1506" s="849" t="s">
        <v>162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IF(OR(TH!L1506=TH!$U$7,M1506=TH!$U$7),"x","")</f>
        <v/>
      </c>
      <c r="V1506" s="52" t="str">
        <f>IF(AND(B1506&gt;='IN-NX'!$P$3,B1506&lt;='IN-NX'!$Q$3,'IN-NX'!$D$7=D1506,OR(LEFT(L1506,2)="15",AND(LEFT(M1506,2)&lt;&gt;"15",LEFT(M1506,2)&lt;&gt;"33"))),"x","")</f>
        <v/>
      </c>
      <c r="W1506" s="52" t="str">
        <f>IF(AND(OR(LEFT(TH!L1506,2)="15",LEFT(TH!M1506,2)="15"),'152-CT'!$J$8=TH!F1506),"x","")</f>
        <v/>
      </c>
      <c r="X1506" s="52" t="str">
        <f>IF(AND(OR(LEFT(TH!L1506,2)="15",LEFT(TH!M1506,2)="15"),TK!$E$7=TH!F1506),"x","")</f>
        <v/>
      </c>
      <c r="Y1506" s="52" t="str">
        <f>IF(AND(B1506&lt;=NKC!$N$8,B1506&gt;=NKC!$M$8),"x","")</f>
        <v/>
      </c>
    </row>
    <row r="1507" spans="1:25" s="767" customFormat="1" ht="15.75" customHeight="1">
      <c r="A1507" s="201" t="str">
        <f>IF(B1507&lt;&gt;"",IF(AND(B1507&gt;=_TM1,B1507&lt;=_TM2,OR(TH!L1507="1111",TH!M1507="1111")),TH!D1507,""),"")</f>
        <v/>
      </c>
      <c r="B1507" s="692">
        <f t="shared" si="72"/>
        <v>5</v>
      </c>
      <c r="C1507" s="791">
        <f t="shared" si="70"/>
        <v>41415</v>
      </c>
      <c r="D1507" s="791" t="s">
        <v>1261</v>
      </c>
      <c r="E1507" s="48">
        <v>41415</v>
      </c>
      <c r="F1507" s="49" t="s">
        <v>801</v>
      </c>
      <c r="G1507" s="49" t="s">
        <v>799</v>
      </c>
      <c r="H1507" s="795" t="s">
        <v>1257</v>
      </c>
      <c r="I1507" s="248">
        <v>305</v>
      </c>
      <c r="J1507" s="248">
        <v>2140.5049180327869</v>
      </c>
      <c r="K1507" s="693">
        <f t="shared" si="71"/>
        <v>652854</v>
      </c>
      <c r="L1507" s="52" t="s">
        <v>164</v>
      </c>
      <c r="M1507" s="849" t="s">
        <v>162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IF(OR(TH!L1507=TH!$U$7,M1507=TH!$U$7),"x","")</f>
        <v/>
      </c>
      <c r="V1507" s="52" t="str">
        <f>IF(AND(B1507&gt;='IN-NX'!$P$3,B1507&lt;='IN-NX'!$Q$3,'IN-NX'!$D$7=D1507,OR(LEFT(L1507,2)="15",AND(LEFT(M1507,2)&lt;&gt;"15",LEFT(M1507,2)&lt;&gt;"33"))),"x","")</f>
        <v/>
      </c>
      <c r="W1507" s="52" t="str">
        <f>IF(AND(OR(LEFT(TH!L1507,2)="15",LEFT(TH!M1507,2)="15"),'152-CT'!$J$8=TH!F1507),"x","")</f>
        <v/>
      </c>
      <c r="X1507" s="52" t="str">
        <f>IF(AND(OR(LEFT(TH!L1507,2)="15",LEFT(TH!M1507,2)="15"),TK!$E$7=TH!F1507),"x","")</f>
        <v/>
      </c>
      <c r="Y1507" s="52" t="str">
        <f>IF(AND(B1507&lt;=NKC!$N$8,B1507&gt;=NKC!$M$8),"x","")</f>
        <v/>
      </c>
    </row>
    <row r="1508" spans="1:25" s="767" customFormat="1" ht="15.75" customHeight="1">
      <c r="A1508" s="201" t="str">
        <f>IF(B1508&lt;&gt;"",IF(AND(B1508&gt;=_TM1,B1508&lt;=_TM2,OR(TH!L1508="1111",TH!M1508="1111")),TH!D1508,""),"")</f>
        <v/>
      </c>
      <c r="B1508" s="692">
        <f t="shared" si="72"/>
        <v>5</v>
      </c>
      <c r="C1508" s="791">
        <f t="shared" si="70"/>
        <v>41415</v>
      </c>
      <c r="D1508" s="791" t="s">
        <v>1261</v>
      </c>
      <c r="E1508" s="48">
        <v>41415</v>
      </c>
      <c r="F1508" s="49" t="s">
        <v>802</v>
      </c>
      <c r="G1508" s="49" t="s">
        <v>799</v>
      </c>
      <c r="H1508" s="795" t="s">
        <v>1257</v>
      </c>
      <c r="I1508" s="248">
        <v>303</v>
      </c>
      <c r="J1508" s="248">
        <v>4202.1155115511547</v>
      </c>
      <c r="K1508" s="693">
        <f t="shared" si="71"/>
        <v>1273241</v>
      </c>
      <c r="L1508" s="52" t="s">
        <v>164</v>
      </c>
      <c r="M1508" s="849" t="s">
        <v>162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IF(OR(TH!L1508=TH!$U$7,M1508=TH!$U$7),"x","")</f>
        <v/>
      </c>
      <c r="V1508" s="52" t="str">
        <f>IF(AND(B1508&gt;='IN-NX'!$P$3,B1508&lt;='IN-NX'!$Q$3,'IN-NX'!$D$7=D1508,OR(LEFT(L1508,2)="15",AND(LEFT(M1508,2)&lt;&gt;"15",LEFT(M1508,2)&lt;&gt;"33"))),"x","")</f>
        <v/>
      </c>
      <c r="W1508" s="52" t="str">
        <f>IF(AND(OR(LEFT(TH!L1508,2)="15",LEFT(TH!M1508,2)="15"),'152-CT'!$J$8=TH!F1508),"x","")</f>
        <v/>
      </c>
      <c r="X1508" s="52" t="str">
        <f>IF(AND(OR(LEFT(TH!L1508,2)="15",LEFT(TH!M1508,2)="15"),TK!$E$7=TH!F1508),"x","")</f>
        <v/>
      </c>
      <c r="Y1508" s="52" t="str">
        <f>IF(AND(B1508&lt;=NKC!$N$8,B1508&gt;=NKC!$M$8),"x","")</f>
        <v/>
      </c>
    </row>
    <row r="1509" spans="1:25" s="767" customFormat="1" ht="15.75" customHeight="1">
      <c r="A1509" s="201" t="str">
        <f>IF(B1509&lt;&gt;"",IF(AND(B1509&gt;=_TM1,B1509&lt;=_TM2,OR(TH!L1509="1111",TH!M1509="1111")),TH!D1509,""),"")</f>
        <v/>
      </c>
      <c r="B1509" s="692">
        <f t="shared" si="72"/>
        <v>5</v>
      </c>
      <c r="C1509" s="791">
        <f t="shared" si="70"/>
        <v>41415</v>
      </c>
      <c r="D1509" s="791" t="s">
        <v>1261</v>
      </c>
      <c r="E1509" s="48">
        <v>41415</v>
      </c>
      <c r="F1509" s="49" t="s">
        <v>1123</v>
      </c>
      <c r="G1509" s="49" t="s">
        <v>799</v>
      </c>
      <c r="H1509" s="795" t="s">
        <v>1257</v>
      </c>
      <c r="I1509" s="248">
        <v>270</v>
      </c>
      <c r="J1509" s="248">
        <v>6807.2740740740737</v>
      </c>
      <c r="K1509" s="693">
        <f t="shared" si="71"/>
        <v>1837964</v>
      </c>
      <c r="L1509" s="52" t="s">
        <v>164</v>
      </c>
      <c r="M1509" s="849" t="s">
        <v>162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IF(OR(TH!L1509=TH!$U$7,M1509=TH!$U$7),"x","")</f>
        <v/>
      </c>
      <c r="V1509" s="52" t="str">
        <f>IF(AND(B1509&gt;='IN-NX'!$P$3,B1509&lt;='IN-NX'!$Q$3,'IN-NX'!$D$7=D1509,OR(LEFT(L1509,2)="15",AND(LEFT(M1509,2)&lt;&gt;"15",LEFT(M1509,2)&lt;&gt;"33"))),"x","")</f>
        <v/>
      </c>
      <c r="W1509" s="52" t="str">
        <f>IF(AND(OR(LEFT(TH!L1509,2)="15",LEFT(TH!M1509,2)="15"),'152-CT'!$J$8=TH!F1509),"x","")</f>
        <v/>
      </c>
      <c r="X1509" s="52" t="str">
        <f>IF(AND(OR(LEFT(TH!L1509,2)="15",LEFT(TH!M1509,2)="15"),TK!$E$7=TH!F1509),"x","")</f>
        <v/>
      </c>
      <c r="Y1509" s="52" t="str">
        <f>IF(AND(B1509&lt;=NKC!$N$8,B1509&gt;=NKC!$M$8),"x","")</f>
        <v/>
      </c>
    </row>
    <row r="1510" spans="1:25" s="767" customFormat="1" ht="15.75" customHeight="1">
      <c r="A1510" s="201" t="str">
        <f>IF(B1510&lt;&gt;"",IF(AND(B1510&gt;=_TM1,B1510&lt;=_TM2,OR(TH!L1510="1111",TH!M1510="1111")),TH!D1510,""),"")</f>
        <v/>
      </c>
      <c r="B1510" s="692">
        <f t="shared" si="72"/>
        <v>5</v>
      </c>
      <c r="C1510" s="791">
        <f t="shared" si="70"/>
        <v>41418</v>
      </c>
      <c r="D1510" s="791" t="s">
        <v>1261</v>
      </c>
      <c r="E1510" s="48">
        <v>41418</v>
      </c>
      <c r="F1510" s="49" t="s">
        <v>1109</v>
      </c>
      <c r="G1510" s="49" t="s">
        <v>803</v>
      </c>
      <c r="H1510" s="795" t="s">
        <v>1257</v>
      </c>
      <c r="I1510" s="248">
        <v>1034</v>
      </c>
      <c r="J1510" s="248">
        <v>5941.5996131528045</v>
      </c>
      <c r="K1510" s="693">
        <f t="shared" si="71"/>
        <v>6143614</v>
      </c>
      <c r="L1510" s="52" t="s">
        <v>164</v>
      </c>
      <c r="M1510" s="849" t="s">
        <v>162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IF(OR(TH!L1510=TH!$U$7,M1510=TH!$U$7),"x","")</f>
        <v/>
      </c>
      <c r="V1510" s="52" t="str">
        <f>IF(AND(B1510&gt;='IN-NX'!$P$3,B1510&lt;='IN-NX'!$Q$3,'IN-NX'!$D$7=D1510,OR(LEFT(L1510,2)="15",AND(LEFT(M1510,2)&lt;&gt;"15",LEFT(M1510,2)&lt;&gt;"33"))),"x","")</f>
        <v/>
      </c>
      <c r="W1510" s="52" t="str">
        <f>IF(AND(OR(LEFT(TH!L1510,2)="15",LEFT(TH!M1510,2)="15"),'152-CT'!$J$8=TH!F1510),"x","")</f>
        <v/>
      </c>
      <c r="X1510" s="52" t="str">
        <f>IF(AND(OR(LEFT(TH!L1510,2)="15",LEFT(TH!M1510,2)="15"),TK!$E$7=TH!F1510),"x","")</f>
        <v/>
      </c>
      <c r="Y1510" s="52" t="str">
        <f>IF(AND(B1510&lt;=NKC!$N$8,B1510&gt;=NKC!$M$8),"x","")</f>
        <v/>
      </c>
    </row>
    <row r="1511" spans="1:25" s="767" customFormat="1" ht="15.75" customHeight="1">
      <c r="A1511" s="201" t="str">
        <f>IF(B1511&lt;&gt;"",IF(AND(B1511&gt;=_TM1,B1511&lt;=_TM2,OR(TH!L1511="1111",TH!M1511="1111")),TH!D1511,""),"")</f>
        <v/>
      </c>
      <c r="B1511" s="692">
        <f t="shared" si="72"/>
        <v>6</v>
      </c>
      <c r="C1511" s="791">
        <f t="shared" si="70"/>
        <v>41429</v>
      </c>
      <c r="D1511" s="791" t="s">
        <v>1261</v>
      </c>
      <c r="E1511" s="48">
        <v>41429</v>
      </c>
      <c r="F1511" s="49" t="s">
        <v>1107</v>
      </c>
      <c r="G1511" s="49" t="s">
        <v>804</v>
      </c>
      <c r="H1511" s="795" t="s">
        <v>1257</v>
      </c>
      <c r="I1511" s="248">
        <v>296</v>
      </c>
      <c r="J1511" s="248">
        <v>14861.236486486487</v>
      </c>
      <c r="K1511" s="693">
        <f t="shared" si="71"/>
        <v>4398926</v>
      </c>
      <c r="L1511" s="52" t="s">
        <v>164</v>
      </c>
      <c r="M1511" s="849" t="s">
        <v>162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IF(OR(TH!L1511=TH!$U$7,M1511=TH!$U$7),"x","")</f>
        <v/>
      </c>
      <c r="V1511" s="52" t="str">
        <f>IF(AND(B1511&gt;='IN-NX'!$P$3,B1511&lt;='IN-NX'!$Q$3,'IN-NX'!$D$7=D1511,OR(LEFT(L1511,2)="15",AND(LEFT(M1511,2)&lt;&gt;"15",LEFT(M1511,2)&lt;&gt;"33"))),"x","")</f>
        <v/>
      </c>
      <c r="W1511" s="52" t="str">
        <f>IF(AND(OR(LEFT(TH!L1511,2)="15",LEFT(TH!M1511,2)="15"),'152-CT'!$J$8=TH!F1511),"x","")</f>
        <v/>
      </c>
      <c r="X1511" s="52" t="str">
        <f>IF(AND(OR(LEFT(TH!L1511,2)="15",LEFT(TH!M1511,2)="15"),TK!$E$7=TH!F1511),"x","")</f>
        <v/>
      </c>
      <c r="Y1511" s="52" t="str">
        <f>IF(AND(B1511&lt;=NKC!$N$8,B1511&gt;=NKC!$M$8),"x","")</f>
        <v/>
      </c>
    </row>
    <row r="1512" spans="1:25" s="767" customFormat="1" ht="15.75" customHeight="1">
      <c r="A1512" s="201" t="str">
        <f>IF(B1512&lt;&gt;"",IF(AND(B1512&gt;=_TM1,B1512&lt;=_TM2,OR(TH!L1512="1111",TH!M1512="1111")),TH!D1512,""),"")</f>
        <v/>
      </c>
      <c r="B1512" s="692">
        <f t="shared" si="72"/>
        <v>6</v>
      </c>
      <c r="C1512" s="791">
        <f t="shared" si="70"/>
        <v>41429</v>
      </c>
      <c r="D1512" s="791" t="s">
        <v>1261</v>
      </c>
      <c r="E1512" s="791">
        <v>41429</v>
      </c>
      <c r="F1512" s="848" t="s">
        <v>805</v>
      </c>
      <c r="G1512" s="792" t="s">
        <v>806</v>
      </c>
      <c r="H1512" s="795" t="s">
        <v>1257</v>
      </c>
      <c r="I1512" s="248">
        <v>847</v>
      </c>
      <c r="J1512" s="248">
        <v>10880.525383707201</v>
      </c>
      <c r="K1512" s="693">
        <f t="shared" si="71"/>
        <v>9215805</v>
      </c>
      <c r="L1512" s="52" t="s">
        <v>164</v>
      </c>
      <c r="M1512" s="849" t="s">
        <v>162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IF(OR(TH!L1512=TH!$U$7,M1512=TH!$U$7),"x","")</f>
        <v/>
      </c>
      <c r="V1512" s="52" t="str">
        <f>IF(AND(B1512&gt;='IN-NX'!$P$3,B1512&lt;='IN-NX'!$Q$3,'IN-NX'!$D$7=D1512,OR(LEFT(L1512,2)="15",AND(LEFT(M1512,2)&lt;&gt;"15",LEFT(M1512,2)&lt;&gt;"33"))),"x","")</f>
        <v/>
      </c>
      <c r="W1512" s="52" t="str">
        <f>IF(AND(OR(LEFT(TH!L1512,2)="15",LEFT(TH!M1512,2)="15"),'152-CT'!$J$8=TH!F1512),"x","")</f>
        <v/>
      </c>
      <c r="X1512" s="52" t="str">
        <f>IF(AND(OR(LEFT(TH!L1512,2)="15",LEFT(TH!M1512,2)="15"),TK!$E$7=TH!F1512),"x","")</f>
        <v/>
      </c>
      <c r="Y1512" s="52" t="str">
        <f>IF(AND(B1512&lt;=NKC!$N$8,B1512&gt;=NKC!$M$8),"x","")</f>
        <v/>
      </c>
    </row>
    <row r="1513" spans="1:25" s="767" customFormat="1" ht="15.75" customHeight="1">
      <c r="A1513" s="201" t="str">
        <f>IF(B1513&lt;&gt;"",IF(AND(B1513&gt;=_TM1,B1513&lt;=_TM2,OR(TH!L1513="1111",TH!M1513="1111")),TH!D1513,""),"")</f>
        <v/>
      </c>
      <c r="B1513" s="692">
        <f t="shared" si="72"/>
        <v>6</v>
      </c>
      <c r="C1513" s="791">
        <f t="shared" si="70"/>
        <v>41430</v>
      </c>
      <c r="D1513" s="791" t="s">
        <v>1261</v>
      </c>
      <c r="E1513" s="791">
        <v>41430</v>
      </c>
      <c r="F1513" s="848" t="s">
        <v>807</v>
      </c>
      <c r="G1513" s="792" t="s">
        <v>808</v>
      </c>
      <c r="H1513" s="795" t="s">
        <v>1257</v>
      </c>
      <c r="I1513" s="248">
        <v>2399</v>
      </c>
      <c r="J1513" s="248">
        <v>5869.8253438932888</v>
      </c>
      <c r="K1513" s="693">
        <f t="shared" si="71"/>
        <v>14081711</v>
      </c>
      <c r="L1513" s="52" t="s">
        <v>164</v>
      </c>
      <c r="M1513" s="849" t="s">
        <v>162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IF(OR(TH!L1513=TH!$U$7,M1513=TH!$U$7),"x","")</f>
        <v/>
      </c>
      <c r="V1513" s="52" t="str">
        <f>IF(AND(B1513&gt;='IN-NX'!$P$3,B1513&lt;='IN-NX'!$Q$3,'IN-NX'!$D$7=D1513,OR(LEFT(L1513,2)="15",AND(LEFT(M1513,2)&lt;&gt;"15",LEFT(M1513,2)&lt;&gt;"33"))),"x","")</f>
        <v/>
      </c>
      <c r="W1513" s="52" t="str">
        <f>IF(AND(OR(LEFT(TH!L1513,2)="15",LEFT(TH!M1513,2)="15"),'152-CT'!$J$8=TH!F1513),"x","")</f>
        <v/>
      </c>
      <c r="X1513" s="52" t="str">
        <f>IF(AND(OR(LEFT(TH!L1513,2)="15",LEFT(TH!M1513,2)="15"),TK!$E$7=TH!F1513),"x","")</f>
        <v/>
      </c>
      <c r="Y1513" s="52" t="str">
        <f>IF(AND(B1513&lt;=NKC!$N$8,B1513&gt;=NKC!$M$8),"x","")</f>
        <v/>
      </c>
    </row>
    <row r="1514" spans="1:25" s="767" customFormat="1" ht="15.75" customHeight="1">
      <c r="A1514" s="201" t="str">
        <f>IF(B1514&lt;&gt;"",IF(AND(B1514&gt;=_TM1,B1514&lt;=_TM2,OR(TH!L1514="1111",TH!M1514="1111")),TH!D1514,""),"")</f>
        <v/>
      </c>
      <c r="B1514" s="692">
        <f t="shared" si="72"/>
        <v>6</v>
      </c>
      <c r="C1514" s="791">
        <f t="shared" si="70"/>
        <v>41430</v>
      </c>
      <c r="D1514" s="791" t="s">
        <v>1261</v>
      </c>
      <c r="E1514" s="791">
        <v>41430</v>
      </c>
      <c r="F1514" s="848" t="s">
        <v>807</v>
      </c>
      <c r="G1514" s="792" t="s">
        <v>808</v>
      </c>
      <c r="H1514" s="795" t="s">
        <v>1257</v>
      </c>
      <c r="I1514" s="248">
        <v>2542</v>
      </c>
      <c r="J1514" s="248">
        <v>6662.8768686073954</v>
      </c>
      <c r="K1514" s="693">
        <f t="shared" si="71"/>
        <v>16937033</v>
      </c>
      <c r="L1514" s="52" t="s">
        <v>164</v>
      </c>
      <c r="M1514" s="849" t="s">
        <v>162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IF(OR(TH!L1514=TH!$U$7,M1514=TH!$U$7),"x","")</f>
        <v/>
      </c>
      <c r="V1514" s="52" t="str">
        <f>IF(AND(B1514&gt;='IN-NX'!$P$3,B1514&lt;='IN-NX'!$Q$3,'IN-NX'!$D$7=D1514,OR(LEFT(L1514,2)="15",AND(LEFT(M1514,2)&lt;&gt;"15",LEFT(M1514,2)&lt;&gt;"33"))),"x","")</f>
        <v/>
      </c>
      <c r="W1514" s="52" t="str">
        <f>IF(AND(OR(LEFT(TH!L1514,2)="15",LEFT(TH!M1514,2)="15"),'152-CT'!$J$8=TH!F1514),"x","")</f>
        <v/>
      </c>
      <c r="X1514" s="52" t="str">
        <f>IF(AND(OR(LEFT(TH!L1514,2)="15",LEFT(TH!M1514,2)="15"),TK!$E$7=TH!F1514),"x","")</f>
        <v/>
      </c>
      <c r="Y1514" s="52" t="str">
        <f>IF(AND(B1514&lt;=NKC!$N$8,B1514&gt;=NKC!$M$8),"x","")</f>
        <v/>
      </c>
    </row>
    <row r="1515" spans="1:25" s="767" customFormat="1" ht="15.75" customHeight="1">
      <c r="A1515" s="201" t="str">
        <f>IF(B1515&lt;&gt;"",IF(AND(B1515&gt;=_TM1,B1515&lt;=_TM2,OR(TH!L1515="1111",TH!M1515="1111")),TH!D1515,""),"")</f>
        <v/>
      </c>
      <c r="B1515" s="692">
        <f t="shared" si="72"/>
        <v>6</v>
      </c>
      <c r="C1515" s="791">
        <f t="shared" si="70"/>
        <v>41432</v>
      </c>
      <c r="D1515" s="791" t="s">
        <v>1261</v>
      </c>
      <c r="E1515" s="791">
        <v>41432</v>
      </c>
      <c r="F1515" s="848" t="s">
        <v>1096</v>
      </c>
      <c r="G1515" s="792" t="s">
        <v>809</v>
      </c>
      <c r="H1515" s="795" t="s">
        <v>1257</v>
      </c>
      <c r="I1515" s="248">
        <v>106</v>
      </c>
      <c r="J1515" s="248">
        <v>13419.613207547171</v>
      </c>
      <c r="K1515" s="693">
        <f t="shared" si="71"/>
        <v>1422479</v>
      </c>
      <c r="L1515" s="52" t="s">
        <v>164</v>
      </c>
      <c r="M1515" s="849" t="s">
        <v>162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IF(OR(TH!L1515=TH!$U$7,M1515=TH!$U$7),"x","")</f>
        <v/>
      </c>
      <c r="V1515" s="52" t="str">
        <f>IF(AND(B1515&gt;='IN-NX'!$P$3,B1515&lt;='IN-NX'!$Q$3,'IN-NX'!$D$7=D1515,OR(LEFT(L1515,2)="15",AND(LEFT(M1515,2)&lt;&gt;"15",LEFT(M1515,2)&lt;&gt;"33"))),"x","")</f>
        <v/>
      </c>
      <c r="W1515" s="52" t="str">
        <f>IF(AND(OR(LEFT(TH!L1515,2)="15",LEFT(TH!M1515,2)="15"),'152-CT'!$J$8=TH!F1515),"x","")</f>
        <v/>
      </c>
      <c r="X1515" s="52" t="str">
        <f>IF(AND(OR(LEFT(TH!L1515,2)="15",LEFT(TH!M1515,2)="15"),TK!$E$7=TH!F1515),"x","")</f>
        <v/>
      </c>
      <c r="Y1515" s="52" t="str">
        <f>IF(AND(B1515&lt;=NKC!$N$8,B1515&gt;=NKC!$M$8),"x","")</f>
        <v/>
      </c>
    </row>
    <row r="1516" spans="1:25" s="767" customFormat="1" ht="15.75" customHeight="1">
      <c r="A1516" s="201" t="str">
        <f>IF(B1516&lt;&gt;"",IF(AND(B1516&gt;=_TM1,B1516&lt;=_TM2,OR(TH!L1516="1111",TH!M1516="1111")),TH!D1516,""),"")</f>
        <v/>
      </c>
      <c r="B1516" s="692">
        <f t="shared" si="72"/>
        <v>6</v>
      </c>
      <c r="C1516" s="791">
        <f t="shared" si="70"/>
        <v>41432</v>
      </c>
      <c r="D1516" s="791" t="s">
        <v>1261</v>
      </c>
      <c r="E1516" s="791">
        <v>41432</v>
      </c>
      <c r="F1516" s="848" t="s">
        <v>1099</v>
      </c>
      <c r="G1516" s="792" t="s">
        <v>809</v>
      </c>
      <c r="H1516" s="795" t="s">
        <v>1257</v>
      </c>
      <c r="I1516" s="248">
        <v>197</v>
      </c>
      <c r="J1516" s="248">
        <v>9349.6243654822338</v>
      </c>
      <c r="K1516" s="693">
        <f t="shared" si="71"/>
        <v>1841876</v>
      </c>
      <c r="L1516" s="52" t="s">
        <v>164</v>
      </c>
      <c r="M1516" s="849" t="s">
        <v>162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IF(OR(TH!L1516=TH!$U$7,M1516=TH!$U$7),"x","")</f>
        <v/>
      </c>
      <c r="V1516" s="52" t="str">
        <f>IF(AND(B1516&gt;='IN-NX'!$P$3,B1516&lt;='IN-NX'!$Q$3,'IN-NX'!$D$7=D1516,OR(LEFT(L1516,2)="15",AND(LEFT(M1516,2)&lt;&gt;"15",LEFT(M1516,2)&lt;&gt;"33"))),"x","")</f>
        <v/>
      </c>
      <c r="W1516" s="52" t="str">
        <f>IF(AND(OR(LEFT(TH!L1516,2)="15",LEFT(TH!M1516,2)="15"),'152-CT'!$J$8=TH!F1516),"x","")</f>
        <v/>
      </c>
      <c r="X1516" s="52" t="str">
        <f>IF(AND(OR(LEFT(TH!L1516,2)="15",LEFT(TH!M1516,2)="15"),TK!$E$7=TH!F1516),"x","")</f>
        <v/>
      </c>
      <c r="Y1516" s="52" t="str">
        <f>IF(AND(B1516&lt;=NKC!$N$8,B1516&gt;=NKC!$M$8),"x","")</f>
        <v/>
      </c>
    </row>
    <row r="1517" spans="1:25" s="767" customFormat="1" ht="15.75" customHeight="1">
      <c r="A1517" s="201" t="str">
        <f>IF(B1517&lt;&gt;"",IF(AND(B1517&gt;=_TM1,B1517&lt;=_TM2,OR(TH!L1517="1111",TH!M1517="1111")),TH!D1517,""),"")</f>
        <v/>
      </c>
      <c r="B1517" s="692">
        <f t="shared" si="72"/>
        <v>6</v>
      </c>
      <c r="C1517" s="791">
        <f t="shared" si="70"/>
        <v>41432</v>
      </c>
      <c r="D1517" s="791" t="s">
        <v>1261</v>
      </c>
      <c r="E1517" s="791">
        <v>41432</v>
      </c>
      <c r="F1517" s="848" t="s">
        <v>810</v>
      </c>
      <c r="G1517" s="792" t="s">
        <v>809</v>
      </c>
      <c r="H1517" s="795" t="s">
        <v>1257</v>
      </c>
      <c r="I1517" s="248">
        <v>104</v>
      </c>
      <c r="J1517" s="248">
        <v>11401.740384615385</v>
      </c>
      <c r="K1517" s="693">
        <f t="shared" si="71"/>
        <v>1185781</v>
      </c>
      <c r="L1517" s="52" t="s">
        <v>164</v>
      </c>
      <c r="M1517" s="849" t="s">
        <v>162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IF(OR(TH!L1517=TH!$U$7,M1517=TH!$U$7),"x","")</f>
        <v/>
      </c>
      <c r="V1517" s="52" t="str">
        <f>IF(AND(B1517&gt;='IN-NX'!$P$3,B1517&lt;='IN-NX'!$Q$3,'IN-NX'!$D$7=D1517,OR(LEFT(L1517,2)="15",AND(LEFT(M1517,2)&lt;&gt;"15",LEFT(M1517,2)&lt;&gt;"33"))),"x","")</f>
        <v/>
      </c>
      <c r="W1517" s="52" t="str">
        <f>IF(AND(OR(LEFT(TH!L1517,2)="15",LEFT(TH!M1517,2)="15"),'152-CT'!$J$8=TH!F1517),"x","")</f>
        <v/>
      </c>
      <c r="X1517" s="52" t="str">
        <f>IF(AND(OR(LEFT(TH!L1517,2)="15",LEFT(TH!M1517,2)="15"),TK!$E$7=TH!F1517),"x","")</f>
        <v/>
      </c>
      <c r="Y1517" s="52" t="str">
        <f>IF(AND(B1517&lt;=NKC!$N$8,B1517&gt;=NKC!$M$8),"x","")</f>
        <v/>
      </c>
    </row>
    <row r="1518" spans="1:25" s="767" customFormat="1" ht="15.75" customHeight="1">
      <c r="A1518" s="201" t="str">
        <f>IF(B1518&lt;&gt;"",IF(AND(B1518&gt;=_TM1,B1518&lt;=_TM2,OR(TH!L1518="1111",TH!M1518="1111")),TH!D1518,""),"")</f>
        <v/>
      </c>
      <c r="B1518" s="692">
        <f t="shared" si="72"/>
        <v>6</v>
      </c>
      <c r="C1518" s="791">
        <f t="shared" si="70"/>
        <v>41432</v>
      </c>
      <c r="D1518" s="791" t="s">
        <v>1261</v>
      </c>
      <c r="E1518" s="791">
        <v>41432</v>
      </c>
      <c r="F1518" s="848" t="s">
        <v>811</v>
      </c>
      <c r="G1518" s="792" t="s">
        <v>809</v>
      </c>
      <c r="H1518" s="795" t="s">
        <v>1257</v>
      </c>
      <c r="I1518" s="248">
        <v>141</v>
      </c>
      <c r="J1518" s="248">
        <v>10915.86524822695</v>
      </c>
      <c r="K1518" s="693">
        <f t="shared" si="71"/>
        <v>1539137</v>
      </c>
      <c r="L1518" s="52" t="s">
        <v>164</v>
      </c>
      <c r="M1518" s="849" t="s">
        <v>162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IF(OR(TH!L1518=TH!$U$7,M1518=TH!$U$7),"x","")</f>
        <v/>
      </c>
      <c r="V1518" s="52" t="str">
        <f>IF(AND(B1518&gt;='IN-NX'!$P$3,B1518&lt;='IN-NX'!$Q$3,'IN-NX'!$D$7=D1518,OR(LEFT(L1518,2)="15",AND(LEFT(M1518,2)&lt;&gt;"15",LEFT(M1518,2)&lt;&gt;"33"))),"x","")</f>
        <v/>
      </c>
      <c r="W1518" s="52" t="str">
        <f>IF(AND(OR(LEFT(TH!L1518,2)="15",LEFT(TH!M1518,2)="15"),'152-CT'!$J$8=TH!F1518),"x","")</f>
        <v/>
      </c>
      <c r="X1518" s="52" t="str">
        <f>IF(AND(OR(LEFT(TH!L1518,2)="15",LEFT(TH!M1518,2)="15"),TK!$E$7=TH!F1518),"x","")</f>
        <v/>
      </c>
      <c r="Y1518" s="52" t="str">
        <f>IF(AND(B1518&lt;=NKC!$N$8,B1518&gt;=NKC!$M$8),"x","")</f>
        <v/>
      </c>
    </row>
    <row r="1519" spans="1:25" s="767" customFormat="1" ht="15.75" customHeight="1">
      <c r="A1519" s="201" t="str">
        <f>IF(B1519&lt;&gt;"",IF(AND(B1519&gt;=_TM1,B1519&lt;=_TM2,OR(TH!L1519="1111",TH!M1519="1111")),TH!D1519,""),"")</f>
        <v/>
      </c>
      <c r="B1519" s="692">
        <f t="shared" si="72"/>
        <v>6</v>
      </c>
      <c r="C1519" s="791">
        <f t="shared" si="70"/>
        <v>41432</v>
      </c>
      <c r="D1519" s="791" t="s">
        <v>1261</v>
      </c>
      <c r="E1519" s="791">
        <v>41432</v>
      </c>
      <c r="F1519" s="867" t="s">
        <v>1114</v>
      </c>
      <c r="G1519" s="792" t="s">
        <v>812</v>
      </c>
      <c r="H1519" s="795" t="s">
        <v>1257</v>
      </c>
      <c r="I1519" s="248">
        <v>305</v>
      </c>
      <c r="J1519" s="248">
        <v>5072.8590163934423</v>
      </c>
      <c r="K1519" s="693">
        <f t="shared" si="71"/>
        <v>1547222</v>
      </c>
      <c r="L1519" s="52" t="s">
        <v>164</v>
      </c>
      <c r="M1519" s="849" t="s">
        <v>162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IF(OR(TH!L1519=TH!$U$7,M1519=TH!$U$7),"x","")</f>
        <v/>
      </c>
      <c r="V1519" s="52" t="str">
        <f>IF(AND(B1519&gt;='IN-NX'!$P$3,B1519&lt;='IN-NX'!$Q$3,'IN-NX'!$D$7=D1519,OR(LEFT(L1519,2)="15",AND(LEFT(M1519,2)&lt;&gt;"15",LEFT(M1519,2)&lt;&gt;"33"))),"x","")</f>
        <v/>
      </c>
      <c r="W1519" s="52" t="str">
        <f>IF(AND(OR(LEFT(TH!L1519,2)="15",LEFT(TH!M1519,2)="15"),'152-CT'!$J$8=TH!F1519),"x","")</f>
        <v/>
      </c>
      <c r="X1519" s="52" t="str">
        <f>IF(AND(OR(LEFT(TH!L1519,2)="15",LEFT(TH!M1519,2)="15"),TK!$E$7=TH!F1519),"x","")</f>
        <v/>
      </c>
      <c r="Y1519" s="52" t="str">
        <f>IF(AND(B1519&lt;=NKC!$N$8,B1519&gt;=NKC!$M$8),"x","")</f>
        <v/>
      </c>
    </row>
    <row r="1520" spans="1:25" s="767" customFormat="1" ht="15.75" customHeight="1">
      <c r="A1520" s="201" t="str">
        <f>IF(B1520&lt;&gt;"",IF(AND(B1520&gt;=_TM1,B1520&lt;=_TM2,OR(TH!L1520="1111",TH!M1520="1111")),TH!D1520,""),"")</f>
        <v/>
      </c>
      <c r="B1520" s="692">
        <f t="shared" si="72"/>
        <v>6</v>
      </c>
      <c r="C1520" s="791">
        <f t="shared" si="70"/>
        <v>41432</v>
      </c>
      <c r="D1520" s="791" t="s">
        <v>1261</v>
      </c>
      <c r="E1520" s="791">
        <v>41432</v>
      </c>
      <c r="F1520" s="848" t="s">
        <v>777</v>
      </c>
      <c r="G1520" s="792" t="s">
        <v>812</v>
      </c>
      <c r="H1520" s="795" t="s">
        <v>1257</v>
      </c>
      <c r="I1520" s="248">
        <v>318</v>
      </c>
      <c r="J1520" s="248">
        <v>6196.2735849056608</v>
      </c>
      <c r="K1520" s="693">
        <f t="shared" si="71"/>
        <v>1970415</v>
      </c>
      <c r="L1520" s="52" t="s">
        <v>164</v>
      </c>
      <c r="M1520" s="849" t="s">
        <v>162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IF(OR(TH!L1520=TH!$U$7,M1520=TH!$U$7),"x","")</f>
        <v/>
      </c>
      <c r="V1520" s="52" t="str">
        <f>IF(AND(B1520&gt;='IN-NX'!$P$3,B1520&lt;='IN-NX'!$Q$3,'IN-NX'!$D$7=D1520,OR(LEFT(L1520,2)="15",AND(LEFT(M1520,2)&lt;&gt;"15",LEFT(M1520,2)&lt;&gt;"33"))),"x","")</f>
        <v/>
      </c>
      <c r="W1520" s="52" t="str">
        <f>IF(AND(OR(LEFT(TH!L1520,2)="15",LEFT(TH!M1520,2)="15"),'152-CT'!$J$8=TH!F1520),"x","")</f>
        <v/>
      </c>
      <c r="X1520" s="52" t="str">
        <f>IF(AND(OR(LEFT(TH!L1520,2)="15",LEFT(TH!M1520,2)="15"),TK!$E$7=TH!F1520),"x","")</f>
        <v/>
      </c>
      <c r="Y1520" s="52" t="str">
        <f>IF(AND(B1520&lt;=NKC!$N$8,B1520&gt;=NKC!$M$8),"x","")</f>
        <v/>
      </c>
    </row>
    <row r="1521" spans="1:25" s="767" customFormat="1" ht="15.75" customHeight="1">
      <c r="A1521" s="201" t="str">
        <f>IF(B1521&lt;&gt;"",IF(AND(B1521&gt;=_TM1,B1521&lt;=_TM2,OR(TH!L1521="1111",TH!M1521="1111")),TH!D1521,""),"")</f>
        <v/>
      </c>
      <c r="B1521" s="692">
        <f t="shared" si="72"/>
        <v>6</v>
      </c>
      <c r="C1521" s="791">
        <f t="shared" si="70"/>
        <v>41432</v>
      </c>
      <c r="D1521" s="791" t="s">
        <v>1261</v>
      </c>
      <c r="E1521" s="48">
        <v>41432</v>
      </c>
      <c r="F1521" s="49" t="s">
        <v>813</v>
      </c>
      <c r="G1521" s="49" t="s">
        <v>812</v>
      </c>
      <c r="H1521" s="795" t="s">
        <v>1257</v>
      </c>
      <c r="I1521" s="248">
        <v>296</v>
      </c>
      <c r="J1521" s="248">
        <v>4382.9864864864867</v>
      </c>
      <c r="K1521" s="693">
        <f t="shared" si="71"/>
        <v>1297364</v>
      </c>
      <c r="L1521" s="52" t="s">
        <v>164</v>
      </c>
      <c r="M1521" s="849" t="s">
        <v>162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IF(OR(TH!L1521=TH!$U$7,M1521=TH!$U$7),"x","")</f>
        <v/>
      </c>
      <c r="V1521" s="52" t="str">
        <f>IF(AND(B1521&gt;='IN-NX'!$P$3,B1521&lt;='IN-NX'!$Q$3,'IN-NX'!$D$7=D1521,OR(LEFT(L1521,2)="15",AND(LEFT(M1521,2)&lt;&gt;"15",LEFT(M1521,2)&lt;&gt;"33"))),"x","")</f>
        <v/>
      </c>
      <c r="W1521" s="52" t="str">
        <f>IF(AND(OR(LEFT(TH!L1521,2)="15",LEFT(TH!M1521,2)="15"),'152-CT'!$J$8=TH!F1521),"x","")</f>
        <v/>
      </c>
      <c r="X1521" s="52" t="str">
        <f>IF(AND(OR(LEFT(TH!L1521,2)="15",LEFT(TH!M1521,2)="15"),TK!$E$7=TH!F1521),"x","")</f>
        <v/>
      </c>
      <c r="Y1521" s="52" t="str">
        <f>IF(AND(B1521&lt;=NKC!$N$8,B1521&gt;=NKC!$M$8),"x","")</f>
        <v/>
      </c>
    </row>
    <row r="1522" spans="1:25" s="767" customFormat="1" ht="15.75" customHeight="1">
      <c r="A1522" s="201" t="str">
        <f>IF(B1522&lt;&gt;"",IF(AND(B1522&gt;=_TM1,B1522&lt;=_TM2,OR(TH!L1522="1111",TH!M1522="1111")),TH!D1522,""),"")</f>
        <v/>
      </c>
      <c r="B1522" s="692">
        <f t="shared" si="72"/>
        <v>6</v>
      </c>
      <c r="C1522" s="791">
        <f t="shared" si="70"/>
        <v>41432</v>
      </c>
      <c r="D1522" s="791" t="s">
        <v>1261</v>
      </c>
      <c r="E1522" s="48">
        <v>41432</v>
      </c>
      <c r="F1522" s="49" t="s">
        <v>1105</v>
      </c>
      <c r="G1522" s="49" t="s">
        <v>812</v>
      </c>
      <c r="H1522" s="795" t="s">
        <v>1257</v>
      </c>
      <c r="I1522" s="248">
        <v>510</v>
      </c>
      <c r="J1522" s="248">
        <v>4919.5215686274514</v>
      </c>
      <c r="K1522" s="693">
        <f t="shared" si="71"/>
        <v>2508956</v>
      </c>
      <c r="L1522" s="52" t="s">
        <v>164</v>
      </c>
      <c r="M1522" s="849" t="s">
        <v>162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IF(OR(TH!L1522=TH!$U$7,M1522=TH!$U$7),"x","")</f>
        <v/>
      </c>
      <c r="V1522" s="52" t="str">
        <f>IF(AND(B1522&gt;='IN-NX'!$P$3,B1522&lt;='IN-NX'!$Q$3,'IN-NX'!$D$7=D1522,OR(LEFT(L1522,2)="15",AND(LEFT(M1522,2)&lt;&gt;"15",LEFT(M1522,2)&lt;&gt;"33"))),"x","")</f>
        <v/>
      </c>
      <c r="W1522" s="52" t="str">
        <f>IF(AND(OR(LEFT(TH!L1522,2)="15",LEFT(TH!M1522,2)="15"),'152-CT'!$J$8=TH!F1522),"x","")</f>
        <v/>
      </c>
      <c r="X1522" s="52" t="str">
        <f>IF(AND(OR(LEFT(TH!L1522,2)="15",LEFT(TH!M1522,2)="15"),TK!$E$7=TH!F1522),"x","")</f>
        <v/>
      </c>
      <c r="Y1522" s="52" t="str">
        <f>IF(AND(B1522&lt;=NKC!$N$8,B1522&gt;=NKC!$M$8),"x","")</f>
        <v/>
      </c>
    </row>
    <row r="1523" spans="1:25" s="767" customFormat="1" ht="15.75" customHeight="1">
      <c r="A1523" s="201" t="str">
        <f>IF(B1523&lt;&gt;"",IF(AND(B1523&gt;=_TM1,B1523&lt;=_TM2,OR(TH!L1523="1111",TH!M1523="1111")),TH!D1523,""),"")</f>
        <v/>
      </c>
      <c r="B1523" s="692">
        <f t="shared" si="72"/>
        <v>6</v>
      </c>
      <c r="C1523" s="791">
        <f t="shared" si="70"/>
        <v>41435</v>
      </c>
      <c r="D1523" s="791" t="s">
        <v>1261</v>
      </c>
      <c r="E1523" s="48">
        <v>41435</v>
      </c>
      <c r="F1523" s="49" t="s">
        <v>814</v>
      </c>
      <c r="G1523" s="49" t="s">
        <v>815</v>
      </c>
      <c r="H1523" s="795" t="s">
        <v>1257</v>
      </c>
      <c r="I1523" s="248">
        <v>204</v>
      </c>
      <c r="J1523" s="248">
        <v>18464.235294117647</v>
      </c>
      <c r="K1523" s="693">
        <f t="shared" si="71"/>
        <v>3766704</v>
      </c>
      <c r="L1523" s="52" t="s">
        <v>164</v>
      </c>
      <c r="M1523" s="849" t="s">
        <v>162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IF(OR(TH!L1523=TH!$U$7,M1523=TH!$U$7),"x","")</f>
        <v/>
      </c>
      <c r="V1523" s="52" t="str">
        <f>IF(AND(B1523&gt;='IN-NX'!$P$3,B1523&lt;='IN-NX'!$Q$3,'IN-NX'!$D$7=D1523,OR(LEFT(L1523,2)="15",AND(LEFT(M1523,2)&lt;&gt;"15",LEFT(M1523,2)&lt;&gt;"33"))),"x","")</f>
        <v/>
      </c>
      <c r="W1523" s="52" t="str">
        <f>IF(AND(OR(LEFT(TH!L1523,2)="15",LEFT(TH!M1523,2)="15"),'152-CT'!$J$8=TH!F1523),"x","")</f>
        <v/>
      </c>
      <c r="X1523" s="52" t="str">
        <f>IF(AND(OR(LEFT(TH!L1523,2)="15",LEFT(TH!M1523,2)="15"),TK!$E$7=TH!F1523),"x","")</f>
        <v/>
      </c>
      <c r="Y1523" s="52" t="str">
        <f>IF(AND(B1523&lt;=NKC!$N$8,B1523&gt;=NKC!$M$8),"x","")</f>
        <v/>
      </c>
    </row>
    <row r="1524" spans="1:25" s="767" customFormat="1" ht="15.75" customHeight="1">
      <c r="A1524" s="201" t="str">
        <f>IF(B1524&lt;&gt;"",IF(AND(B1524&gt;=_TM1,B1524&lt;=_TM2,OR(TH!L1524="1111",TH!M1524="1111")),TH!D1524,""),"")</f>
        <v/>
      </c>
      <c r="B1524" s="692">
        <f t="shared" si="72"/>
        <v>6</v>
      </c>
      <c r="C1524" s="791">
        <f t="shared" si="70"/>
        <v>41436</v>
      </c>
      <c r="D1524" s="791" t="s">
        <v>1261</v>
      </c>
      <c r="E1524" s="48">
        <v>41436</v>
      </c>
      <c r="F1524" s="49" t="s">
        <v>1105</v>
      </c>
      <c r="G1524" s="49" t="s">
        <v>817</v>
      </c>
      <c r="H1524" s="795" t="s">
        <v>1257</v>
      </c>
      <c r="I1524" s="248">
        <v>157</v>
      </c>
      <c r="J1524" s="248">
        <v>4573.6751592356686</v>
      </c>
      <c r="K1524" s="693">
        <f t="shared" si="71"/>
        <v>718067</v>
      </c>
      <c r="L1524" s="52" t="s">
        <v>164</v>
      </c>
      <c r="M1524" s="849" t="s">
        <v>162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IF(OR(TH!L1524=TH!$U$7,M1524=TH!$U$7),"x","")</f>
        <v/>
      </c>
      <c r="V1524" s="52" t="str">
        <f>IF(AND(B1524&gt;='IN-NX'!$P$3,B1524&lt;='IN-NX'!$Q$3,'IN-NX'!$D$7=D1524,OR(LEFT(L1524,2)="15",AND(LEFT(M1524,2)&lt;&gt;"15",LEFT(M1524,2)&lt;&gt;"33"))),"x","")</f>
        <v/>
      </c>
      <c r="W1524" s="52" t="str">
        <f>IF(AND(OR(LEFT(TH!L1524,2)="15",LEFT(TH!M1524,2)="15"),'152-CT'!$J$8=TH!F1524),"x","")</f>
        <v/>
      </c>
      <c r="X1524" s="52" t="str">
        <f>IF(AND(OR(LEFT(TH!L1524,2)="15",LEFT(TH!M1524,2)="15"),TK!$E$7=TH!F1524),"x","")</f>
        <v/>
      </c>
      <c r="Y1524" s="52" t="str">
        <f>IF(AND(B1524&lt;=NKC!$N$8,B1524&gt;=NKC!$M$8),"x","")</f>
        <v/>
      </c>
    </row>
    <row r="1525" spans="1:25" s="767" customFormat="1" ht="15.75" customHeight="1">
      <c r="A1525" s="201" t="str">
        <f>IF(B1525&lt;&gt;"",IF(AND(B1525&gt;=_TM1,B1525&lt;=_TM2,OR(TH!L1525="1111",TH!M1525="1111")),TH!D1525,""),"")</f>
        <v/>
      </c>
      <c r="B1525" s="692">
        <f t="shared" si="72"/>
        <v>6</v>
      </c>
      <c r="C1525" s="791">
        <f t="shared" si="70"/>
        <v>41436</v>
      </c>
      <c r="D1525" s="791" t="s">
        <v>1261</v>
      </c>
      <c r="E1525" s="48">
        <v>41436</v>
      </c>
      <c r="F1525" s="49" t="s">
        <v>818</v>
      </c>
      <c r="G1525" s="49" t="s">
        <v>819</v>
      </c>
      <c r="H1525" s="795" t="s">
        <v>1257</v>
      </c>
      <c r="I1525" s="248">
        <v>222</v>
      </c>
      <c r="J1525" s="248">
        <v>14509.234234234234</v>
      </c>
      <c r="K1525" s="693">
        <f t="shared" si="71"/>
        <v>3221050</v>
      </c>
      <c r="L1525" s="52" t="s">
        <v>164</v>
      </c>
      <c r="M1525" s="849" t="s">
        <v>162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IF(OR(TH!L1525=TH!$U$7,M1525=TH!$U$7),"x","")</f>
        <v/>
      </c>
      <c r="V1525" s="52" t="str">
        <f>IF(AND(B1525&gt;='IN-NX'!$P$3,B1525&lt;='IN-NX'!$Q$3,'IN-NX'!$D$7=D1525,OR(LEFT(L1525,2)="15",AND(LEFT(M1525,2)&lt;&gt;"15",LEFT(M1525,2)&lt;&gt;"33"))),"x","")</f>
        <v/>
      </c>
      <c r="W1525" s="52" t="str">
        <f>IF(AND(OR(LEFT(TH!L1525,2)="15",LEFT(TH!M1525,2)="15"),'152-CT'!$J$8=TH!F1525),"x","")</f>
        <v/>
      </c>
      <c r="X1525" s="52" t="str">
        <f>IF(AND(OR(LEFT(TH!L1525,2)="15",LEFT(TH!M1525,2)="15"),TK!$E$7=TH!F1525),"x","")</f>
        <v/>
      </c>
      <c r="Y1525" s="52" t="str">
        <f>IF(AND(B1525&lt;=NKC!$N$8,B1525&gt;=NKC!$M$8),"x","")</f>
        <v/>
      </c>
    </row>
    <row r="1526" spans="1:25" s="767" customFormat="1" ht="15.75" customHeight="1">
      <c r="A1526" s="201" t="str">
        <f>IF(B1526&lt;&gt;"",IF(AND(B1526&gt;=_TM1,B1526&lt;=_TM2,OR(TH!L1526="1111",TH!M1526="1111")),TH!D1526,""),"")</f>
        <v/>
      </c>
      <c r="B1526" s="692">
        <f t="shared" si="72"/>
        <v>6</v>
      </c>
      <c r="C1526" s="791">
        <f t="shared" si="70"/>
        <v>41443</v>
      </c>
      <c r="D1526" s="791" t="s">
        <v>1261</v>
      </c>
      <c r="E1526" s="48">
        <v>41443</v>
      </c>
      <c r="F1526" s="49" t="s">
        <v>820</v>
      </c>
      <c r="G1526" s="49" t="s">
        <v>821</v>
      </c>
      <c r="H1526" s="795" t="s">
        <v>1257</v>
      </c>
      <c r="I1526" s="248">
        <v>494</v>
      </c>
      <c r="J1526" s="248">
        <v>17050.975708502025</v>
      </c>
      <c r="K1526" s="693">
        <f t="shared" si="71"/>
        <v>8423182</v>
      </c>
      <c r="L1526" s="52" t="s">
        <v>164</v>
      </c>
      <c r="M1526" s="849" t="s">
        <v>162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IF(OR(TH!L1526=TH!$U$7,M1526=TH!$U$7),"x","")</f>
        <v/>
      </c>
      <c r="V1526" s="52" t="str">
        <f>IF(AND(B1526&gt;='IN-NX'!$P$3,B1526&lt;='IN-NX'!$Q$3,'IN-NX'!$D$7=D1526,OR(LEFT(L1526,2)="15",AND(LEFT(M1526,2)&lt;&gt;"15",LEFT(M1526,2)&lt;&gt;"33"))),"x","")</f>
        <v/>
      </c>
      <c r="W1526" s="52" t="str">
        <f>IF(AND(OR(LEFT(TH!L1526,2)="15",LEFT(TH!M1526,2)="15"),'152-CT'!$J$8=TH!F1526),"x","")</f>
        <v/>
      </c>
      <c r="X1526" s="52" t="str">
        <f>IF(AND(OR(LEFT(TH!L1526,2)="15",LEFT(TH!M1526,2)="15"),TK!$E$7=TH!F1526),"x","")</f>
        <v/>
      </c>
      <c r="Y1526" s="52" t="str">
        <f>IF(AND(B1526&lt;=NKC!$N$8,B1526&gt;=NKC!$M$8),"x","")</f>
        <v/>
      </c>
    </row>
    <row r="1527" spans="1:25" s="767" customFormat="1" ht="15.75" customHeight="1">
      <c r="A1527" s="201" t="str">
        <f>IF(B1527&lt;&gt;"",IF(AND(B1527&gt;=_TM1,B1527&lt;=_TM2,OR(TH!L1527="1111",TH!M1527="1111")),TH!D1527,""),"")</f>
        <v/>
      </c>
      <c r="B1527" s="692">
        <f t="shared" si="72"/>
        <v>6</v>
      </c>
      <c r="C1527" s="791">
        <f t="shared" si="70"/>
        <v>41444</v>
      </c>
      <c r="D1527" s="791" t="s">
        <v>1261</v>
      </c>
      <c r="E1527" s="48">
        <v>41444</v>
      </c>
      <c r="F1527" s="49" t="s">
        <v>711</v>
      </c>
      <c r="G1527" s="49" t="s">
        <v>822</v>
      </c>
      <c r="H1527" s="795" t="s">
        <v>1257</v>
      </c>
      <c r="I1527" s="248">
        <v>402</v>
      </c>
      <c r="J1527" s="248">
        <v>24039.236318407959</v>
      </c>
      <c r="K1527" s="693">
        <f t="shared" si="71"/>
        <v>9663773</v>
      </c>
      <c r="L1527" s="52" t="s">
        <v>164</v>
      </c>
      <c r="M1527" s="849" t="s">
        <v>162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IF(OR(TH!L1527=TH!$U$7,M1527=TH!$U$7),"x","")</f>
        <v/>
      </c>
      <c r="V1527" s="52" t="str">
        <f>IF(AND(B1527&gt;='IN-NX'!$P$3,B1527&lt;='IN-NX'!$Q$3,'IN-NX'!$D$7=D1527,OR(LEFT(L1527,2)="15",AND(LEFT(M1527,2)&lt;&gt;"15",LEFT(M1527,2)&lt;&gt;"33"))),"x","")</f>
        <v/>
      </c>
      <c r="W1527" s="52" t="str">
        <f>IF(AND(OR(LEFT(TH!L1527,2)="15",LEFT(TH!M1527,2)="15"),'152-CT'!$J$8=TH!F1527),"x","")</f>
        <v/>
      </c>
      <c r="X1527" s="52" t="str">
        <f>IF(AND(OR(LEFT(TH!L1527,2)="15",LEFT(TH!M1527,2)="15"),TK!$E$7=TH!F1527),"x","")</f>
        <v/>
      </c>
      <c r="Y1527" s="52" t="str">
        <f>IF(AND(B1527&lt;=NKC!$N$8,B1527&gt;=NKC!$M$8),"x","")</f>
        <v/>
      </c>
    </row>
    <row r="1528" spans="1:25" s="767" customFormat="1" ht="15.75" customHeight="1">
      <c r="A1528" s="201" t="str">
        <f>IF(B1528&lt;&gt;"",IF(AND(B1528&gt;=_TM1,B1528&lt;=_TM2,OR(TH!L1528="1111",TH!M1528="1111")),TH!D1528,""),"")</f>
        <v/>
      </c>
      <c r="B1528" s="692">
        <f t="shared" si="72"/>
        <v>6</v>
      </c>
      <c r="C1528" s="791">
        <f t="shared" si="70"/>
        <v>41445</v>
      </c>
      <c r="D1528" s="791" t="s">
        <v>1261</v>
      </c>
      <c r="E1528" s="48">
        <v>41445</v>
      </c>
      <c r="F1528" s="848" t="s">
        <v>784</v>
      </c>
      <c r="G1528" s="49" t="s">
        <v>823</v>
      </c>
      <c r="H1528" s="795" t="s">
        <v>1257</v>
      </c>
      <c r="I1528" s="248">
        <v>495</v>
      </c>
      <c r="J1528" s="248">
        <v>17083.624242424241</v>
      </c>
      <c r="K1528" s="693">
        <f t="shared" si="71"/>
        <v>8456394</v>
      </c>
      <c r="L1528" s="52" t="s">
        <v>164</v>
      </c>
      <c r="M1528" s="849" t="s">
        <v>162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IF(OR(TH!L1528=TH!$U$7,M1528=TH!$U$7),"x","")</f>
        <v/>
      </c>
      <c r="V1528" s="52" t="str">
        <f>IF(AND(B1528&gt;='IN-NX'!$P$3,B1528&lt;='IN-NX'!$Q$3,'IN-NX'!$D$7=D1528,OR(LEFT(L1528,2)="15",AND(LEFT(M1528,2)&lt;&gt;"15",LEFT(M1528,2)&lt;&gt;"33"))),"x","")</f>
        <v/>
      </c>
      <c r="W1528" s="52" t="str">
        <f>IF(AND(OR(LEFT(TH!L1528,2)="15",LEFT(TH!M1528,2)="15"),'152-CT'!$J$8=TH!F1528),"x","")</f>
        <v/>
      </c>
      <c r="X1528" s="52" t="str">
        <f>IF(AND(OR(LEFT(TH!L1528,2)="15",LEFT(TH!M1528,2)="15"),TK!$E$7=TH!F1528),"x","")</f>
        <v/>
      </c>
      <c r="Y1528" s="52" t="str">
        <f>IF(AND(B1528&lt;=NKC!$N$8,B1528&gt;=NKC!$M$8),"x","")</f>
        <v/>
      </c>
    </row>
    <row r="1529" spans="1:25" s="767" customFormat="1" ht="15.75" customHeight="1">
      <c r="A1529" s="201" t="str">
        <f>IF(B1529&lt;&gt;"",IF(AND(B1529&gt;=_TM1,B1529&lt;=_TM2,OR(TH!L1529="1111",TH!M1529="1111")),TH!D1529,""),"")</f>
        <v/>
      </c>
      <c r="B1529" s="692">
        <f t="shared" si="72"/>
        <v>6</v>
      </c>
      <c r="C1529" s="791">
        <f t="shared" si="70"/>
        <v>41445</v>
      </c>
      <c r="D1529" s="791" t="s">
        <v>1261</v>
      </c>
      <c r="E1529" s="48">
        <v>41445</v>
      </c>
      <c r="F1529" s="49" t="s">
        <v>786</v>
      </c>
      <c r="G1529" s="49" t="s">
        <v>823</v>
      </c>
      <c r="H1529" s="795" t="s">
        <v>1257</v>
      </c>
      <c r="I1529" s="248">
        <v>1500</v>
      </c>
      <c r="J1529" s="248">
        <v>1429.172</v>
      </c>
      <c r="K1529" s="693">
        <f t="shared" si="71"/>
        <v>2143758</v>
      </c>
      <c r="L1529" s="52" t="s">
        <v>164</v>
      </c>
      <c r="M1529" s="849" t="s">
        <v>162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IF(OR(TH!L1529=TH!$U$7,M1529=TH!$U$7),"x","")</f>
        <v/>
      </c>
      <c r="V1529" s="52" t="str">
        <f>IF(AND(B1529&gt;='IN-NX'!$P$3,B1529&lt;='IN-NX'!$Q$3,'IN-NX'!$D$7=D1529,OR(LEFT(L1529,2)="15",AND(LEFT(M1529,2)&lt;&gt;"15",LEFT(M1529,2)&lt;&gt;"33"))),"x","")</f>
        <v/>
      </c>
      <c r="W1529" s="52" t="str">
        <f>IF(AND(OR(LEFT(TH!L1529,2)="15",LEFT(TH!M1529,2)="15"),'152-CT'!$J$8=TH!F1529),"x","")</f>
        <v/>
      </c>
      <c r="X1529" s="52" t="str">
        <f>IF(AND(OR(LEFT(TH!L1529,2)="15",LEFT(TH!M1529,2)="15"),TK!$E$7=TH!F1529),"x","")</f>
        <v/>
      </c>
      <c r="Y1529" s="52" t="str">
        <f>IF(AND(B1529&lt;=NKC!$N$8,B1529&gt;=NKC!$M$8),"x","")</f>
        <v/>
      </c>
    </row>
    <row r="1530" spans="1:25" s="767" customFormat="1" ht="15.75" customHeight="1">
      <c r="A1530" s="201" t="str">
        <f>IF(B1530&lt;&gt;"",IF(AND(B1530&gt;=_TM1,B1530&lt;=_TM2,OR(TH!L1530="1111",TH!M1530="1111")),TH!D1530,""),"")</f>
        <v/>
      </c>
      <c r="B1530" s="692">
        <f t="shared" si="72"/>
        <v>6</v>
      </c>
      <c r="C1530" s="791">
        <f t="shared" si="70"/>
        <v>41445</v>
      </c>
      <c r="D1530" s="791" t="s">
        <v>1261</v>
      </c>
      <c r="E1530" s="48">
        <v>41445</v>
      </c>
      <c r="F1530" s="49" t="s">
        <v>1097</v>
      </c>
      <c r="G1530" s="49" t="s">
        <v>824</v>
      </c>
      <c r="H1530" s="795" t="s">
        <v>1257</v>
      </c>
      <c r="I1530" s="248">
        <v>212</v>
      </c>
      <c r="J1530" s="248">
        <v>6713.066037735849</v>
      </c>
      <c r="K1530" s="693">
        <f t="shared" si="71"/>
        <v>1423170</v>
      </c>
      <c r="L1530" s="52" t="s">
        <v>164</v>
      </c>
      <c r="M1530" s="849" t="s">
        <v>162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IF(OR(TH!L1530=TH!$U$7,M1530=TH!$U$7),"x","")</f>
        <v/>
      </c>
      <c r="V1530" s="52" t="str">
        <f>IF(AND(B1530&gt;='IN-NX'!$P$3,B1530&lt;='IN-NX'!$Q$3,'IN-NX'!$D$7=D1530,OR(LEFT(L1530,2)="15",AND(LEFT(M1530,2)&lt;&gt;"15",LEFT(M1530,2)&lt;&gt;"33"))),"x","")</f>
        <v/>
      </c>
      <c r="W1530" s="52" t="str">
        <f>IF(AND(OR(LEFT(TH!L1530,2)="15",LEFT(TH!M1530,2)="15"),'152-CT'!$J$8=TH!F1530),"x","")</f>
        <v/>
      </c>
      <c r="X1530" s="52" t="str">
        <f>IF(AND(OR(LEFT(TH!L1530,2)="15",LEFT(TH!M1530,2)="15"),TK!$E$7=TH!F1530),"x","")</f>
        <v/>
      </c>
      <c r="Y1530" s="52" t="str">
        <f>IF(AND(B1530&lt;=NKC!$N$8,B1530&gt;=NKC!$M$8),"x","")</f>
        <v/>
      </c>
    </row>
    <row r="1531" spans="1:25" s="767" customFormat="1" ht="15.75" customHeight="1">
      <c r="A1531" s="201" t="str">
        <f>IF(B1531&lt;&gt;"",IF(AND(B1531&gt;=_TM1,B1531&lt;=_TM2,OR(TH!L1531="1111",TH!M1531="1111")),TH!D1531,""),"")</f>
        <v/>
      </c>
      <c r="B1531" s="692">
        <f t="shared" si="72"/>
        <v>6</v>
      </c>
      <c r="C1531" s="791">
        <f t="shared" si="70"/>
        <v>41445</v>
      </c>
      <c r="D1531" s="791" t="s">
        <v>1261</v>
      </c>
      <c r="E1531" s="48">
        <v>41445</v>
      </c>
      <c r="F1531" s="49" t="s">
        <v>1096</v>
      </c>
      <c r="G1531" s="49" t="s">
        <v>824</v>
      </c>
      <c r="H1531" s="795" t="s">
        <v>1257</v>
      </c>
      <c r="I1531" s="248">
        <v>195</v>
      </c>
      <c r="J1531" s="248">
        <v>13775.364102564103</v>
      </c>
      <c r="K1531" s="693">
        <f t="shared" si="71"/>
        <v>2686196</v>
      </c>
      <c r="L1531" s="52" t="s">
        <v>164</v>
      </c>
      <c r="M1531" s="849" t="s">
        <v>162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IF(OR(TH!L1531=TH!$U$7,M1531=TH!$U$7),"x","")</f>
        <v/>
      </c>
      <c r="V1531" s="52" t="str">
        <f>IF(AND(B1531&gt;='IN-NX'!$P$3,B1531&lt;='IN-NX'!$Q$3,'IN-NX'!$D$7=D1531,OR(LEFT(L1531,2)="15",AND(LEFT(M1531,2)&lt;&gt;"15",LEFT(M1531,2)&lt;&gt;"33"))),"x","")</f>
        <v/>
      </c>
      <c r="W1531" s="52" t="str">
        <f>IF(AND(OR(LEFT(TH!L1531,2)="15",LEFT(TH!M1531,2)="15"),'152-CT'!$J$8=TH!F1531),"x","")</f>
        <v/>
      </c>
      <c r="X1531" s="52" t="str">
        <f>IF(AND(OR(LEFT(TH!L1531,2)="15",LEFT(TH!M1531,2)="15"),TK!$E$7=TH!F1531),"x","")</f>
        <v/>
      </c>
      <c r="Y1531" s="52" t="str">
        <f>IF(AND(B1531&lt;=NKC!$N$8,B1531&gt;=NKC!$M$8),"x","")</f>
        <v/>
      </c>
    </row>
    <row r="1532" spans="1:25" s="767" customFormat="1" ht="15.75" customHeight="1">
      <c r="A1532" s="201" t="str">
        <f>IF(B1532&lt;&gt;"",IF(AND(B1532&gt;=_TM1,B1532&lt;=_TM2,OR(TH!L1532="1111",TH!M1532="1111")),TH!D1532,""),"")</f>
        <v/>
      </c>
      <c r="B1532" s="692">
        <f t="shared" si="72"/>
        <v>6</v>
      </c>
      <c r="C1532" s="791">
        <f t="shared" ref="C1532:C1595" si="73">E1532</f>
        <v>41445</v>
      </c>
      <c r="D1532" s="791" t="s">
        <v>1261</v>
      </c>
      <c r="E1532" s="48">
        <v>41445</v>
      </c>
      <c r="F1532" s="49" t="s">
        <v>798</v>
      </c>
      <c r="G1532" s="49" t="s">
        <v>825</v>
      </c>
      <c r="H1532" s="795" t="s">
        <v>1257</v>
      </c>
      <c r="I1532" s="248">
        <v>508</v>
      </c>
      <c r="J1532" s="248">
        <v>5039.0866141732286</v>
      </c>
      <c r="K1532" s="693">
        <f t="shared" ref="K1532:K1595" si="74">ROUND(I1532*J1532,0)</f>
        <v>2559856</v>
      </c>
      <c r="L1532" s="52" t="s">
        <v>164</v>
      </c>
      <c r="M1532" s="849" t="s">
        <v>162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IF(OR(TH!L1532=TH!$U$7,M1532=TH!$U$7),"x","")</f>
        <v/>
      </c>
      <c r="V1532" s="52" t="str">
        <f>IF(AND(B1532&gt;='IN-NX'!$P$3,B1532&lt;='IN-NX'!$Q$3,'IN-NX'!$D$7=D1532,OR(LEFT(L1532,2)="15",AND(LEFT(M1532,2)&lt;&gt;"15",LEFT(M1532,2)&lt;&gt;"33"))),"x","")</f>
        <v/>
      </c>
      <c r="W1532" s="52" t="str">
        <f>IF(AND(OR(LEFT(TH!L1532,2)="15",LEFT(TH!M1532,2)="15"),'152-CT'!$J$8=TH!F1532),"x","")</f>
        <v/>
      </c>
      <c r="X1532" s="52" t="str">
        <f>IF(AND(OR(LEFT(TH!L1532,2)="15",LEFT(TH!M1532,2)="15"),TK!$E$7=TH!F1532),"x","")</f>
        <v/>
      </c>
      <c r="Y1532" s="52" t="str">
        <f>IF(AND(B1532&lt;=NKC!$N$8,B1532&gt;=NKC!$M$8),"x","")</f>
        <v/>
      </c>
    </row>
    <row r="1533" spans="1:25" s="767" customFormat="1" ht="15.75" customHeight="1">
      <c r="A1533" s="201" t="str">
        <f>IF(B1533&lt;&gt;"",IF(AND(B1533&gt;=_TM1,B1533&lt;=_TM2,OR(TH!L1533="1111",TH!M1533="1111")),TH!D1533,""),"")</f>
        <v/>
      </c>
      <c r="B1533" s="692">
        <f t="shared" si="72"/>
        <v>6</v>
      </c>
      <c r="C1533" s="791">
        <f t="shared" si="73"/>
        <v>41445</v>
      </c>
      <c r="D1533" s="791" t="s">
        <v>1261</v>
      </c>
      <c r="E1533" s="48">
        <v>41445</v>
      </c>
      <c r="F1533" s="49" t="s">
        <v>800</v>
      </c>
      <c r="G1533" s="49" t="s">
        <v>825</v>
      </c>
      <c r="H1533" s="795" t="s">
        <v>1257</v>
      </c>
      <c r="I1533" s="248">
        <v>305</v>
      </c>
      <c r="J1533" s="248">
        <v>4786.4852459016392</v>
      </c>
      <c r="K1533" s="693">
        <f t="shared" si="74"/>
        <v>1459878</v>
      </c>
      <c r="L1533" s="52" t="s">
        <v>164</v>
      </c>
      <c r="M1533" s="849" t="s">
        <v>162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IF(OR(TH!L1533=TH!$U$7,M1533=TH!$U$7),"x","")</f>
        <v/>
      </c>
      <c r="V1533" s="52" t="str">
        <f>IF(AND(B1533&gt;='IN-NX'!$P$3,B1533&lt;='IN-NX'!$Q$3,'IN-NX'!$D$7=D1533,OR(LEFT(L1533,2)="15",AND(LEFT(M1533,2)&lt;&gt;"15",LEFT(M1533,2)&lt;&gt;"33"))),"x","")</f>
        <v/>
      </c>
      <c r="W1533" s="52" t="str">
        <f>IF(AND(OR(LEFT(TH!L1533,2)="15",LEFT(TH!M1533,2)="15"),'152-CT'!$J$8=TH!F1533),"x","")</f>
        <v/>
      </c>
      <c r="X1533" s="52" t="str">
        <f>IF(AND(OR(LEFT(TH!L1533,2)="15",LEFT(TH!M1533,2)="15"),TK!$E$7=TH!F1533),"x","")</f>
        <v/>
      </c>
      <c r="Y1533" s="52" t="str">
        <f>IF(AND(B1533&lt;=NKC!$N$8,B1533&gt;=NKC!$M$8),"x","")</f>
        <v/>
      </c>
    </row>
    <row r="1534" spans="1:25" s="767" customFormat="1" ht="15.75" customHeight="1">
      <c r="A1534" s="201" t="str">
        <f>IF(B1534&lt;&gt;"",IF(AND(B1534&gt;=_TM1,B1534&lt;=_TM2,OR(TH!L1534="1111",TH!M1534="1111")),TH!D1534,""),"")</f>
        <v/>
      </c>
      <c r="B1534" s="692">
        <f t="shared" si="72"/>
        <v>6</v>
      </c>
      <c r="C1534" s="791">
        <f t="shared" si="73"/>
        <v>41445</v>
      </c>
      <c r="D1534" s="791" t="s">
        <v>1261</v>
      </c>
      <c r="E1534" s="48">
        <v>41445</v>
      </c>
      <c r="F1534" s="49" t="s">
        <v>1106</v>
      </c>
      <c r="G1534" s="49" t="s">
        <v>825</v>
      </c>
      <c r="H1534" s="795" t="s">
        <v>1257</v>
      </c>
      <c r="I1534" s="248">
        <v>484</v>
      </c>
      <c r="J1534" s="248">
        <v>5258.2107438016528</v>
      </c>
      <c r="K1534" s="693">
        <f t="shared" si="74"/>
        <v>2544974</v>
      </c>
      <c r="L1534" s="52" t="s">
        <v>164</v>
      </c>
      <c r="M1534" s="849" t="s">
        <v>162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IF(OR(TH!L1534=TH!$U$7,M1534=TH!$U$7),"x","")</f>
        <v/>
      </c>
      <c r="V1534" s="52" t="str">
        <f>IF(AND(B1534&gt;='IN-NX'!$P$3,B1534&lt;='IN-NX'!$Q$3,'IN-NX'!$D$7=D1534,OR(LEFT(L1534,2)="15",AND(LEFT(M1534,2)&lt;&gt;"15",LEFT(M1534,2)&lt;&gt;"33"))),"x","")</f>
        <v/>
      </c>
      <c r="W1534" s="52" t="str">
        <f>IF(AND(OR(LEFT(TH!L1534,2)="15",LEFT(TH!M1534,2)="15"),'152-CT'!$J$8=TH!F1534),"x","")</f>
        <v/>
      </c>
      <c r="X1534" s="52" t="str">
        <f>IF(AND(OR(LEFT(TH!L1534,2)="15",LEFT(TH!M1534,2)="15"),TK!$E$7=TH!F1534),"x","")</f>
        <v/>
      </c>
      <c r="Y1534" s="52" t="str">
        <f>IF(AND(B1534&lt;=NKC!$N$8,B1534&gt;=NKC!$M$8),"x","")</f>
        <v/>
      </c>
    </row>
    <row r="1535" spans="1:25" s="767" customFormat="1" ht="15.75" customHeight="1">
      <c r="A1535" s="201" t="str">
        <f>IF(B1535&lt;&gt;"",IF(AND(B1535&gt;=_TM1,B1535&lt;=_TM2,OR(TH!L1535="1111",TH!M1535="1111")),TH!D1535,""),"")</f>
        <v/>
      </c>
      <c r="B1535" s="692">
        <f t="shared" si="72"/>
        <v>6</v>
      </c>
      <c r="C1535" s="791">
        <f t="shared" si="73"/>
        <v>41446</v>
      </c>
      <c r="D1535" s="791" t="s">
        <v>1261</v>
      </c>
      <c r="E1535" s="48">
        <v>41446</v>
      </c>
      <c r="F1535" s="49" t="s">
        <v>1108</v>
      </c>
      <c r="G1535" s="49" t="s">
        <v>826</v>
      </c>
      <c r="H1535" s="795" t="s">
        <v>1257</v>
      </c>
      <c r="I1535" s="248">
        <v>1030</v>
      </c>
      <c r="J1535" s="248">
        <v>4606.3776699029122</v>
      </c>
      <c r="K1535" s="693">
        <f t="shared" si="74"/>
        <v>4744569</v>
      </c>
      <c r="L1535" s="52" t="s">
        <v>164</v>
      </c>
      <c r="M1535" s="849" t="s">
        <v>162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IF(OR(TH!L1535=TH!$U$7,M1535=TH!$U$7),"x","")</f>
        <v/>
      </c>
      <c r="V1535" s="52" t="str">
        <f>IF(AND(B1535&gt;='IN-NX'!$P$3,B1535&lt;='IN-NX'!$Q$3,'IN-NX'!$D$7=D1535,OR(LEFT(L1535,2)="15",AND(LEFT(M1535,2)&lt;&gt;"15",LEFT(M1535,2)&lt;&gt;"33"))),"x","")</f>
        <v/>
      </c>
      <c r="W1535" s="52" t="str">
        <f>IF(AND(OR(LEFT(TH!L1535,2)="15",LEFT(TH!M1535,2)="15"),'152-CT'!$J$8=TH!F1535),"x","")</f>
        <v/>
      </c>
      <c r="X1535" s="52" t="str">
        <f>IF(AND(OR(LEFT(TH!L1535,2)="15",LEFT(TH!M1535,2)="15"),TK!$E$7=TH!F1535),"x","")</f>
        <v/>
      </c>
      <c r="Y1535" s="52" t="str">
        <f>IF(AND(B1535&lt;=NKC!$N$8,B1535&gt;=NKC!$M$8),"x","")</f>
        <v/>
      </c>
    </row>
    <row r="1536" spans="1:25" s="767" customFormat="1" ht="15.75" customHeight="1">
      <c r="A1536" s="201" t="str">
        <f>IF(B1536&lt;&gt;"",IF(AND(B1536&gt;=_TM1,B1536&lt;=_TM2,OR(TH!L1536="1111",TH!M1536="1111")),TH!D1536,""),"")</f>
        <v/>
      </c>
      <c r="B1536" s="692">
        <f t="shared" si="72"/>
        <v>6</v>
      </c>
      <c r="C1536" s="791">
        <f t="shared" si="73"/>
        <v>41451</v>
      </c>
      <c r="D1536" s="791" t="s">
        <v>1261</v>
      </c>
      <c r="E1536" s="48">
        <v>41451</v>
      </c>
      <c r="F1536" s="848" t="s">
        <v>805</v>
      </c>
      <c r="G1536" s="49" t="s">
        <v>827</v>
      </c>
      <c r="H1536" s="795" t="s">
        <v>1257</v>
      </c>
      <c r="I1536" s="248">
        <v>500</v>
      </c>
      <c r="J1536" s="248">
        <v>10718.236000000001</v>
      </c>
      <c r="K1536" s="693">
        <f t="shared" si="74"/>
        <v>5359118</v>
      </c>
      <c r="L1536" s="52" t="s">
        <v>164</v>
      </c>
      <c r="M1536" s="849" t="s">
        <v>162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IF(OR(TH!L1536=TH!$U$7,M1536=TH!$U$7),"x","")</f>
        <v/>
      </c>
      <c r="V1536" s="52" t="str">
        <f>IF(AND(B1536&gt;='IN-NX'!$P$3,B1536&lt;='IN-NX'!$Q$3,'IN-NX'!$D$7=D1536,OR(LEFT(L1536,2)="15",AND(LEFT(M1536,2)&lt;&gt;"15",LEFT(M1536,2)&lt;&gt;"33"))),"x","")</f>
        <v/>
      </c>
      <c r="W1536" s="52" t="str">
        <f>IF(AND(OR(LEFT(TH!L1536,2)="15",LEFT(TH!M1536,2)="15"),'152-CT'!$J$8=TH!F1536),"x","")</f>
        <v/>
      </c>
      <c r="X1536" s="52" t="str">
        <f>IF(AND(OR(LEFT(TH!L1536,2)="15",LEFT(TH!M1536,2)="15"),TK!$E$7=TH!F1536),"x","")</f>
        <v/>
      </c>
      <c r="Y1536" s="52" t="str">
        <f>IF(AND(B1536&lt;=NKC!$N$8,B1536&gt;=NKC!$M$8),"x","")</f>
        <v/>
      </c>
    </row>
    <row r="1537" spans="1:25" s="767" customFormat="1" ht="15.75" customHeight="1">
      <c r="A1537" s="201" t="str">
        <f>IF(B1537&lt;&gt;"",IF(AND(B1537&gt;=_TM1,B1537&lt;=_TM2,OR(TH!L1537="1111",TH!M1537="1111")),TH!D1537,""),"")</f>
        <v/>
      </c>
      <c r="B1537" s="692">
        <f t="shared" si="72"/>
        <v>6</v>
      </c>
      <c r="C1537" s="791">
        <f t="shared" si="73"/>
        <v>41451</v>
      </c>
      <c r="D1537" s="791" t="s">
        <v>1261</v>
      </c>
      <c r="E1537" s="791">
        <v>41451</v>
      </c>
      <c r="F1537" s="848" t="s">
        <v>828</v>
      </c>
      <c r="G1537" s="792" t="s">
        <v>829</v>
      </c>
      <c r="H1537" s="795" t="s">
        <v>1257</v>
      </c>
      <c r="I1537" s="248">
        <v>1480</v>
      </c>
      <c r="J1537" s="248">
        <v>19196.235810810809</v>
      </c>
      <c r="K1537" s="693">
        <f t="shared" si="74"/>
        <v>28410429</v>
      </c>
      <c r="L1537" s="52" t="s">
        <v>164</v>
      </c>
      <c r="M1537" s="849" t="s">
        <v>162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IF(OR(TH!L1537=TH!$U$7,M1537=TH!$U$7),"x","")</f>
        <v/>
      </c>
      <c r="V1537" s="52" t="str">
        <f>IF(AND(B1537&gt;='IN-NX'!$P$3,B1537&lt;='IN-NX'!$Q$3,'IN-NX'!$D$7=D1537,OR(LEFT(L1537,2)="15",AND(LEFT(M1537,2)&lt;&gt;"15",LEFT(M1537,2)&lt;&gt;"33"))),"x","")</f>
        <v/>
      </c>
      <c r="W1537" s="52" t="str">
        <f>IF(AND(OR(LEFT(TH!L1537,2)="15",LEFT(TH!M1537,2)="15"),'152-CT'!$J$8=TH!F1537),"x","")</f>
        <v/>
      </c>
      <c r="X1537" s="52" t="str">
        <f>IF(AND(OR(LEFT(TH!L1537,2)="15",LEFT(TH!M1537,2)="15"),TK!$E$7=TH!F1537),"x","")</f>
        <v/>
      </c>
      <c r="Y1537" s="52" t="str">
        <f>IF(AND(B1537&lt;=NKC!$N$8,B1537&gt;=NKC!$M$8),"x","")</f>
        <v/>
      </c>
    </row>
    <row r="1538" spans="1:25" s="767" customFormat="1" ht="15.75" customHeight="1">
      <c r="A1538" s="201" t="str">
        <f>IF(B1538&lt;&gt;"",IF(AND(B1538&gt;=_TM1,B1538&lt;=_TM2,OR(TH!L1538="1111",TH!M1538="1111")),TH!D1538,""),"")</f>
        <v/>
      </c>
      <c r="B1538" s="692">
        <f t="shared" si="72"/>
        <v>6</v>
      </c>
      <c r="C1538" s="791">
        <f t="shared" si="73"/>
        <v>41452</v>
      </c>
      <c r="D1538" s="791" t="s">
        <v>1261</v>
      </c>
      <c r="E1538" s="791">
        <v>41452</v>
      </c>
      <c r="F1538" s="848" t="s">
        <v>1103</v>
      </c>
      <c r="G1538" s="792" t="s">
        <v>830</v>
      </c>
      <c r="H1538" s="795" t="s">
        <v>1257</v>
      </c>
      <c r="I1538" s="248">
        <v>3077</v>
      </c>
      <c r="J1538" s="248">
        <v>5872.6035099122519</v>
      </c>
      <c r="K1538" s="693">
        <f t="shared" si="74"/>
        <v>18070001</v>
      </c>
      <c r="L1538" s="52" t="s">
        <v>164</v>
      </c>
      <c r="M1538" s="849" t="s">
        <v>162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IF(OR(TH!L1538=TH!$U$7,M1538=TH!$U$7),"x","")</f>
        <v/>
      </c>
      <c r="V1538" s="52" t="str">
        <f>IF(AND(B1538&gt;='IN-NX'!$P$3,B1538&lt;='IN-NX'!$Q$3,'IN-NX'!$D$7=D1538,OR(LEFT(L1538,2)="15",AND(LEFT(M1538,2)&lt;&gt;"15",LEFT(M1538,2)&lt;&gt;"33"))),"x","")</f>
        <v/>
      </c>
      <c r="W1538" s="52" t="str">
        <f>IF(AND(OR(LEFT(TH!L1538,2)="15",LEFT(TH!M1538,2)="15"),'152-CT'!$J$8=TH!F1538),"x","")</f>
        <v/>
      </c>
      <c r="X1538" s="52" t="str">
        <f>IF(AND(OR(LEFT(TH!L1538,2)="15",LEFT(TH!M1538,2)="15"),TK!$E$7=TH!F1538),"x","")</f>
        <v/>
      </c>
      <c r="Y1538" s="52" t="str">
        <f>IF(AND(B1538&lt;=NKC!$N$8,B1538&gt;=NKC!$M$8),"x","")</f>
        <v/>
      </c>
    </row>
    <row r="1539" spans="1:25" s="798" customFormat="1" ht="15.75" customHeight="1">
      <c r="A1539" s="201" t="str">
        <f>IF(B1539&lt;&gt;"",IF(AND(B1539&gt;=_TM1,B1539&lt;=_TM2,OR(TH!L1539="1111",TH!M1539="1111")),TH!D1539,""),"")</f>
        <v/>
      </c>
      <c r="B1539" s="796">
        <f t="shared" si="72"/>
        <v>7</v>
      </c>
      <c r="C1539" s="853">
        <f t="shared" si="73"/>
        <v>41460</v>
      </c>
      <c r="D1539" s="791" t="s">
        <v>1261</v>
      </c>
      <c r="E1539" s="853">
        <v>41460</v>
      </c>
      <c r="F1539" s="874" t="s">
        <v>1131</v>
      </c>
      <c r="G1539" s="875" t="s">
        <v>831</v>
      </c>
      <c r="H1539" s="856" t="s">
        <v>1257</v>
      </c>
      <c r="I1539" s="876">
        <v>527</v>
      </c>
      <c r="J1539" s="863">
        <v>6729.5487972496712</v>
      </c>
      <c r="K1539" s="793">
        <f t="shared" si="74"/>
        <v>3546472</v>
      </c>
      <c r="L1539" s="786" t="s">
        <v>164</v>
      </c>
      <c r="M1539" s="859" t="s">
        <v>162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IF(OR(TH!L1539=TH!$U$7,M1539=TH!$U$7),"x","")</f>
        <v/>
      </c>
      <c r="V1539" s="52" t="str">
        <f>IF(AND(B1539&gt;='IN-NX'!$P$3,B1539&lt;='IN-NX'!$Q$3,'IN-NX'!$D$7=D1539,OR(LEFT(L1539,2)="15",AND(LEFT(M1539,2)&lt;&gt;"15",LEFT(M1539,2)&lt;&gt;"33"))),"x","")</f>
        <v/>
      </c>
      <c r="W1539" s="52" t="str">
        <f>IF(AND(OR(LEFT(TH!L1539,2)="15",LEFT(TH!M1539,2)="15"),'152-CT'!$J$8=TH!F1539),"x","")</f>
        <v/>
      </c>
      <c r="X1539" s="52" t="str">
        <f>IF(AND(OR(LEFT(TH!L1539,2)="15",LEFT(TH!M1539,2)="15"),TK!$E$7=TH!F1539),"x","")</f>
        <v/>
      </c>
      <c r="Y1539" s="52" t="str">
        <f>IF(AND(B1539&lt;=NKC!$N$8,B1539&gt;=NKC!$M$8),"x","")</f>
        <v>x</v>
      </c>
    </row>
    <row r="1540" spans="1:25" s="767" customFormat="1" ht="15.75" customHeight="1">
      <c r="A1540" s="201" t="str">
        <f>IF(B1540&lt;&gt;"",IF(AND(B1540&gt;=_TM1,B1540&lt;=_TM2,OR(TH!L1540="1111",TH!M1540="1111")),TH!D1540,""),"")</f>
        <v/>
      </c>
      <c r="B1540" s="692">
        <f t="shared" si="72"/>
        <v>7</v>
      </c>
      <c r="C1540" s="791">
        <f t="shared" si="73"/>
        <v>41460</v>
      </c>
      <c r="D1540" s="791" t="s">
        <v>1261</v>
      </c>
      <c r="E1540" s="791">
        <v>41460</v>
      </c>
      <c r="F1540" s="848" t="s">
        <v>833</v>
      </c>
      <c r="G1540" s="871" t="s">
        <v>831</v>
      </c>
      <c r="H1540" s="795" t="s">
        <v>1257</v>
      </c>
      <c r="I1540" s="866">
        <v>506</v>
      </c>
      <c r="J1540" s="248">
        <v>6786.2365517853768</v>
      </c>
      <c r="K1540" s="693">
        <f t="shared" si="74"/>
        <v>3433836</v>
      </c>
      <c r="L1540" s="52" t="s">
        <v>164</v>
      </c>
      <c r="M1540" s="849" t="s">
        <v>162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IF(OR(TH!L1540=TH!$U$7,M1540=TH!$U$7),"x","")</f>
        <v/>
      </c>
      <c r="V1540" s="52" t="str">
        <f>IF(AND(B1540&gt;='IN-NX'!$P$3,B1540&lt;='IN-NX'!$Q$3,'IN-NX'!$D$7=D1540,OR(LEFT(L1540,2)="15",AND(LEFT(M1540,2)&lt;&gt;"15",LEFT(M1540,2)&lt;&gt;"33"))),"x","")</f>
        <v/>
      </c>
      <c r="W1540" s="52" t="str">
        <f>IF(AND(OR(LEFT(TH!L1540,2)="15",LEFT(TH!M1540,2)="15"),'152-CT'!$J$8=TH!F1540),"x","")</f>
        <v/>
      </c>
      <c r="X1540" s="52" t="str">
        <f>IF(AND(OR(LEFT(TH!L1540,2)="15",LEFT(TH!M1540,2)="15"),TK!$E$7=TH!F1540),"x","")</f>
        <v/>
      </c>
      <c r="Y1540" s="52" t="str">
        <f>IF(AND(B1540&lt;=NKC!$N$8,B1540&gt;=NKC!$M$8),"x","")</f>
        <v>x</v>
      </c>
    </row>
    <row r="1541" spans="1:25" s="767" customFormat="1" ht="15.75" customHeight="1">
      <c r="A1541" s="201" t="str">
        <f>IF(B1541&lt;&gt;"",IF(AND(B1541&gt;=_TM1,B1541&lt;=_TM2,OR(TH!L1541="1111",TH!M1541="1111")),TH!D1541,""),"")</f>
        <v/>
      </c>
      <c r="B1541" s="692">
        <f t="shared" si="72"/>
        <v>7</v>
      </c>
      <c r="C1541" s="791">
        <f t="shared" si="73"/>
        <v>41463</v>
      </c>
      <c r="D1541" s="791" t="s">
        <v>1261</v>
      </c>
      <c r="E1541" s="806">
        <v>41463</v>
      </c>
      <c r="F1541" s="49" t="s">
        <v>834</v>
      </c>
      <c r="G1541" s="49" t="s">
        <v>835</v>
      </c>
      <c r="H1541" s="795" t="s">
        <v>1257</v>
      </c>
      <c r="I1541" s="248">
        <v>144</v>
      </c>
      <c r="J1541" s="248">
        <v>20664.658735579844</v>
      </c>
      <c r="K1541" s="693">
        <f t="shared" si="74"/>
        <v>2975711</v>
      </c>
      <c r="L1541" s="52" t="s">
        <v>164</v>
      </c>
      <c r="M1541" s="849" t="s">
        <v>162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IF(OR(TH!L1541=TH!$U$7,M1541=TH!$U$7),"x","")</f>
        <v/>
      </c>
      <c r="V1541" s="52" t="str">
        <f>IF(AND(B1541&gt;='IN-NX'!$P$3,B1541&lt;='IN-NX'!$Q$3,'IN-NX'!$D$7=D1541,OR(LEFT(L1541,2)="15",AND(LEFT(M1541,2)&lt;&gt;"15",LEFT(M1541,2)&lt;&gt;"33"))),"x","")</f>
        <v/>
      </c>
      <c r="W1541" s="52" t="str">
        <f>IF(AND(OR(LEFT(TH!L1541,2)="15",LEFT(TH!M1541,2)="15"),'152-CT'!$J$8=TH!F1541),"x","")</f>
        <v/>
      </c>
      <c r="X1541" s="52" t="str">
        <f>IF(AND(OR(LEFT(TH!L1541,2)="15",LEFT(TH!M1541,2)="15"),TK!$E$7=TH!F1541),"x","")</f>
        <v/>
      </c>
      <c r="Y1541" s="52" t="str">
        <f>IF(AND(B1541&lt;=NKC!$N$8,B1541&gt;=NKC!$M$8),"x","")</f>
        <v>x</v>
      </c>
    </row>
    <row r="1542" spans="1:25" s="767" customFormat="1" ht="15.75" customHeight="1">
      <c r="A1542" s="201" t="str">
        <f>IF(B1542&lt;&gt;"",IF(AND(B1542&gt;=_TM1,B1542&lt;=_TM2,OR(TH!L1542="1111",TH!M1542="1111")),TH!D1542,""),"")</f>
        <v/>
      </c>
      <c r="B1542" s="692">
        <f t="shared" si="72"/>
        <v>7</v>
      </c>
      <c r="C1542" s="791">
        <f t="shared" si="73"/>
        <v>41463</v>
      </c>
      <c r="D1542" s="791" t="s">
        <v>1261</v>
      </c>
      <c r="E1542" s="806">
        <v>41463</v>
      </c>
      <c r="F1542" s="867" t="s">
        <v>836</v>
      </c>
      <c r="G1542" s="49" t="s">
        <v>835</v>
      </c>
      <c r="H1542" s="795" t="s">
        <v>1257</v>
      </c>
      <c r="I1542" s="248">
        <v>115</v>
      </c>
      <c r="J1542" s="248">
        <v>20664.657105145056</v>
      </c>
      <c r="K1542" s="693">
        <f t="shared" si="74"/>
        <v>2376436</v>
      </c>
      <c r="L1542" s="52" t="s">
        <v>164</v>
      </c>
      <c r="M1542" s="849" t="s">
        <v>162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IF(OR(TH!L1542=TH!$U$7,M1542=TH!$U$7),"x","")</f>
        <v/>
      </c>
      <c r="V1542" s="52" t="str">
        <f>IF(AND(B1542&gt;='IN-NX'!$P$3,B1542&lt;='IN-NX'!$Q$3,'IN-NX'!$D$7=D1542,OR(LEFT(L1542,2)="15",AND(LEFT(M1542,2)&lt;&gt;"15",LEFT(M1542,2)&lt;&gt;"33"))),"x","")</f>
        <v/>
      </c>
      <c r="W1542" s="52" t="str">
        <f>IF(AND(OR(LEFT(TH!L1542,2)="15",LEFT(TH!M1542,2)="15"),'152-CT'!$J$8=TH!F1542),"x","")</f>
        <v/>
      </c>
      <c r="X1542" s="52" t="str">
        <f>IF(AND(OR(LEFT(TH!L1542,2)="15",LEFT(TH!M1542,2)="15"),TK!$E$7=TH!F1542),"x","")</f>
        <v/>
      </c>
      <c r="Y1542" s="52" t="str">
        <f>IF(AND(B1542&lt;=NKC!$N$8,B1542&gt;=NKC!$M$8),"x","")</f>
        <v>x</v>
      </c>
    </row>
    <row r="1543" spans="1:25" s="767" customFormat="1" ht="15.75" customHeight="1">
      <c r="A1543" s="201" t="str">
        <f>IF(B1543&lt;&gt;"",IF(AND(B1543&gt;=_TM1,B1543&lt;=_TM2,OR(TH!L1543="1111",TH!M1543="1111")),TH!D1543,""),"")</f>
        <v/>
      </c>
      <c r="B1543" s="692">
        <f t="shared" si="72"/>
        <v>7</v>
      </c>
      <c r="C1543" s="791">
        <f t="shared" si="73"/>
        <v>41463</v>
      </c>
      <c r="D1543" s="791" t="s">
        <v>1261</v>
      </c>
      <c r="E1543" s="806">
        <v>41463</v>
      </c>
      <c r="F1543" s="867" t="s">
        <v>690</v>
      </c>
      <c r="G1543" s="49" t="s">
        <v>837</v>
      </c>
      <c r="H1543" s="795" t="s">
        <v>1257</v>
      </c>
      <c r="I1543" s="248">
        <v>592</v>
      </c>
      <c r="J1543" s="248">
        <v>5530.7786680122754</v>
      </c>
      <c r="K1543" s="693">
        <f t="shared" si="74"/>
        <v>3274221</v>
      </c>
      <c r="L1543" s="52" t="s">
        <v>164</v>
      </c>
      <c r="M1543" s="849" t="s">
        <v>162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IF(OR(TH!L1543=TH!$U$7,M1543=TH!$U$7),"x","")</f>
        <v/>
      </c>
      <c r="V1543" s="52" t="str">
        <f>IF(AND(B1543&gt;='IN-NX'!$P$3,B1543&lt;='IN-NX'!$Q$3,'IN-NX'!$D$7=D1543,OR(LEFT(L1543,2)="15",AND(LEFT(M1543,2)&lt;&gt;"15",LEFT(M1543,2)&lt;&gt;"33"))),"x","")</f>
        <v/>
      </c>
      <c r="W1543" s="52" t="str">
        <f>IF(AND(OR(LEFT(TH!L1543,2)="15",LEFT(TH!M1543,2)="15"),'152-CT'!$J$8=TH!F1543),"x","")</f>
        <v/>
      </c>
      <c r="X1543" s="52" t="str">
        <f>IF(AND(OR(LEFT(TH!L1543,2)="15",LEFT(TH!M1543,2)="15"),TK!$E$7=TH!F1543),"x","")</f>
        <v/>
      </c>
      <c r="Y1543" s="52" t="str">
        <f>IF(AND(B1543&lt;=NKC!$N$8,B1543&gt;=NKC!$M$8),"x","")</f>
        <v>x</v>
      </c>
    </row>
    <row r="1544" spans="1:25" s="767" customFormat="1" ht="15.75" customHeight="1">
      <c r="A1544" s="201" t="str">
        <f>IF(B1544&lt;&gt;"",IF(AND(B1544&gt;=_TM1,B1544&lt;=_TM2,OR(TH!L1544="1111",TH!M1544="1111")),TH!D1544,""),"")</f>
        <v/>
      </c>
      <c r="B1544" s="692">
        <f t="shared" si="72"/>
        <v>7</v>
      </c>
      <c r="C1544" s="791">
        <f t="shared" si="73"/>
        <v>41463</v>
      </c>
      <c r="D1544" s="791" t="s">
        <v>1261</v>
      </c>
      <c r="E1544" s="806">
        <v>41463</v>
      </c>
      <c r="F1544" s="867" t="s">
        <v>692</v>
      </c>
      <c r="G1544" s="49" t="s">
        <v>837</v>
      </c>
      <c r="H1544" s="795" t="s">
        <v>1257</v>
      </c>
      <c r="I1544" s="248">
        <v>609</v>
      </c>
      <c r="J1544" s="248">
        <v>4577.8868759739307</v>
      </c>
      <c r="K1544" s="693">
        <f t="shared" si="74"/>
        <v>2787933</v>
      </c>
      <c r="L1544" s="52" t="s">
        <v>164</v>
      </c>
      <c r="M1544" s="849" t="s">
        <v>162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IF(OR(TH!L1544=TH!$U$7,M1544=TH!$U$7),"x","")</f>
        <v/>
      </c>
      <c r="V1544" s="52" t="str">
        <f>IF(AND(B1544&gt;='IN-NX'!$P$3,B1544&lt;='IN-NX'!$Q$3,'IN-NX'!$D$7=D1544,OR(LEFT(L1544,2)="15",AND(LEFT(M1544,2)&lt;&gt;"15",LEFT(M1544,2)&lt;&gt;"33"))),"x","")</f>
        <v/>
      </c>
      <c r="W1544" s="52" t="str">
        <f>IF(AND(OR(LEFT(TH!L1544,2)="15",LEFT(TH!M1544,2)="15"),'152-CT'!$J$8=TH!F1544),"x","")</f>
        <v/>
      </c>
      <c r="X1544" s="52" t="str">
        <f>IF(AND(OR(LEFT(TH!L1544,2)="15",LEFT(TH!M1544,2)="15"),TK!$E$7=TH!F1544),"x","")</f>
        <v/>
      </c>
      <c r="Y1544" s="52" t="str">
        <f>IF(AND(B1544&lt;=NKC!$N$8,B1544&gt;=NKC!$M$8),"x","")</f>
        <v>x</v>
      </c>
    </row>
    <row r="1545" spans="1:25" s="767" customFormat="1" ht="15.75" customHeight="1">
      <c r="A1545" s="201" t="str">
        <f>IF(B1545&lt;&gt;"",IF(AND(B1545&gt;=_TM1,B1545&lt;=_TM2,OR(TH!L1545="1111",TH!M1545="1111")),TH!D1545,""),"")</f>
        <v/>
      </c>
      <c r="B1545" s="692">
        <f t="shared" si="72"/>
        <v>7</v>
      </c>
      <c r="C1545" s="791">
        <f t="shared" si="73"/>
        <v>41463</v>
      </c>
      <c r="D1545" s="791" t="s">
        <v>1261</v>
      </c>
      <c r="E1545" s="806">
        <v>41463</v>
      </c>
      <c r="F1545" s="867" t="s">
        <v>838</v>
      </c>
      <c r="G1545" s="49" t="s">
        <v>837</v>
      </c>
      <c r="H1545" s="795" t="s">
        <v>1257</v>
      </c>
      <c r="I1545" s="870">
        <v>813</v>
      </c>
      <c r="J1545" s="248">
        <v>8774.8914385318712</v>
      </c>
      <c r="K1545" s="693">
        <f t="shared" si="74"/>
        <v>7133987</v>
      </c>
      <c r="L1545" s="52" t="s">
        <v>164</v>
      </c>
      <c r="M1545" s="849" t="s">
        <v>162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IF(OR(TH!L1545=TH!$U$7,M1545=TH!$U$7),"x","")</f>
        <v/>
      </c>
      <c r="V1545" s="52" t="str">
        <f>IF(AND(B1545&gt;='IN-NX'!$P$3,B1545&lt;='IN-NX'!$Q$3,'IN-NX'!$D$7=D1545,OR(LEFT(L1545,2)="15",AND(LEFT(M1545,2)&lt;&gt;"15",LEFT(M1545,2)&lt;&gt;"33"))),"x","")</f>
        <v/>
      </c>
      <c r="W1545" s="52" t="str">
        <f>IF(AND(OR(LEFT(TH!L1545,2)="15",LEFT(TH!M1545,2)="15"),'152-CT'!$J$8=TH!F1545),"x","")</f>
        <v/>
      </c>
      <c r="X1545" s="52" t="str">
        <f>IF(AND(OR(LEFT(TH!L1545,2)="15",LEFT(TH!M1545,2)="15"),TK!$E$7=TH!F1545),"x","")</f>
        <v/>
      </c>
      <c r="Y1545" s="52" t="str">
        <f>IF(AND(B1545&lt;=NKC!$N$8,B1545&gt;=NKC!$M$8),"x","")</f>
        <v>x</v>
      </c>
    </row>
    <row r="1546" spans="1:25" s="767" customFormat="1" ht="15.75" customHeight="1">
      <c r="A1546" s="201" t="str">
        <f>IF(B1546&lt;&gt;"",IF(AND(B1546&gt;=_TM1,B1546&lt;=_TM2,OR(TH!L1546="1111",TH!M1546="1111")),TH!D1546,""),"")</f>
        <v/>
      </c>
      <c r="B1546" s="692">
        <f t="shared" si="72"/>
        <v>7</v>
      </c>
      <c r="C1546" s="791">
        <f t="shared" si="73"/>
        <v>41463</v>
      </c>
      <c r="D1546" s="791" t="s">
        <v>1261</v>
      </c>
      <c r="E1546" s="806">
        <v>41463</v>
      </c>
      <c r="F1546" s="794" t="s">
        <v>839</v>
      </c>
      <c r="G1546" s="49" t="s">
        <v>837</v>
      </c>
      <c r="H1546" s="795" t="s">
        <v>1257</v>
      </c>
      <c r="I1546" s="248">
        <v>656</v>
      </c>
      <c r="J1546" s="248">
        <v>7703.346235579841</v>
      </c>
      <c r="K1546" s="693">
        <f t="shared" si="74"/>
        <v>5053395</v>
      </c>
      <c r="L1546" s="52" t="s">
        <v>164</v>
      </c>
      <c r="M1546" s="849" t="s">
        <v>162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IF(OR(TH!L1546=TH!$U$7,M1546=TH!$U$7),"x","")</f>
        <v/>
      </c>
      <c r="V1546" s="52" t="str">
        <f>IF(AND(B1546&gt;='IN-NX'!$P$3,B1546&lt;='IN-NX'!$Q$3,'IN-NX'!$D$7=D1546,OR(LEFT(L1546,2)="15",AND(LEFT(M1546,2)&lt;&gt;"15",LEFT(M1546,2)&lt;&gt;"33"))),"x","")</f>
        <v/>
      </c>
      <c r="W1546" s="52" t="str">
        <f>IF(AND(OR(LEFT(TH!L1546,2)="15",LEFT(TH!M1546,2)="15"),'152-CT'!$J$8=TH!F1546),"x","")</f>
        <v/>
      </c>
      <c r="X1546" s="52" t="str">
        <f>IF(AND(OR(LEFT(TH!L1546,2)="15",LEFT(TH!M1546,2)="15"),TK!$E$7=TH!F1546),"x","")</f>
        <v/>
      </c>
      <c r="Y1546" s="52" t="str">
        <f>IF(AND(B1546&lt;=NKC!$N$8,B1546&gt;=NKC!$M$8),"x","")</f>
        <v>x</v>
      </c>
    </row>
    <row r="1547" spans="1:25" s="767" customFormat="1" ht="15.75" customHeight="1">
      <c r="A1547" s="201" t="str">
        <f>IF(B1547&lt;&gt;"",IF(AND(B1547&gt;=_TM1,B1547&lt;=_TM2,OR(TH!L1547="1111",TH!M1547="1111")),TH!D1547,""),"")</f>
        <v/>
      </c>
      <c r="B1547" s="692">
        <f t="shared" si="72"/>
        <v>7</v>
      </c>
      <c r="C1547" s="791">
        <f t="shared" si="73"/>
        <v>41475</v>
      </c>
      <c r="D1547" s="791" t="s">
        <v>1261</v>
      </c>
      <c r="E1547" s="806">
        <v>41475</v>
      </c>
      <c r="F1547" s="794" t="s">
        <v>698</v>
      </c>
      <c r="G1547" s="49" t="s">
        <v>840</v>
      </c>
      <c r="H1547" s="795" t="s">
        <v>1257</v>
      </c>
      <c r="I1547" s="248">
        <v>1027</v>
      </c>
      <c r="J1547" s="248">
        <v>8485.9565082185945</v>
      </c>
      <c r="K1547" s="693">
        <f t="shared" si="74"/>
        <v>8715077</v>
      </c>
      <c r="L1547" s="52" t="s">
        <v>164</v>
      </c>
      <c r="M1547" s="849" t="s">
        <v>162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IF(OR(TH!L1547=TH!$U$7,M1547=TH!$U$7),"x","")</f>
        <v/>
      </c>
      <c r="V1547" s="52" t="str">
        <f>IF(AND(B1547&gt;='IN-NX'!$P$3,B1547&lt;='IN-NX'!$Q$3,'IN-NX'!$D$7=D1547,OR(LEFT(L1547,2)="15",AND(LEFT(M1547,2)&lt;&gt;"15",LEFT(M1547,2)&lt;&gt;"33"))),"x","")</f>
        <v/>
      </c>
      <c r="W1547" s="52" t="str">
        <f>IF(AND(OR(LEFT(TH!L1547,2)="15",LEFT(TH!M1547,2)="15"),'152-CT'!$J$8=TH!F1547),"x","")</f>
        <v/>
      </c>
      <c r="X1547" s="52" t="str">
        <f>IF(AND(OR(LEFT(TH!L1547,2)="15",LEFT(TH!M1547,2)="15"),TK!$E$7=TH!F1547),"x","")</f>
        <v/>
      </c>
      <c r="Y1547" s="52" t="str">
        <f>IF(AND(B1547&lt;=NKC!$N$8,B1547&gt;=NKC!$M$8),"x","")</f>
        <v>x</v>
      </c>
    </row>
    <row r="1548" spans="1:25" s="767" customFormat="1" ht="15.75" customHeight="1">
      <c r="A1548" s="201" t="str">
        <f>IF(B1548&lt;&gt;"",IF(AND(B1548&gt;=_TM1,B1548&lt;=_TM2,OR(TH!L1548="1111",TH!M1548="1111")),TH!D1548,""),"")</f>
        <v/>
      </c>
      <c r="B1548" s="692">
        <f t="shared" si="72"/>
        <v>7</v>
      </c>
      <c r="C1548" s="791">
        <f t="shared" si="73"/>
        <v>41475</v>
      </c>
      <c r="D1548" s="791" t="s">
        <v>1261</v>
      </c>
      <c r="E1548" s="847">
        <v>41475</v>
      </c>
      <c r="F1548" s="867" t="s">
        <v>805</v>
      </c>
      <c r="G1548" s="868" t="s">
        <v>841</v>
      </c>
      <c r="H1548" s="795" t="s">
        <v>1257</v>
      </c>
      <c r="I1548" s="248">
        <v>749</v>
      </c>
      <c r="J1548" s="248">
        <v>9919.8165293048096</v>
      </c>
      <c r="K1548" s="693">
        <f t="shared" si="74"/>
        <v>7429943</v>
      </c>
      <c r="L1548" s="52" t="s">
        <v>164</v>
      </c>
      <c r="M1548" s="849" t="s">
        <v>162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IF(OR(TH!L1548=TH!$U$7,M1548=TH!$U$7),"x","")</f>
        <v/>
      </c>
      <c r="V1548" s="52" t="str">
        <f>IF(AND(B1548&gt;='IN-NX'!$P$3,B1548&lt;='IN-NX'!$Q$3,'IN-NX'!$D$7=D1548,OR(LEFT(L1548,2)="15",AND(LEFT(M1548,2)&lt;&gt;"15",LEFT(M1548,2)&lt;&gt;"33"))),"x","")</f>
        <v/>
      </c>
      <c r="W1548" s="52" t="str">
        <f>IF(AND(OR(LEFT(TH!L1548,2)="15",LEFT(TH!M1548,2)="15"),'152-CT'!$J$8=TH!F1548),"x","")</f>
        <v/>
      </c>
      <c r="X1548" s="52" t="str">
        <f>IF(AND(OR(LEFT(TH!L1548,2)="15",LEFT(TH!M1548,2)="15"),TK!$E$7=TH!F1548),"x","")</f>
        <v/>
      </c>
      <c r="Y1548" s="52" t="str">
        <f>IF(AND(B1548&lt;=NKC!$N$8,B1548&gt;=NKC!$M$8),"x","")</f>
        <v>x</v>
      </c>
    </row>
    <row r="1549" spans="1:25" s="767" customFormat="1" ht="15.75" customHeight="1">
      <c r="A1549" s="201" t="str">
        <f>IF(B1549&lt;&gt;"",IF(AND(B1549&gt;=_TM1,B1549&lt;=_TM2,OR(TH!L1549="1111",TH!M1549="1111")),TH!D1549,""),"")</f>
        <v/>
      </c>
      <c r="B1549" s="692">
        <f t="shared" si="72"/>
        <v>7</v>
      </c>
      <c r="C1549" s="791">
        <f t="shared" si="73"/>
        <v>41477</v>
      </c>
      <c r="D1549" s="791" t="s">
        <v>1261</v>
      </c>
      <c r="E1549" s="791">
        <v>41477</v>
      </c>
      <c r="F1549" s="848" t="s">
        <v>1122</v>
      </c>
      <c r="G1549" s="792" t="s">
        <v>842</v>
      </c>
      <c r="H1549" s="795" t="s">
        <v>1257</v>
      </c>
      <c r="I1549" s="248">
        <v>1527</v>
      </c>
      <c r="J1549" s="248">
        <v>4464.9053383958217</v>
      </c>
      <c r="K1549" s="693">
        <f t="shared" si="74"/>
        <v>6817910</v>
      </c>
      <c r="L1549" s="52" t="s">
        <v>164</v>
      </c>
      <c r="M1549" s="849" t="s">
        <v>162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IF(OR(TH!L1549=TH!$U$7,M1549=TH!$U$7),"x","")</f>
        <v/>
      </c>
      <c r="V1549" s="52" t="str">
        <f>IF(AND(B1549&gt;='IN-NX'!$P$3,B1549&lt;='IN-NX'!$Q$3,'IN-NX'!$D$7=D1549,OR(LEFT(L1549,2)="15",AND(LEFT(M1549,2)&lt;&gt;"15",LEFT(M1549,2)&lt;&gt;"33"))),"x","")</f>
        <v/>
      </c>
      <c r="W1549" s="52" t="str">
        <f>IF(AND(OR(LEFT(TH!L1549,2)="15",LEFT(TH!M1549,2)="15"),'152-CT'!$J$8=TH!F1549),"x","")</f>
        <v/>
      </c>
      <c r="X1549" s="52" t="str">
        <f>IF(AND(OR(LEFT(TH!L1549,2)="15",LEFT(TH!M1549,2)="15"),TK!$E$7=TH!F1549),"x","")</f>
        <v/>
      </c>
      <c r="Y1549" s="52" t="str">
        <f>IF(AND(B1549&lt;=NKC!$N$8,B1549&gt;=NKC!$M$8),"x","")</f>
        <v>x</v>
      </c>
    </row>
    <row r="1550" spans="1:25" s="767" customFormat="1" ht="15.75" customHeight="1">
      <c r="A1550" s="201" t="str">
        <f>IF(B1550&lt;&gt;"",IF(AND(B1550&gt;=_TM1,B1550&lt;=_TM2,OR(TH!L1550="1111",TH!M1550="1111")),TH!D1550,""),"")</f>
        <v/>
      </c>
      <c r="B1550" s="692">
        <f t="shared" si="72"/>
        <v>7</v>
      </c>
      <c r="C1550" s="791">
        <f t="shared" si="73"/>
        <v>41477</v>
      </c>
      <c r="D1550" s="791" t="s">
        <v>1261</v>
      </c>
      <c r="E1550" s="791">
        <v>41477</v>
      </c>
      <c r="F1550" s="848" t="s">
        <v>843</v>
      </c>
      <c r="G1550" s="792" t="s">
        <v>842</v>
      </c>
      <c r="H1550" s="795" t="s">
        <v>1257</v>
      </c>
      <c r="I1550" s="248">
        <v>996</v>
      </c>
      <c r="J1550" s="248">
        <v>10749.606275740483</v>
      </c>
      <c r="K1550" s="693">
        <f t="shared" si="74"/>
        <v>10706608</v>
      </c>
      <c r="L1550" s="52" t="s">
        <v>164</v>
      </c>
      <c r="M1550" s="849" t="s">
        <v>162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IF(OR(TH!L1550=TH!$U$7,M1550=TH!$U$7),"x","")</f>
        <v/>
      </c>
      <c r="V1550" s="52" t="str">
        <f>IF(AND(B1550&gt;='IN-NX'!$P$3,B1550&lt;='IN-NX'!$Q$3,'IN-NX'!$D$7=D1550,OR(LEFT(L1550,2)="15",AND(LEFT(M1550,2)&lt;&gt;"15",LEFT(M1550,2)&lt;&gt;"33"))),"x","")</f>
        <v/>
      </c>
      <c r="W1550" s="52" t="str">
        <f>IF(AND(OR(LEFT(TH!L1550,2)="15",LEFT(TH!M1550,2)="15"),'152-CT'!$J$8=TH!F1550),"x","")</f>
        <v/>
      </c>
      <c r="X1550" s="52" t="str">
        <f>IF(AND(OR(LEFT(TH!L1550,2)="15",LEFT(TH!M1550,2)="15"),TK!$E$7=TH!F1550),"x","")</f>
        <v/>
      </c>
      <c r="Y1550" s="52" t="str">
        <f>IF(AND(B1550&lt;=NKC!$N$8,B1550&gt;=NKC!$M$8),"x","")</f>
        <v>x</v>
      </c>
    </row>
    <row r="1551" spans="1:25" s="767" customFormat="1" ht="15.75" customHeight="1">
      <c r="A1551" s="201" t="str">
        <f>IF(B1551&lt;&gt;"",IF(AND(B1551&gt;=_TM1,B1551&lt;=_TM2,OR(TH!L1551="1111",TH!M1551="1111")),TH!D1551,""),"")</f>
        <v/>
      </c>
      <c r="B1551" s="692">
        <f t="shared" si="72"/>
        <v>7</v>
      </c>
      <c r="C1551" s="791">
        <f t="shared" si="73"/>
        <v>41477</v>
      </c>
      <c r="D1551" s="791" t="s">
        <v>1261</v>
      </c>
      <c r="E1551" s="791">
        <v>41477</v>
      </c>
      <c r="F1551" s="848" t="s">
        <v>844</v>
      </c>
      <c r="G1551" s="792" t="s">
        <v>845</v>
      </c>
      <c r="H1551" s="795" t="s">
        <v>1257</v>
      </c>
      <c r="I1551" s="866">
        <v>50</v>
      </c>
      <c r="J1551" s="866">
        <v>36988.59623557984</v>
      </c>
      <c r="K1551" s="693">
        <f t="shared" si="74"/>
        <v>1849430</v>
      </c>
      <c r="L1551" s="52" t="s">
        <v>164</v>
      </c>
      <c r="M1551" s="849" t="s">
        <v>162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IF(OR(TH!L1551=TH!$U$7,M1551=TH!$U$7),"x","")</f>
        <v/>
      </c>
      <c r="V1551" s="52" t="str">
        <f>IF(AND(B1551&gt;='IN-NX'!$P$3,B1551&lt;='IN-NX'!$Q$3,'IN-NX'!$D$7=D1551,OR(LEFT(L1551,2)="15",AND(LEFT(M1551,2)&lt;&gt;"15",LEFT(M1551,2)&lt;&gt;"33"))),"x","")</f>
        <v/>
      </c>
      <c r="W1551" s="52" t="str">
        <f>IF(AND(OR(LEFT(TH!L1551,2)="15",LEFT(TH!M1551,2)="15"),'152-CT'!$J$8=TH!F1551),"x","")</f>
        <v/>
      </c>
      <c r="X1551" s="52" t="str">
        <f>IF(AND(OR(LEFT(TH!L1551,2)="15",LEFT(TH!M1551,2)="15"),TK!$E$7=TH!F1551),"x","")</f>
        <v/>
      </c>
      <c r="Y1551" s="52" t="str">
        <f>IF(AND(B1551&lt;=NKC!$N$8,B1551&gt;=NKC!$M$8),"x","")</f>
        <v>x</v>
      </c>
    </row>
    <row r="1552" spans="1:25" s="767" customFormat="1" ht="15.75" customHeight="1">
      <c r="A1552" s="201" t="str">
        <f>IF(B1552&lt;&gt;"",IF(AND(B1552&gt;=_TM1,B1552&lt;=_TM2,OR(TH!L1552="1111",TH!M1552="1111")),TH!D1552,""),"")</f>
        <v/>
      </c>
      <c r="B1552" s="692">
        <f t="shared" si="72"/>
        <v>7</v>
      </c>
      <c r="C1552" s="791">
        <f t="shared" si="73"/>
        <v>41477</v>
      </c>
      <c r="D1552" s="791" t="s">
        <v>1261</v>
      </c>
      <c r="E1552" s="48">
        <v>41477</v>
      </c>
      <c r="F1552" s="49" t="s">
        <v>847</v>
      </c>
      <c r="G1552" s="49" t="s">
        <v>845</v>
      </c>
      <c r="H1552" s="795" t="s">
        <v>1257</v>
      </c>
      <c r="I1552" s="248">
        <v>50</v>
      </c>
      <c r="J1552" s="248">
        <v>40749.59623557984</v>
      </c>
      <c r="K1552" s="693">
        <f t="shared" si="74"/>
        <v>2037480</v>
      </c>
      <c r="L1552" s="52" t="s">
        <v>164</v>
      </c>
      <c r="M1552" s="849" t="s">
        <v>162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IF(OR(TH!L1552=TH!$U$7,M1552=TH!$U$7),"x","")</f>
        <v/>
      </c>
      <c r="V1552" s="52" t="str">
        <f>IF(AND(B1552&gt;='IN-NX'!$P$3,B1552&lt;='IN-NX'!$Q$3,'IN-NX'!$D$7=D1552,OR(LEFT(L1552,2)="15",AND(LEFT(M1552,2)&lt;&gt;"15",LEFT(M1552,2)&lt;&gt;"33"))),"x","")</f>
        <v/>
      </c>
      <c r="W1552" s="52" t="str">
        <f>IF(AND(OR(LEFT(TH!L1552,2)="15",LEFT(TH!M1552,2)="15"),'152-CT'!$J$8=TH!F1552),"x","")</f>
        <v/>
      </c>
      <c r="X1552" s="52" t="str">
        <f>IF(AND(OR(LEFT(TH!L1552,2)="15",LEFT(TH!M1552,2)="15"),TK!$E$7=TH!F1552),"x","")</f>
        <v/>
      </c>
      <c r="Y1552" s="52" t="str">
        <f>IF(AND(B1552&lt;=NKC!$N$8,B1552&gt;=NKC!$M$8),"x","")</f>
        <v>x</v>
      </c>
    </row>
    <row r="1553" spans="1:25" s="767" customFormat="1" ht="15.75" customHeight="1">
      <c r="A1553" s="201" t="str">
        <f>IF(B1553&lt;&gt;"",IF(AND(B1553&gt;=_TM1,B1553&lt;=_TM2,OR(TH!L1553="1111",TH!M1553="1111")),TH!D1553,""),"")</f>
        <v/>
      </c>
      <c r="B1553" s="692">
        <f t="shared" si="72"/>
        <v>7</v>
      </c>
      <c r="C1553" s="791">
        <f t="shared" si="73"/>
        <v>41477</v>
      </c>
      <c r="D1553" s="791" t="s">
        <v>1261</v>
      </c>
      <c r="E1553" s="48">
        <v>41477</v>
      </c>
      <c r="F1553" s="49" t="s">
        <v>848</v>
      </c>
      <c r="G1553" s="49" t="s">
        <v>845</v>
      </c>
      <c r="H1553" s="795" t="s">
        <v>1257</v>
      </c>
      <c r="I1553" s="248">
        <v>20</v>
      </c>
      <c r="J1553" s="248">
        <v>49462.096235579847</v>
      </c>
      <c r="K1553" s="693">
        <f t="shared" si="74"/>
        <v>989242</v>
      </c>
      <c r="L1553" s="52" t="s">
        <v>164</v>
      </c>
      <c r="M1553" s="849" t="s">
        <v>162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IF(OR(TH!L1553=TH!$U$7,M1553=TH!$U$7),"x","")</f>
        <v/>
      </c>
      <c r="V1553" s="52" t="str">
        <f>IF(AND(B1553&gt;='IN-NX'!$P$3,B1553&lt;='IN-NX'!$Q$3,'IN-NX'!$D$7=D1553,OR(LEFT(L1553,2)="15",AND(LEFT(M1553,2)&lt;&gt;"15",LEFT(M1553,2)&lt;&gt;"33"))),"x","")</f>
        <v/>
      </c>
      <c r="W1553" s="52" t="str">
        <f>IF(AND(OR(LEFT(TH!L1553,2)="15",LEFT(TH!M1553,2)="15"),'152-CT'!$J$8=TH!F1553),"x","")</f>
        <v/>
      </c>
      <c r="X1553" s="52" t="str">
        <f>IF(AND(OR(LEFT(TH!L1553,2)="15",LEFT(TH!M1553,2)="15"),TK!$E$7=TH!F1553),"x","")</f>
        <v/>
      </c>
      <c r="Y1553" s="52" t="str">
        <f>IF(AND(B1553&lt;=NKC!$N$8,B1553&gt;=NKC!$M$8),"x","")</f>
        <v>x</v>
      </c>
    </row>
    <row r="1554" spans="1:25" s="767" customFormat="1" ht="15.75" customHeight="1">
      <c r="A1554" s="201" t="str">
        <f>IF(B1554&lt;&gt;"",IF(AND(B1554&gt;=_TM1,B1554&lt;=_TM2,OR(TH!L1554="1111",TH!M1554="1111")),TH!D1554,""),"")</f>
        <v/>
      </c>
      <c r="B1554" s="692">
        <f t="shared" si="72"/>
        <v>7</v>
      </c>
      <c r="C1554" s="791">
        <f t="shared" si="73"/>
        <v>41477</v>
      </c>
      <c r="D1554" s="791" t="s">
        <v>1261</v>
      </c>
      <c r="E1554" s="791">
        <v>41477</v>
      </c>
      <c r="F1554" s="848" t="s">
        <v>849</v>
      </c>
      <c r="G1554" s="792" t="s">
        <v>845</v>
      </c>
      <c r="H1554" s="795" t="s">
        <v>1257</v>
      </c>
      <c r="I1554" s="248">
        <v>20</v>
      </c>
      <c r="J1554" s="248">
        <v>53358.696235579831</v>
      </c>
      <c r="K1554" s="693">
        <f t="shared" si="74"/>
        <v>1067174</v>
      </c>
      <c r="L1554" s="52" t="s">
        <v>164</v>
      </c>
      <c r="M1554" s="849" t="s">
        <v>162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IF(OR(TH!L1554=TH!$U$7,M1554=TH!$U$7),"x","")</f>
        <v/>
      </c>
      <c r="V1554" s="52" t="str">
        <f>IF(AND(B1554&gt;='IN-NX'!$P$3,B1554&lt;='IN-NX'!$Q$3,'IN-NX'!$D$7=D1554,OR(LEFT(L1554,2)="15",AND(LEFT(M1554,2)&lt;&gt;"15",LEFT(M1554,2)&lt;&gt;"33"))),"x","")</f>
        <v/>
      </c>
      <c r="W1554" s="52" t="str">
        <f>IF(AND(OR(LEFT(TH!L1554,2)="15",LEFT(TH!M1554,2)="15"),'152-CT'!$J$8=TH!F1554),"x","")</f>
        <v/>
      </c>
      <c r="X1554" s="52" t="str">
        <f>IF(AND(OR(LEFT(TH!L1554,2)="15",LEFT(TH!M1554,2)="15"),TK!$E$7=TH!F1554),"x","")</f>
        <v/>
      </c>
      <c r="Y1554" s="52" t="str">
        <f>IF(AND(B1554&lt;=NKC!$N$8,B1554&gt;=NKC!$M$8),"x","")</f>
        <v>x</v>
      </c>
    </row>
    <row r="1555" spans="1:25" s="767" customFormat="1" ht="15.75" customHeight="1">
      <c r="A1555" s="201" t="str">
        <f>IF(B1555&lt;&gt;"",IF(AND(B1555&gt;=_TM1,B1555&lt;=_TM2,OR(TH!L1555="1111",TH!M1555="1111")),TH!D1555,""),"")</f>
        <v/>
      </c>
      <c r="B1555" s="692">
        <f t="shared" si="72"/>
        <v>7</v>
      </c>
      <c r="C1555" s="791">
        <f t="shared" si="73"/>
        <v>41477</v>
      </c>
      <c r="D1555" s="791" t="s">
        <v>1261</v>
      </c>
      <c r="E1555" s="791">
        <v>41477</v>
      </c>
      <c r="F1555" s="848" t="s">
        <v>850</v>
      </c>
      <c r="G1555" s="792" t="s">
        <v>845</v>
      </c>
      <c r="H1555" s="795" t="s">
        <v>1257</v>
      </c>
      <c r="I1555" s="248">
        <v>20</v>
      </c>
      <c r="J1555" s="248">
        <v>55306.996235579834</v>
      </c>
      <c r="K1555" s="693">
        <f t="shared" si="74"/>
        <v>1106140</v>
      </c>
      <c r="L1555" s="52" t="s">
        <v>164</v>
      </c>
      <c r="M1555" s="849" t="s">
        <v>162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IF(OR(TH!L1555=TH!$U$7,M1555=TH!$U$7),"x","")</f>
        <v/>
      </c>
      <c r="V1555" s="52" t="str">
        <f>IF(AND(B1555&gt;='IN-NX'!$P$3,B1555&lt;='IN-NX'!$Q$3,'IN-NX'!$D$7=D1555,OR(LEFT(L1555,2)="15",AND(LEFT(M1555,2)&lt;&gt;"15",LEFT(M1555,2)&lt;&gt;"33"))),"x","")</f>
        <v/>
      </c>
      <c r="W1555" s="52" t="str">
        <f>IF(AND(OR(LEFT(TH!L1555,2)="15",LEFT(TH!M1555,2)="15"),'152-CT'!$J$8=TH!F1555),"x","")</f>
        <v/>
      </c>
      <c r="X1555" s="52" t="str">
        <f>IF(AND(OR(LEFT(TH!L1555,2)="15",LEFT(TH!M1555,2)="15"),TK!$E$7=TH!F1555),"x","")</f>
        <v/>
      </c>
      <c r="Y1555" s="52" t="str">
        <f>IF(AND(B1555&lt;=NKC!$N$8,B1555&gt;=NKC!$M$8),"x","")</f>
        <v>x</v>
      </c>
    </row>
    <row r="1556" spans="1:25" s="767" customFormat="1" ht="15.75" customHeight="1">
      <c r="A1556" s="201" t="str">
        <f>IF(B1556&lt;&gt;"",IF(AND(B1556&gt;=_TM1,B1556&lt;=_TM2,OR(TH!L1556="1111",TH!M1556="1111")),TH!D1556,""),"")</f>
        <v/>
      </c>
      <c r="B1556" s="692">
        <f t="shared" si="72"/>
        <v>7</v>
      </c>
      <c r="C1556" s="791">
        <f t="shared" si="73"/>
        <v>41477</v>
      </c>
      <c r="D1556" s="791" t="s">
        <v>1261</v>
      </c>
      <c r="E1556" s="791">
        <v>41477</v>
      </c>
      <c r="F1556" s="848" t="s">
        <v>851</v>
      </c>
      <c r="G1556" s="792" t="s">
        <v>845</v>
      </c>
      <c r="H1556" s="795" t="s">
        <v>1257</v>
      </c>
      <c r="I1556" s="248">
        <v>20</v>
      </c>
      <c r="J1556" s="248">
        <v>59203.596235579833</v>
      </c>
      <c r="K1556" s="693">
        <f t="shared" si="74"/>
        <v>1184072</v>
      </c>
      <c r="L1556" s="52" t="s">
        <v>164</v>
      </c>
      <c r="M1556" s="849" t="s">
        <v>162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IF(OR(TH!L1556=TH!$U$7,M1556=TH!$U$7),"x","")</f>
        <v/>
      </c>
      <c r="V1556" s="52" t="str">
        <f>IF(AND(B1556&gt;='IN-NX'!$P$3,B1556&lt;='IN-NX'!$Q$3,'IN-NX'!$D$7=D1556,OR(LEFT(L1556,2)="15",AND(LEFT(M1556,2)&lt;&gt;"15",LEFT(M1556,2)&lt;&gt;"33"))),"x","")</f>
        <v/>
      </c>
      <c r="W1556" s="52" t="str">
        <f>IF(AND(OR(LEFT(TH!L1556,2)="15",LEFT(TH!M1556,2)="15"),'152-CT'!$J$8=TH!F1556),"x","")</f>
        <v/>
      </c>
      <c r="X1556" s="52" t="str">
        <f>IF(AND(OR(LEFT(TH!L1556,2)="15",LEFT(TH!M1556,2)="15"),TK!$E$7=TH!F1556),"x","")</f>
        <v/>
      </c>
      <c r="Y1556" s="52" t="str">
        <f>IF(AND(B1556&lt;=NKC!$N$8,B1556&gt;=NKC!$M$8),"x","")</f>
        <v>x</v>
      </c>
    </row>
    <row r="1557" spans="1:25" s="767" customFormat="1" ht="15.75" customHeight="1">
      <c r="A1557" s="201" t="str">
        <f>IF(B1557&lt;&gt;"",IF(AND(B1557&gt;=_TM1,B1557&lt;=_TM2,OR(TH!L1557="1111",TH!M1557="1111")),TH!D1557,""),"")</f>
        <v/>
      </c>
      <c r="B1557" s="692">
        <f t="shared" si="72"/>
        <v>7</v>
      </c>
      <c r="C1557" s="791">
        <f t="shared" si="73"/>
        <v>41479</v>
      </c>
      <c r="D1557" s="791" t="s">
        <v>1261</v>
      </c>
      <c r="E1557" s="791">
        <v>41479</v>
      </c>
      <c r="F1557" s="848" t="s">
        <v>852</v>
      </c>
      <c r="G1557" s="792" t="s">
        <v>853</v>
      </c>
      <c r="H1557" s="795" t="s">
        <v>1257</v>
      </c>
      <c r="I1557" s="248">
        <v>259</v>
      </c>
      <c r="J1557" s="248">
        <v>7470.9282819118889</v>
      </c>
      <c r="K1557" s="693">
        <f t="shared" si="74"/>
        <v>1934970</v>
      </c>
      <c r="L1557" s="52" t="s">
        <v>164</v>
      </c>
      <c r="M1557" s="849" t="s">
        <v>162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IF(OR(TH!L1557=TH!$U$7,M1557=TH!$U$7),"x","")</f>
        <v/>
      </c>
      <c r="V1557" s="52" t="str">
        <f>IF(AND(B1557&gt;='IN-NX'!$P$3,B1557&lt;='IN-NX'!$Q$3,'IN-NX'!$D$7=D1557,OR(LEFT(L1557,2)="15",AND(LEFT(M1557,2)&lt;&gt;"15",LEFT(M1557,2)&lt;&gt;"33"))),"x","")</f>
        <v/>
      </c>
      <c r="W1557" s="52" t="str">
        <f>IF(AND(OR(LEFT(TH!L1557,2)="15",LEFT(TH!M1557,2)="15"),'152-CT'!$J$8=TH!F1557),"x","")</f>
        <v/>
      </c>
      <c r="X1557" s="52" t="str">
        <f>IF(AND(OR(LEFT(TH!L1557,2)="15",LEFT(TH!M1557,2)="15"),TK!$E$7=TH!F1557),"x","")</f>
        <v/>
      </c>
      <c r="Y1557" s="52" t="str">
        <f>IF(AND(B1557&lt;=NKC!$N$8,B1557&gt;=NKC!$M$8),"x","")</f>
        <v>x</v>
      </c>
    </row>
    <row r="1558" spans="1:25" s="767" customFormat="1" ht="15.75" customHeight="1">
      <c r="A1558" s="201" t="str">
        <f>IF(B1558&lt;&gt;"",IF(AND(B1558&gt;=_TM1,B1558&lt;=_TM2,OR(TH!L1558="1111",TH!M1558="1111")),TH!D1558,""),"")</f>
        <v/>
      </c>
      <c r="B1558" s="692">
        <f t="shared" ref="B1558:B1621" si="75">IF(C1558&lt;&gt;"",MONTH(C1558),"")</f>
        <v>7</v>
      </c>
      <c r="C1558" s="791">
        <f t="shared" si="73"/>
        <v>41479</v>
      </c>
      <c r="D1558" s="791" t="s">
        <v>1261</v>
      </c>
      <c r="E1558" s="791">
        <v>41479</v>
      </c>
      <c r="F1558" s="848" t="s">
        <v>810</v>
      </c>
      <c r="G1558" s="792" t="s">
        <v>853</v>
      </c>
      <c r="H1558" s="795" t="s">
        <v>1257</v>
      </c>
      <c r="I1558" s="248">
        <v>101</v>
      </c>
      <c r="J1558" s="248">
        <v>10078.596235579842</v>
      </c>
      <c r="K1558" s="693">
        <f t="shared" si="74"/>
        <v>1017938</v>
      </c>
      <c r="L1558" s="52" t="s">
        <v>164</v>
      </c>
      <c r="M1558" s="849" t="s">
        <v>162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IF(OR(TH!L1558=TH!$U$7,M1558=TH!$U$7),"x","")</f>
        <v/>
      </c>
      <c r="V1558" s="52" t="str">
        <f>IF(AND(B1558&gt;='IN-NX'!$P$3,B1558&lt;='IN-NX'!$Q$3,'IN-NX'!$D$7=D1558,OR(LEFT(L1558,2)="15",AND(LEFT(M1558,2)&lt;&gt;"15",LEFT(M1558,2)&lt;&gt;"33"))),"x","")</f>
        <v/>
      </c>
      <c r="W1558" s="52" t="str">
        <f>IF(AND(OR(LEFT(TH!L1558,2)="15",LEFT(TH!M1558,2)="15"),'152-CT'!$J$8=TH!F1558),"x","")</f>
        <v/>
      </c>
      <c r="X1558" s="52" t="str">
        <f>IF(AND(OR(LEFT(TH!L1558,2)="15",LEFT(TH!M1558,2)="15"),TK!$E$7=TH!F1558),"x","")</f>
        <v/>
      </c>
      <c r="Y1558" s="52" t="str">
        <f>IF(AND(B1558&lt;=NKC!$N$8,B1558&gt;=NKC!$M$8),"x","")</f>
        <v>x</v>
      </c>
    </row>
    <row r="1559" spans="1:25" s="767" customFormat="1" ht="15.75" customHeight="1">
      <c r="A1559" s="201" t="str">
        <f>IF(B1559&lt;&gt;"",IF(AND(B1559&gt;=_TM1,B1559&lt;=_TM2,OR(TH!L1559="1111",TH!M1559="1111")),TH!D1559,""),"")</f>
        <v/>
      </c>
      <c r="B1559" s="692">
        <f t="shared" si="75"/>
        <v>7</v>
      </c>
      <c r="C1559" s="791">
        <f t="shared" si="73"/>
        <v>41479</v>
      </c>
      <c r="D1559" s="791" t="s">
        <v>1261</v>
      </c>
      <c r="E1559" s="791">
        <v>41479</v>
      </c>
      <c r="F1559" s="848" t="s">
        <v>811</v>
      </c>
      <c r="G1559" s="792" t="s">
        <v>853</v>
      </c>
      <c r="H1559" s="795" t="s">
        <v>1257</v>
      </c>
      <c r="I1559" s="248">
        <v>98</v>
      </c>
      <c r="J1559" s="248">
        <v>9907.596235579842</v>
      </c>
      <c r="K1559" s="693">
        <f t="shared" si="74"/>
        <v>970944</v>
      </c>
      <c r="L1559" s="52" t="s">
        <v>164</v>
      </c>
      <c r="M1559" s="849" t="s">
        <v>162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IF(OR(TH!L1559=TH!$U$7,M1559=TH!$U$7),"x","")</f>
        <v/>
      </c>
      <c r="V1559" s="52" t="str">
        <f>IF(AND(B1559&gt;='IN-NX'!$P$3,B1559&lt;='IN-NX'!$Q$3,'IN-NX'!$D$7=D1559,OR(LEFT(L1559,2)="15",AND(LEFT(M1559,2)&lt;&gt;"15",LEFT(M1559,2)&lt;&gt;"33"))),"x","")</f>
        <v/>
      </c>
      <c r="W1559" s="52" t="str">
        <f>IF(AND(OR(LEFT(TH!L1559,2)="15",LEFT(TH!M1559,2)="15"),'152-CT'!$J$8=TH!F1559),"x","")</f>
        <v/>
      </c>
      <c r="X1559" s="52" t="str">
        <f>IF(AND(OR(LEFT(TH!L1559,2)="15",LEFT(TH!M1559,2)="15"),TK!$E$7=TH!F1559),"x","")</f>
        <v/>
      </c>
      <c r="Y1559" s="52" t="str">
        <f>IF(AND(B1559&lt;=NKC!$N$8,B1559&gt;=NKC!$M$8),"x","")</f>
        <v>x</v>
      </c>
    </row>
    <row r="1560" spans="1:25" s="767" customFormat="1" ht="15.75" customHeight="1">
      <c r="A1560" s="201" t="str">
        <f>IF(B1560&lt;&gt;"",IF(AND(B1560&gt;=_TM1,B1560&lt;=_TM2,OR(TH!L1560="1111",TH!M1560="1111")),TH!D1560,""),"")</f>
        <v/>
      </c>
      <c r="B1560" s="692">
        <f t="shared" si="75"/>
        <v>7</v>
      </c>
      <c r="C1560" s="791">
        <f t="shared" si="73"/>
        <v>41480</v>
      </c>
      <c r="D1560" s="791" t="s">
        <v>1261</v>
      </c>
      <c r="E1560" s="791">
        <v>41480</v>
      </c>
      <c r="F1560" s="848" t="s">
        <v>854</v>
      </c>
      <c r="G1560" s="792" t="s">
        <v>855</v>
      </c>
      <c r="H1560" s="795" t="s">
        <v>1257</v>
      </c>
      <c r="I1560" s="248">
        <v>200</v>
      </c>
      <c r="J1560" s="248">
        <v>6541.8462355798429</v>
      </c>
      <c r="K1560" s="693">
        <f t="shared" si="74"/>
        <v>1308369</v>
      </c>
      <c r="L1560" s="52" t="s">
        <v>164</v>
      </c>
      <c r="M1560" s="849" t="s">
        <v>162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IF(OR(TH!L1560=TH!$U$7,M1560=TH!$U$7),"x","")</f>
        <v/>
      </c>
      <c r="V1560" s="52" t="str">
        <f>IF(AND(B1560&gt;='IN-NX'!$P$3,B1560&lt;='IN-NX'!$Q$3,'IN-NX'!$D$7=D1560,OR(LEFT(L1560,2)="15",AND(LEFT(M1560,2)&lt;&gt;"15",LEFT(M1560,2)&lt;&gt;"33"))),"x","")</f>
        <v/>
      </c>
      <c r="W1560" s="52" t="str">
        <f>IF(AND(OR(LEFT(TH!L1560,2)="15",LEFT(TH!M1560,2)="15"),'152-CT'!$J$8=TH!F1560),"x","")</f>
        <v/>
      </c>
      <c r="X1560" s="52" t="str">
        <f>IF(AND(OR(LEFT(TH!L1560,2)="15",LEFT(TH!M1560,2)="15"),TK!$E$7=TH!F1560),"x","")</f>
        <v/>
      </c>
      <c r="Y1560" s="52" t="str">
        <f>IF(AND(B1560&lt;=NKC!$N$8,B1560&gt;=NKC!$M$8),"x","")</f>
        <v>x</v>
      </c>
    </row>
    <row r="1561" spans="1:25" s="767" customFormat="1" ht="15.75" customHeight="1">
      <c r="A1561" s="201" t="str">
        <f>IF(B1561&lt;&gt;"",IF(AND(B1561&gt;=_TM1,B1561&lt;=_TM2,OR(TH!L1561="1111",TH!M1561="1111")),TH!D1561,""),"")</f>
        <v/>
      </c>
      <c r="B1561" s="692">
        <f t="shared" si="75"/>
        <v>7</v>
      </c>
      <c r="C1561" s="791">
        <f t="shared" si="73"/>
        <v>41480</v>
      </c>
      <c r="D1561" s="791" t="s">
        <v>1261</v>
      </c>
      <c r="E1561" s="791">
        <v>41480</v>
      </c>
      <c r="F1561" s="848" t="s">
        <v>1087</v>
      </c>
      <c r="G1561" s="792" t="s">
        <v>855</v>
      </c>
      <c r="H1561" s="795" t="s">
        <v>1257</v>
      </c>
      <c r="I1561" s="248">
        <v>496</v>
      </c>
      <c r="J1561" s="248">
        <v>7726.3704291282302</v>
      </c>
      <c r="K1561" s="693">
        <f t="shared" si="74"/>
        <v>3832280</v>
      </c>
      <c r="L1561" s="52" t="s">
        <v>164</v>
      </c>
      <c r="M1561" s="849" t="s">
        <v>162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IF(OR(TH!L1561=TH!$U$7,M1561=TH!$U$7),"x","")</f>
        <v/>
      </c>
      <c r="V1561" s="52" t="str">
        <f>IF(AND(B1561&gt;='IN-NX'!$P$3,B1561&lt;='IN-NX'!$Q$3,'IN-NX'!$D$7=D1561,OR(LEFT(L1561,2)="15",AND(LEFT(M1561,2)&lt;&gt;"15",LEFT(M1561,2)&lt;&gt;"33"))),"x","")</f>
        <v/>
      </c>
      <c r="W1561" s="52" t="str">
        <f>IF(AND(OR(LEFT(TH!L1561,2)="15",LEFT(TH!M1561,2)="15"),'152-CT'!$J$8=TH!F1561),"x","")</f>
        <v/>
      </c>
      <c r="X1561" s="52" t="str">
        <f>IF(AND(OR(LEFT(TH!L1561,2)="15",LEFT(TH!M1561,2)="15"),TK!$E$7=TH!F1561),"x","")</f>
        <v/>
      </c>
      <c r="Y1561" s="52" t="str">
        <f>IF(AND(B1561&lt;=NKC!$N$8,B1561&gt;=NKC!$M$8),"x","")</f>
        <v>x</v>
      </c>
    </row>
    <row r="1562" spans="1:25" s="767" customFormat="1" ht="15.75" customHeight="1">
      <c r="A1562" s="201" t="str">
        <f>IF(B1562&lt;&gt;"",IF(AND(B1562&gt;=_TM1,B1562&lt;=_TM2,OR(TH!L1562="1111",TH!M1562="1111")),TH!D1562,""),"")</f>
        <v/>
      </c>
      <c r="B1562" s="692">
        <f t="shared" si="75"/>
        <v>7</v>
      </c>
      <c r="C1562" s="791">
        <f t="shared" si="73"/>
        <v>41480</v>
      </c>
      <c r="D1562" s="791" t="s">
        <v>1261</v>
      </c>
      <c r="E1562" s="791">
        <v>41480</v>
      </c>
      <c r="F1562" s="848" t="s">
        <v>1131</v>
      </c>
      <c r="G1562" s="792" t="s">
        <v>855</v>
      </c>
      <c r="H1562" s="795" t="s">
        <v>1257</v>
      </c>
      <c r="I1562" s="248">
        <v>505</v>
      </c>
      <c r="J1562" s="248">
        <v>6989.8437603323173</v>
      </c>
      <c r="K1562" s="693">
        <f t="shared" si="74"/>
        <v>3529871</v>
      </c>
      <c r="L1562" s="52" t="s">
        <v>164</v>
      </c>
      <c r="M1562" s="849" t="s">
        <v>162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IF(OR(TH!L1562=TH!$U$7,M1562=TH!$U$7),"x","")</f>
        <v/>
      </c>
      <c r="V1562" s="52" t="str">
        <f>IF(AND(B1562&gt;='IN-NX'!$P$3,B1562&lt;='IN-NX'!$Q$3,'IN-NX'!$D$7=D1562,OR(LEFT(L1562,2)="15",AND(LEFT(M1562,2)&lt;&gt;"15",LEFT(M1562,2)&lt;&gt;"33"))),"x","")</f>
        <v/>
      </c>
      <c r="W1562" s="52" t="str">
        <f>IF(AND(OR(LEFT(TH!L1562,2)="15",LEFT(TH!M1562,2)="15"),'152-CT'!$J$8=TH!F1562),"x","")</f>
        <v/>
      </c>
      <c r="X1562" s="52" t="str">
        <f>IF(AND(OR(LEFT(TH!L1562,2)="15",LEFT(TH!M1562,2)="15"),TK!$E$7=TH!F1562),"x","")</f>
        <v/>
      </c>
      <c r="Y1562" s="52" t="str">
        <f>IF(AND(B1562&lt;=NKC!$N$8,B1562&gt;=NKC!$M$8),"x","")</f>
        <v>x</v>
      </c>
    </row>
    <row r="1563" spans="1:25" s="767" customFormat="1" ht="15.75" customHeight="1">
      <c r="A1563" s="201" t="str">
        <f>IF(B1563&lt;&gt;"",IF(AND(B1563&gt;=_TM1,B1563&lt;=_TM2,OR(TH!L1563="1111",TH!M1563="1111")),TH!D1563,""),"")</f>
        <v/>
      </c>
      <c r="B1563" s="692">
        <f t="shared" si="75"/>
        <v>7</v>
      </c>
      <c r="C1563" s="791">
        <f t="shared" si="73"/>
        <v>41480</v>
      </c>
      <c r="D1563" s="791" t="s">
        <v>1261</v>
      </c>
      <c r="E1563" s="791">
        <v>41480</v>
      </c>
      <c r="F1563" s="848" t="s">
        <v>856</v>
      </c>
      <c r="G1563" s="792" t="s">
        <v>855</v>
      </c>
      <c r="H1563" s="795" t="s">
        <v>1257</v>
      </c>
      <c r="I1563" s="248">
        <v>1000</v>
      </c>
      <c r="J1563" s="248">
        <v>6615.596235579842</v>
      </c>
      <c r="K1563" s="693">
        <f t="shared" si="74"/>
        <v>6615596</v>
      </c>
      <c r="L1563" s="52" t="s">
        <v>164</v>
      </c>
      <c r="M1563" s="849" t="s">
        <v>162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IF(OR(TH!L1563=TH!$U$7,M1563=TH!$U$7),"x","")</f>
        <v/>
      </c>
      <c r="V1563" s="52" t="str">
        <f>IF(AND(B1563&gt;='IN-NX'!$P$3,B1563&lt;='IN-NX'!$Q$3,'IN-NX'!$D$7=D1563,OR(LEFT(L1563,2)="15",AND(LEFT(M1563,2)&lt;&gt;"15",LEFT(M1563,2)&lt;&gt;"33"))),"x","")</f>
        <v/>
      </c>
      <c r="W1563" s="52" t="str">
        <f>IF(AND(OR(LEFT(TH!L1563,2)="15",LEFT(TH!M1563,2)="15"),'152-CT'!$J$8=TH!F1563),"x","")</f>
        <v/>
      </c>
      <c r="X1563" s="52" t="str">
        <f>IF(AND(OR(LEFT(TH!L1563,2)="15",LEFT(TH!M1563,2)="15"),TK!$E$7=TH!F1563),"x","")</f>
        <v/>
      </c>
      <c r="Y1563" s="52" t="str">
        <f>IF(AND(B1563&lt;=NKC!$N$8,B1563&gt;=NKC!$M$8),"x","")</f>
        <v>x</v>
      </c>
    </row>
    <row r="1564" spans="1:25" s="767" customFormat="1" ht="15.75" customHeight="1">
      <c r="A1564" s="201" t="str">
        <f>IF(B1564&lt;&gt;"",IF(AND(B1564&gt;=_TM1,B1564&lt;=_TM2,OR(TH!L1564="1111",TH!M1564="1111")),TH!D1564,""),"")</f>
        <v/>
      </c>
      <c r="B1564" s="692">
        <f t="shared" si="75"/>
        <v>7</v>
      </c>
      <c r="C1564" s="791">
        <f t="shared" si="73"/>
        <v>41481</v>
      </c>
      <c r="D1564" s="791" t="s">
        <v>1261</v>
      </c>
      <c r="E1564" s="791">
        <v>41481</v>
      </c>
      <c r="F1564" s="848" t="s">
        <v>1103</v>
      </c>
      <c r="G1564" s="792" t="s">
        <v>857</v>
      </c>
      <c r="H1564" s="795" t="s">
        <v>1257</v>
      </c>
      <c r="I1564" s="866">
        <v>3000</v>
      </c>
      <c r="J1564" s="866">
        <v>6119.7605689131751</v>
      </c>
      <c r="K1564" s="693">
        <f t="shared" si="74"/>
        <v>18359282</v>
      </c>
      <c r="L1564" s="52" t="s">
        <v>164</v>
      </c>
      <c r="M1564" s="849" t="s">
        <v>162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IF(OR(TH!L1564=TH!$U$7,M1564=TH!$U$7),"x","")</f>
        <v/>
      </c>
      <c r="V1564" s="52" t="str">
        <f>IF(AND(B1564&gt;='IN-NX'!$P$3,B1564&lt;='IN-NX'!$Q$3,'IN-NX'!$D$7=D1564,OR(LEFT(L1564,2)="15",AND(LEFT(M1564,2)&lt;&gt;"15",LEFT(M1564,2)&lt;&gt;"33"))),"x","")</f>
        <v/>
      </c>
      <c r="W1564" s="52" t="str">
        <f>IF(AND(OR(LEFT(TH!L1564,2)="15",LEFT(TH!M1564,2)="15"),'152-CT'!$J$8=TH!F1564),"x","")</f>
        <v/>
      </c>
      <c r="X1564" s="52" t="str">
        <f>IF(AND(OR(LEFT(TH!L1564,2)="15",LEFT(TH!M1564,2)="15"),TK!$E$7=TH!F1564),"x","")</f>
        <v/>
      </c>
      <c r="Y1564" s="52" t="str">
        <f>IF(AND(B1564&lt;=NKC!$N$8,B1564&gt;=NKC!$M$8),"x","")</f>
        <v>x</v>
      </c>
    </row>
    <row r="1565" spans="1:25" s="767" customFormat="1" ht="15.75" customHeight="1">
      <c r="A1565" s="201" t="str">
        <f>IF(B1565&lt;&gt;"",IF(AND(B1565&gt;=_TM1,B1565&lt;=_TM2,OR(TH!L1565="1111",TH!M1565="1111")),TH!D1565,""),"")</f>
        <v/>
      </c>
      <c r="B1565" s="692">
        <f t="shared" si="75"/>
        <v>7</v>
      </c>
      <c r="C1565" s="791">
        <f t="shared" si="73"/>
        <v>41484</v>
      </c>
      <c r="D1565" s="791" t="s">
        <v>1261</v>
      </c>
      <c r="E1565" s="791">
        <v>41484</v>
      </c>
      <c r="F1565" s="848" t="s">
        <v>805</v>
      </c>
      <c r="G1565" s="792" t="s">
        <v>858</v>
      </c>
      <c r="H1565" s="795" t="s">
        <v>1257</v>
      </c>
      <c r="I1565" s="248">
        <v>500</v>
      </c>
      <c r="J1565" s="248">
        <v>9217.0142355798434</v>
      </c>
      <c r="K1565" s="693">
        <f t="shared" si="74"/>
        <v>4608507</v>
      </c>
      <c r="L1565" s="52" t="s">
        <v>164</v>
      </c>
      <c r="M1565" s="849" t="s">
        <v>162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IF(OR(TH!L1565=TH!$U$7,M1565=TH!$U$7),"x","")</f>
        <v/>
      </c>
      <c r="V1565" s="52" t="str">
        <f>IF(AND(B1565&gt;='IN-NX'!$P$3,B1565&lt;='IN-NX'!$Q$3,'IN-NX'!$D$7=D1565,OR(LEFT(L1565,2)="15",AND(LEFT(M1565,2)&lt;&gt;"15",LEFT(M1565,2)&lt;&gt;"33"))),"x","")</f>
        <v/>
      </c>
      <c r="W1565" s="52" t="str">
        <f>IF(AND(OR(LEFT(TH!L1565,2)="15",LEFT(TH!M1565,2)="15"),'152-CT'!$J$8=TH!F1565),"x","")</f>
        <v/>
      </c>
      <c r="X1565" s="52" t="str">
        <f>IF(AND(OR(LEFT(TH!L1565,2)="15",LEFT(TH!M1565,2)="15"),TK!$E$7=TH!F1565),"x","")</f>
        <v/>
      </c>
      <c r="Y1565" s="52" t="str">
        <f>IF(AND(B1565&lt;=NKC!$N$8,B1565&gt;=NKC!$M$8),"x","")</f>
        <v>x</v>
      </c>
    </row>
    <row r="1566" spans="1:25" s="767" customFormat="1" ht="15.75" customHeight="1">
      <c r="A1566" s="201" t="str">
        <f>IF(B1566&lt;&gt;"",IF(AND(B1566&gt;=_TM1,B1566&lt;=_TM2,OR(TH!L1566="1111",TH!M1566="1111")),TH!D1566,""),"")</f>
        <v/>
      </c>
      <c r="B1566" s="692">
        <f t="shared" si="75"/>
        <v>8</v>
      </c>
      <c r="C1566" s="791">
        <f t="shared" si="73"/>
        <v>41487</v>
      </c>
      <c r="D1566" s="791" t="s">
        <v>1261</v>
      </c>
      <c r="E1566" s="791">
        <v>41487</v>
      </c>
      <c r="F1566" s="848" t="s">
        <v>1111</v>
      </c>
      <c r="G1566" s="792" t="s">
        <v>859</v>
      </c>
      <c r="H1566" s="795" t="s">
        <v>1257</v>
      </c>
      <c r="I1566" s="248">
        <v>99</v>
      </c>
      <c r="J1566" s="248">
        <v>12653.586134569741</v>
      </c>
      <c r="K1566" s="693">
        <f t="shared" si="74"/>
        <v>1252705</v>
      </c>
      <c r="L1566" s="52" t="s">
        <v>164</v>
      </c>
      <c r="M1566" s="849" t="s">
        <v>162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IF(OR(TH!L1566=TH!$U$7,M1566=TH!$U$7),"x","")</f>
        <v/>
      </c>
      <c r="V1566" s="52" t="str">
        <f>IF(AND(B1566&gt;='IN-NX'!$P$3,B1566&lt;='IN-NX'!$Q$3,'IN-NX'!$D$7=D1566,OR(LEFT(L1566,2)="15",AND(LEFT(M1566,2)&lt;&gt;"15",LEFT(M1566,2)&lt;&gt;"33"))),"x","")</f>
        <v/>
      </c>
      <c r="W1566" s="52" t="str">
        <f>IF(AND(OR(LEFT(TH!L1566,2)="15",LEFT(TH!M1566,2)="15"),'152-CT'!$J$8=TH!F1566),"x","")</f>
        <v/>
      </c>
      <c r="X1566" s="52" t="str">
        <f>IF(AND(OR(LEFT(TH!L1566,2)="15",LEFT(TH!M1566,2)="15"),TK!$E$7=TH!F1566),"x","")</f>
        <v/>
      </c>
      <c r="Y1566" s="52" t="str">
        <f>IF(AND(B1566&lt;=NKC!$N$8,B1566&gt;=NKC!$M$8),"x","")</f>
        <v>x</v>
      </c>
    </row>
    <row r="1567" spans="1:25" s="767" customFormat="1" ht="15.75" customHeight="1">
      <c r="A1567" s="201" t="str">
        <f>IF(B1567&lt;&gt;"",IF(AND(B1567&gt;=_TM1,B1567&lt;=_TM2,OR(TH!L1567="1111",TH!M1567="1111")),TH!D1567,""),"")</f>
        <v/>
      </c>
      <c r="B1567" s="692">
        <f t="shared" si="75"/>
        <v>8</v>
      </c>
      <c r="C1567" s="791">
        <f t="shared" si="73"/>
        <v>41487</v>
      </c>
      <c r="D1567" s="791" t="s">
        <v>1261</v>
      </c>
      <c r="E1567" s="791">
        <v>41487</v>
      </c>
      <c r="F1567" s="848" t="s">
        <v>834</v>
      </c>
      <c r="G1567" s="792" t="s">
        <v>860</v>
      </c>
      <c r="H1567" s="795" t="s">
        <v>1257</v>
      </c>
      <c r="I1567" s="866">
        <v>200</v>
      </c>
      <c r="J1567" s="866">
        <v>20664.656235579845</v>
      </c>
      <c r="K1567" s="693">
        <f t="shared" si="74"/>
        <v>4132931</v>
      </c>
      <c r="L1567" s="52" t="s">
        <v>164</v>
      </c>
      <c r="M1567" s="849" t="s">
        <v>162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IF(OR(TH!L1567=TH!$U$7,M1567=TH!$U$7),"x","")</f>
        <v/>
      </c>
      <c r="V1567" s="52" t="str">
        <f>IF(AND(B1567&gt;='IN-NX'!$P$3,B1567&lt;='IN-NX'!$Q$3,'IN-NX'!$D$7=D1567,OR(LEFT(L1567,2)="15",AND(LEFT(M1567,2)&lt;&gt;"15",LEFT(M1567,2)&lt;&gt;"33"))),"x","")</f>
        <v/>
      </c>
      <c r="W1567" s="52" t="str">
        <f>IF(AND(OR(LEFT(TH!L1567,2)="15",LEFT(TH!M1567,2)="15"),'152-CT'!$J$8=TH!F1567),"x","")</f>
        <v/>
      </c>
      <c r="X1567" s="52" t="str">
        <f>IF(AND(OR(LEFT(TH!L1567,2)="15",LEFT(TH!M1567,2)="15"),TK!$E$7=TH!F1567),"x","")</f>
        <v/>
      </c>
      <c r="Y1567" s="52" t="str">
        <f>IF(AND(B1567&lt;=NKC!$N$8,B1567&gt;=NKC!$M$8),"x","")</f>
        <v>x</v>
      </c>
    </row>
    <row r="1568" spans="1:25" s="767" customFormat="1" ht="15.75" customHeight="1">
      <c r="A1568" s="201" t="str">
        <f>IF(B1568&lt;&gt;"",IF(AND(B1568&gt;=_TM1,B1568&lt;=_TM2,OR(TH!L1568="1111",TH!M1568="1111")),TH!D1568,""),"")</f>
        <v/>
      </c>
      <c r="B1568" s="692">
        <f t="shared" si="75"/>
        <v>8</v>
      </c>
      <c r="C1568" s="791">
        <f t="shared" si="73"/>
        <v>41488</v>
      </c>
      <c r="D1568" s="791" t="s">
        <v>1261</v>
      </c>
      <c r="E1568" s="791">
        <v>41488</v>
      </c>
      <c r="F1568" s="848" t="s">
        <v>854</v>
      </c>
      <c r="G1568" s="792" t="s">
        <v>861</v>
      </c>
      <c r="H1568" s="795" t="s">
        <v>1257</v>
      </c>
      <c r="I1568" s="248">
        <v>510</v>
      </c>
      <c r="J1568" s="248">
        <v>7971.0668238151375</v>
      </c>
      <c r="K1568" s="693">
        <f t="shared" si="74"/>
        <v>4065244</v>
      </c>
      <c r="L1568" s="52" t="s">
        <v>164</v>
      </c>
      <c r="M1568" s="849" t="s">
        <v>162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IF(OR(TH!L1568=TH!$U$7,M1568=TH!$U$7),"x","")</f>
        <v/>
      </c>
      <c r="V1568" s="52" t="str">
        <f>IF(AND(B1568&gt;='IN-NX'!$P$3,B1568&lt;='IN-NX'!$Q$3,'IN-NX'!$D$7=D1568,OR(LEFT(L1568,2)="15",AND(LEFT(M1568,2)&lt;&gt;"15",LEFT(M1568,2)&lt;&gt;"33"))),"x","")</f>
        <v/>
      </c>
      <c r="W1568" s="52" t="str">
        <f>IF(AND(OR(LEFT(TH!L1568,2)="15",LEFT(TH!M1568,2)="15"),'152-CT'!$J$8=TH!F1568),"x","")</f>
        <v/>
      </c>
      <c r="X1568" s="52" t="str">
        <f>IF(AND(OR(LEFT(TH!L1568,2)="15",LEFT(TH!M1568,2)="15"),TK!$E$7=TH!F1568),"x","")</f>
        <v/>
      </c>
      <c r="Y1568" s="52" t="str">
        <f>IF(AND(B1568&lt;=NKC!$N$8,B1568&gt;=NKC!$M$8),"x","")</f>
        <v>x</v>
      </c>
    </row>
    <row r="1569" spans="1:25" s="767" customFormat="1" ht="15.75" customHeight="1">
      <c r="A1569" s="201" t="str">
        <f>IF(B1569&lt;&gt;"",IF(AND(B1569&gt;=_TM1,B1569&lt;=_TM2,OR(TH!L1569="1111",TH!M1569="1111")),TH!D1569,""),"")</f>
        <v/>
      </c>
      <c r="B1569" s="692">
        <f t="shared" si="75"/>
        <v>8</v>
      </c>
      <c r="C1569" s="791">
        <f t="shared" si="73"/>
        <v>41488</v>
      </c>
      <c r="D1569" s="791" t="s">
        <v>1261</v>
      </c>
      <c r="E1569" s="791">
        <v>41488</v>
      </c>
      <c r="F1569" s="848" t="s">
        <v>1115</v>
      </c>
      <c r="G1569" s="792" t="s">
        <v>862</v>
      </c>
      <c r="H1569" s="795" t="s">
        <v>1257</v>
      </c>
      <c r="I1569" s="248">
        <v>2813</v>
      </c>
      <c r="J1569" s="248">
        <v>4074.1191648368626</v>
      </c>
      <c r="K1569" s="693">
        <f t="shared" si="74"/>
        <v>11460497</v>
      </c>
      <c r="L1569" s="52" t="s">
        <v>164</v>
      </c>
      <c r="M1569" s="849" t="s">
        <v>162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IF(OR(TH!L1569=TH!$U$7,M1569=TH!$U$7),"x","")</f>
        <v/>
      </c>
      <c r="V1569" s="52" t="str">
        <f>IF(AND(B1569&gt;='IN-NX'!$P$3,B1569&lt;='IN-NX'!$Q$3,'IN-NX'!$D$7=D1569,OR(LEFT(L1569,2)="15",AND(LEFT(M1569,2)&lt;&gt;"15",LEFT(M1569,2)&lt;&gt;"33"))),"x","")</f>
        <v/>
      </c>
      <c r="W1569" s="52" t="str">
        <f>IF(AND(OR(LEFT(TH!L1569,2)="15",LEFT(TH!M1569,2)="15"),'152-CT'!$J$8=TH!F1569),"x","")</f>
        <v/>
      </c>
      <c r="X1569" s="52" t="str">
        <f>IF(AND(OR(LEFT(TH!L1569,2)="15",LEFT(TH!M1569,2)="15"),TK!$E$7=TH!F1569),"x","")</f>
        <v/>
      </c>
      <c r="Y1569" s="52" t="str">
        <f>IF(AND(B1569&lt;=NKC!$N$8,B1569&gt;=NKC!$M$8),"x","")</f>
        <v>x</v>
      </c>
    </row>
    <row r="1570" spans="1:25" s="767" customFormat="1" ht="15.75" customHeight="1">
      <c r="A1570" s="201" t="str">
        <f>IF(B1570&lt;&gt;"",IF(AND(B1570&gt;=_TM1,B1570&lt;=_TM2,OR(TH!L1570="1111",TH!M1570="1111")),TH!D1570,""),"")</f>
        <v/>
      </c>
      <c r="B1570" s="692">
        <f t="shared" si="75"/>
        <v>8</v>
      </c>
      <c r="C1570" s="791">
        <f t="shared" si="73"/>
        <v>41489</v>
      </c>
      <c r="D1570" s="791" t="s">
        <v>1261</v>
      </c>
      <c r="E1570" s="791">
        <v>41489</v>
      </c>
      <c r="F1570" s="848" t="s">
        <v>1115</v>
      </c>
      <c r="G1570" s="792" t="s">
        <v>864</v>
      </c>
      <c r="H1570" s="795" t="s">
        <v>1257</v>
      </c>
      <c r="I1570" s="248">
        <v>2805</v>
      </c>
      <c r="J1570" s="248">
        <v>4076.488570695707</v>
      </c>
      <c r="K1570" s="693">
        <f t="shared" si="74"/>
        <v>11434550</v>
      </c>
      <c r="L1570" s="52" t="s">
        <v>164</v>
      </c>
      <c r="M1570" s="849" t="s">
        <v>162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IF(OR(TH!L1570=TH!$U$7,M1570=TH!$U$7),"x","")</f>
        <v/>
      </c>
      <c r="V1570" s="52" t="str">
        <f>IF(AND(B1570&gt;='IN-NX'!$P$3,B1570&lt;='IN-NX'!$Q$3,'IN-NX'!$D$7=D1570,OR(LEFT(L1570,2)="15",AND(LEFT(M1570,2)&lt;&gt;"15",LEFT(M1570,2)&lt;&gt;"33"))),"x","")</f>
        <v/>
      </c>
      <c r="W1570" s="52" t="str">
        <f>IF(AND(OR(LEFT(TH!L1570,2)="15",LEFT(TH!M1570,2)="15"),'152-CT'!$J$8=TH!F1570),"x","")</f>
        <v/>
      </c>
      <c r="X1570" s="52" t="str">
        <f>IF(AND(OR(LEFT(TH!L1570,2)="15",LEFT(TH!M1570,2)="15"),TK!$E$7=TH!F1570),"x","")</f>
        <v/>
      </c>
      <c r="Y1570" s="52" t="str">
        <f>IF(AND(B1570&lt;=NKC!$N$8,B1570&gt;=NKC!$M$8),"x","")</f>
        <v>x</v>
      </c>
    </row>
    <row r="1571" spans="1:25" s="767" customFormat="1" ht="15.75" customHeight="1">
      <c r="A1571" s="201" t="str">
        <f>IF(B1571&lt;&gt;"",IF(AND(B1571&gt;=_TM1,B1571&lt;=_TM2,OR(TH!L1571="1111",TH!M1571="1111")),TH!D1571,""),"")</f>
        <v/>
      </c>
      <c r="B1571" s="692">
        <f t="shared" si="75"/>
        <v>8</v>
      </c>
      <c r="C1571" s="791">
        <f t="shared" si="73"/>
        <v>41492</v>
      </c>
      <c r="D1571" s="791" t="s">
        <v>1261</v>
      </c>
      <c r="E1571" s="48">
        <v>41492</v>
      </c>
      <c r="F1571" s="49" t="s">
        <v>1115</v>
      </c>
      <c r="G1571" s="49" t="s">
        <v>865</v>
      </c>
      <c r="H1571" s="795" t="s">
        <v>1257</v>
      </c>
      <c r="I1571" s="248">
        <v>2829</v>
      </c>
      <c r="J1571" s="248">
        <v>4076.4583776795243</v>
      </c>
      <c r="K1571" s="693">
        <f t="shared" si="74"/>
        <v>11532301</v>
      </c>
      <c r="L1571" s="52" t="s">
        <v>164</v>
      </c>
      <c r="M1571" s="849" t="s">
        <v>162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IF(OR(TH!L1571=TH!$U$7,M1571=TH!$U$7),"x","")</f>
        <v/>
      </c>
      <c r="V1571" s="52" t="str">
        <f>IF(AND(B1571&gt;='IN-NX'!$P$3,B1571&lt;='IN-NX'!$Q$3,'IN-NX'!$D$7=D1571,OR(LEFT(L1571,2)="15",AND(LEFT(M1571,2)&lt;&gt;"15",LEFT(M1571,2)&lt;&gt;"33"))),"x","")</f>
        <v/>
      </c>
      <c r="W1571" s="52" t="str">
        <f>IF(AND(OR(LEFT(TH!L1571,2)="15",LEFT(TH!M1571,2)="15"),'152-CT'!$J$8=TH!F1571),"x","")</f>
        <v/>
      </c>
      <c r="X1571" s="52" t="str">
        <f>IF(AND(OR(LEFT(TH!L1571,2)="15",LEFT(TH!M1571,2)="15"),TK!$E$7=TH!F1571),"x","")</f>
        <v/>
      </c>
      <c r="Y1571" s="52" t="str">
        <f>IF(AND(B1571&lt;=NKC!$N$8,B1571&gt;=NKC!$M$8),"x","")</f>
        <v>x</v>
      </c>
    </row>
    <row r="1572" spans="1:25" s="767" customFormat="1" ht="15.75" customHeight="1">
      <c r="A1572" s="201" t="str">
        <f>IF(B1572&lt;&gt;"",IF(AND(B1572&gt;=_TM1,B1572&lt;=_TM2,OR(TH!L1572="1111",TH!M1572="1111")),TH!D1572,""),"")</f>
        <v/>
      </c>
      <c r="B1572" s="692">
        <f t="shared" si="75"/>
        <v>8</v>
      </c>
      <c r="C1572" s="791">
        <f t="shared" si="73"/>
        <v>41492</v>
      </c>
      <c r="D1572" s="791" t="s">
        <v>1261</v>
      </c>
      <c r="E1572" s="48">
        <v>41492</v>
      </c>
      <c r="F1572" s="49" t="s">
        <v>866</v>
      </c>
      <c r="G1572" s="49" t="s">
        <v>867</v>
      </c>
      <c r="H1572" s="795" t="s">
        <v>1257</v>
      </c>
      <c r="I1572" s="248">
        <v>1010</v>
      </c>
      <c r="J1572" s="248">
        <v>6615.596235579842</v>
      </c>
      <c r="K1572" s="693">
        <f t="shared" si="74"/>
        <v>6681752</v>
      </c>
      <c r="L1572" s="52" t="s">
        <v>164</v>
      </c>
      <c r="M1572" s="849" t="s">
        <v>162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IF(OR(TH!L1572=TH!$U$7,M1572=TH!$U$7),"x","")</f>
        <v/>
      </c>
      <c r="V1572" s="52" t="str">
        <f>IF(AND(B1572&gt;='IN-NX'!$P$3,B1572&lt;='IN-NX'!$Q$3,'IN-NX'!$D$7=D1572,OR(LEFT(L1572,2)="15",AND(LEFT(M1572,2)&lt;&gt;"15",LEFT(M1572,2)&lt;&gt;"33"))),"x","")</f>
        <v/>
      </c>
      <c r="W1572" s="52" t="str">
        <f>IF(AND(OR(LEFT(TH!L1572,2)="15",LEFT(TH!M1572,2)="15"),'152-CT'!$J$8=TH!F1572),"x","")</f>
        <v/>
      </c>
      <c r="X1572" s="52" t="str">
        <f>IF(AND(OR(LEFT(TH!L1572,2)="15",LEFT(TH!M1572,2)="15"),TK!$E$7=TH!F1572),"x","")</f>
        <v/>
      </c>
      <c r="Y1572" s="52" t="str">
        <f>IF(AND(B1572&lt;=NKC!$N$8,B1572&gt;=NKC!$M$8),"x","")</f>
        <v>x</v>
      </c>
    </row>
    <row r="1573" spans="1:25" s="767" customFormat="1" ht="15.75" customHeight="1">
      <c r="A1573" s="201" t="str">
        <f>IF(B1573&lt;&gt;"",IF(AND(B1573&gt;=_TM1,B1573&lt;=_TM2,OR(TH!L1573="1111",TH!M1573="1111")),TH!D1573,""),"")</f>
        <v/>
      </c>
      <c r="B1573" s="692">
        <f t="shared" si="75"/>
        <v>8</v>
      </c>
      <c r="C1573" s="791">
        <f t="shared" si="73"/>
        <v>41492</v>
      </c>
      <c r="D1573" s="791" t="s">
        <v>1261</v>
      </c>
      <c r="E1573" s="48">
        <v>41492</v>
      </c>
      <c r="F1573" s="49" t="s">
        <v>1104</v>
      </c>
      <c r="G1573" s="49" t="s">
        <v>867</v>
      </c>
      <c r="H1573" s="795" t="s">
        <v>1257</v>
      </c>
      <c r="I1573" s="248">
        <v>960</v>
      </c>
      <c r="J1573" s="248">
        <v>4008.3462355798424</v>
      </c>
      <c r="K1573" s="693">
        <f t="shared" si="74"/>
        <v>3848012</v>
      </c>
      <c r="L1573" s="52" t="s">
        <v>164</v>
      </c>
      <c r="M1573" s="849" t="s">
        <v>162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IF(OR(TH!L1573=TH!$U$7,M1573=TH!$U$7),"x","")</f>
        <v/>
      </c>
      <c r="V1573" s="52" t="str">
        <f>IF(AND(B1573&gt;='IN-NX'!$P$3,B1573&lt;='IN-NX'!$Q$3,'IN-NX'!$D$7=D1573,OR(LEFT(L1573,2)="15",AND(LEFT(M1573,2)&lt;&gt;"15",LEFT(M1573,2)&lt;&gt;"33"))),"x","")</f>
        <v/>
      </c>
      <c r="W1573" s="52" t="str">
        <f>IF(AND(OR(LEFT(TH!L1573,2)="15",LEFT(TH!M1573,2)="15"),'152-CT'!$J$8=TH!F1573),"x","")</f>
        <v/>
      </c>
      <c r="X1573" s="52" t="str">
        <f>IF(AND(OR(LEFT(TH!L1573,2)="15",LEFT(TH!M1573,2)="15"),TK!$E$7=TH!F1573),"x","")</f>
        <v/>
      </c>
      <c r="Y1573" s="52" t="str">
        <f>IF(AND(B1573&lt;=NKC!$N$8,B1573&gt;=NKC!$M$8),"x","")</f>
        <v>x</v>
      </c>
    </row>
    <row r="1574" spans="1:25" s="767" customFormat="1" ht="15.75" customHeight="1">
      <c r="A1574" s="201" t="str">
        <f>IF(B1574&lt;&gt;"",IF(AND(B1574&gt;=_TM1,B1574&lt;=_TM2,OR(TH!L1574="1111",TH!M1574="1111")),TH!D1574,""),"")</f>
        <v/>
      </c>
      <c r="B1574" s="692">
        <f t="shared" si="75"/>
        <v>8</v>
      </c>
      <c r="C1574" s="791">
        <f t="shared" si="73"/>
        <v>41492</v>
      </c>
      <c r="D1574" s="791" t="s">
        <v>1261</v>
      </c>
      <c r="E1574" s="48">
        <v>41492</v>
      </c>
      <c r="F1574" s="49" t="s">
        <v>692</v>
      </c>
      <c r="G1574" s="49" t="s">
        <v>868</v>
      </c>
      <c r="H1574" s="795" t="s">
        <v>1257</v>
      </c>
      <c r="I1574" s="248">
        <v>1307</v>
      </c>
      <c r="J1574" s="248">
        <v>4949.5082478216164</v>
      </c>
      <c r="K1574" s="693">
        <f t="shared" si="74"/>
        <v>6469007</v>
      </c>
      <c r="L1574" s="52" t="s">
        <v>164</v>
      </c>
      <c r="M1574" s="849" t="s">
        <v>162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IF(OR(TH!L1574=TH!$U$7,M1574=TH!$U$7),"x","")</f>
        <v/>
      </c>
      <c r="V1574" s="52" t="str">
        <f>IF(AND(B1574&gt;='IN-NX'!$P$3,B1574&lt;='IN-NX'!$Q$3,'IN-NX'!$D$7=D1574,OR(LEFT(L1574,2)="15",AND(LEFT(M1574,2)&lt;&gt;"15",LEFT(M1574,2)&lt;&gt;"33"))),"x","")</f>
        <v/>
      </c>
      <c r="W1574" s="52" t="str">
        <f>IF(AND(OR(LEFT(TH!L1574,2)="15",LEFT(TH!M1574,2)="15"),'152-CT'!$J$8=TH!F1574),"x","")</f>
        <v/>
      </c>
      <c r="X1574" s="52" t="str">
        <f>IF(AND(OR(LEFT(TH!L1574,2)="15",LEFT(TH!M1574,2)="15"),TK!$E$7=TH!F1574),"x","")</f>
        <v/>
      </c>
      <c r="Y1574" s="52" t="str">
        <f>IF(AND(B1574&lt;=NKC!$N$8,B1574&gt;=NKC!$M$8),"x","")</f>
        <v>x</v>
      </c>
    </row>
    <row r="1575" spans="1:25" s="767" customFormat="1" ht="15.75" customHeight="1">
      <c r="A1575" s="201" t="str">
        <f>IF(B1575&lt;&gt;"",IF(AND(B1575&gt;=_TM1,B1575&lt;=_TM2,OR(TH!L1575="1111",TH!M1575="1111")),TH!D1575,""),"")</f>
        <v/>
      </c>
      <c r="B1575" s="692">
        <f t="shared" si="75"/>
        <v>8</v>
      </c>
      <c r="C1575" s="791">
        <f t="shared" si="73"/>
        <v>41492</v>
      </c>
      <c r="D1575" s="791" t="s">
        <v>1261</v>
      </c>
      <c r="E1575" s="48">
        <v>41492</v>
      </c>
      <c r="F1575" s="49" t="s">
        <v>838</v>
      </c>
      <c r="G1575" s="49" t="s">
        <v>868</v>
      </c>
      <c r="H1575" s="795" t="s">
        <v>1257</v>
      </c>
      <c r="I1575" s="248">
        <v>623</v>
      </c>
      <c r="J1575" s="248">
        <v>9425.9606015509489</v>
      </c>
      <c r="K1575" s="693">
        <f t="shared" si="74"/>
        <v>5872373</v>
      </c>
      <c r="L1575" s="52" t="s">
        <v>164</v>
      </c>
      <c r="M1575" s="849" t="s">
        <v>162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IF(OR(TH!L1575=TH!$U$7,M1575=TH!$U$7),"x","")</f>
        <v/>
      </c>
      <c r="V1575" s="52" t="str">
        <f>IF(AND(B1575&gt;='IN-NX'!$P$3,B1575&lt;='IN-NX'!$Q$3,'IN-NX'!$D$7=D1575,OR(LEFT(L1575,2)="15",AND(LEFT(M1575,2)&lt;&gt;"15",LEFT(M1575,2)&lt;&gt;"33"))),"x","")</f>
        <v/>
      </c>
      <c r="W1575" s="52" t="str">
        <f>IF(AND(OR(LEFT(TH!L1575,2)="15",LEFT(TH!M1575,2)="15"),'152-CT'!$J$8=TH!F1575),"x","")</f>
        <v/>
      </c>
      <c r="X1575" s="52" t="str">
        <f>IF(AND(OR(LEFT(TH!L1575,2)="15",LEFT(TH!M1575,2)="15"),TK!$E$7=TH!F1575),"x","")</f>
        <v/>
      </c>
      <c r="Y1575" s="52" t="str">
        <f>IF(AND(B1575&lt;=NKC!$N$8,B1575&gt;=NKC!$M$8),"x","")</f>
        <v>x</v>
      </c>
    </row>
    <row r="1576" spans="1:25" s="767" customFormat="1" ht="15.75" customHeight="1">
      <c r="A1576" s="201" t="str">
        <f>IF(B1576&lt;&gt;"",IF(AND(B1576&gt;=_TM1,B1576&lt;=_TM2,OR(TH!L1576="1111",TH!M1576="1111")),TH!D1576,""),"")</f>
        <v/>
      </c>
      <c r="B1576" s="692">
        <f t="shared" si="75"/>
        <v>8</v>
      </c>
      <c r="C1576" s="791">
        <f t="shared" si="73"/>
        <v>41495</v>
      </c>
      <c r="D1576" s="791" t="s">
        <v>1261</v>
      </c>
      <c r="E1576" s="48">
        <v>41495</v>
      </c>
      <c r="F1576" s="49" t="s">
        <v>805</v>
      </c>
      <c r="G1576" s="49" t="s">
        <v>869</v>
      </c>
      <c r="H1576" s="795" t="s">
        <v>1257</v>
      </c>
      <c r="I1576" s="248">
        <v>1000</v>
      </c>
      <c r="J1576" s="248">
        <v>9217.0142355798434</v>
      </c>
      <c r="K1576" s="693">
        <f t="shared" si="74"/>
        <v>9217014</v>
      </c>
      <c r="L1576" s="52" t="s">
        <v>164</v>
      </c>
      <c r="M1576" s="849" t="s">
        <v>162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IF(OR(TH!L1576=TH!$U$7,M1576=TH!$U$7),"x","")</f>
        <v/>
      </c>
      <c r="V1576" s="52" t="str">
        <f>IF(AND(B1576&gt;='IN-NX'!$P$3,B1576&lt;='IN-NX'!$Q$3,'IN-NX'!$D$7=D1576,OR(LEFT(L1576,2)="15",AND(LEFT(M1576,2)&lt;&gt;"15",LEFT(M1576,2)&lt;&gt;"33"))),"x","")</f>
        <v/>
      </c>
      <c r="W1576" s="52" t="str">
        <f>IF(AND(OR(LEFT(TH!L1576,2)="15",LEFT(TH!M1576,2)="15"),'152-CT'!$J$8=TH!F1576),"x","")</f>
        <v/>
      </c>
      <c r="X1576" s="52" t="str">
        <f>IF(AND(OR(LEFT(TH!L1576,2)="15",LEFT(TH!M1576,2)="15"),TK!$E$7=TH!F1576),"x","")</f>
        <v/>
      </c>
      <c r="Y1576" s="52" t="str">
        <f>IF(AND(B1576&lt;=NKC!$N$8,B1576&gt;=NKC!$M$8),"x","")</f>
        <v>x</v>
      </c>
    </row>
    <row r="1577" spans="1:25" s="767" customFormat="1" ht="15.75" customHeight="1">
      <c r="A1577" s="201" t="str">
        <f>IF(B1577&lt;&gt;"",IF(AND(B1577&gt;=_TM1,B1577&lt;=_TM2,OR(TH!L1577="1111",TH!M1577="1111")),TH!D1577,""),"")</f>
        <v/>
      </c>
      <c r="B1577" s="692">
        <f t="shared" si="75"/>
        <v>8</v>
      </c>
      <c r="C1577" s="791">
        <f t="shared" si="73"/>
        <v>41495</v>
      </c>
      <c r="D1577" s="791" t="s">
        <v>1261</v>
      </c>
      <c r="E1577" s="48">
        <v>41495</v>
      </c>
      <c r="F1577" s="49" t="s">
        <v>1115</v>
      </c>
      <c r="G1577" s="49" t="s">
        <v>870</v>
      </c>
      <c r="H1577" s="795" t="s">
        <v>1257</v>
      </c>
      <c r="I1577" s="248">
        <v>2730</v>
      </c>
      <c r="J1577" s="248">
        <v>4072.9394590230659</v>
      </c>
      <c r="K1577" s="693">
        <f t="shared" si="74"/>
        <v>11119125</v>
      </c>
      <c r="L1577" s="52" t="s">
        <v>164</v>
      </c>
      <c r="M1577" s="849" t="s">
        <v>162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IF(OR(TH!L1577=TH!$U$7,M1577=TH!$U$7),"x","")</f>
        <v/>
      </c>
      <c r="V1577" s="52" t="str">
        <f>IF(AND(B1577&gt;='IN-NX'!$P$3,B1577&lt;='IN-NX'!$Q$3,'IN-NX'!$D$7=D1577,OR(LEFT(L1577,2)="15",AND(LEFT(M1577,2)&lt;&gt;"15",LEFT(M1577,2)&lt;&gt;"33"))),"x","")</f>
        <v/>
      </c>
      <c r="W1577" s="52" t="str">
        <f>IF(AND(OR(LEFT(TH!L1577,2)="15",LEFT(TH!M1577,2)="15"),'152-CT'!$J$8=TH!F1577),"x","")</f>
        <v/>
      </c>
      <c r="X1577" s="52" t="str">
        <f>IF(AND(OR(LEFT(TH!L1577,2)="15",LEFT(TH!M1577,2)="15"),TK!$E$7=TH!F1577),"x","")</f>
        <v/>
      </c>
      <c r="Y1577" s="52" t="str">
        <f>IF(AND(B1577&lt;=NKC!$N$8,B1577&gt;=NKC!$M$8),"x","")</f>
        <v>x</v>
      </c>
    </row>
    <row r="1578" spans="1:25" s="767" customFormat="1" ht="15.75" customHeight="1">
      <c r="A1578" s="201" t="str">
        <f>IF(B1578&lt;&gt;"",IF(AND(B1578&gt;=_TM1,B1578&lt;=_TM2,OR(TH!L1578="1111",TH!M1578="1111")),TH!D1578,""),"")</f>
        <v/>
      </c>
      <c r="B1578" s="692">
        <f t="shared" si="75"/>
        <v>8</v>
      </c>
      <c r="C1578" s="791">
        <f t="shared" si="73"/>
        <v>41496</v>
      </c>
      <c r="D1578" s="791" t="s">
        <v>1261</v>
      </c>
      <c r="E1578" s="48">
        <v>41496</v>
      </c>
      <c r="F1578" s="49" t="s">
        <v>1103</v>
      </c>
      <c r="G1578" s="49" t="s">
        <v>871</v>
      </c>
      <c r="H1578" s="795" t="s">
        <v>1257</v>
      </c>
      <c r="I1578" s="248">
        <v>1990</v>
      </c>
      <c r="J1578" s="248">
        <v>6386.0816627155209</v>
      </c>
      <c r="K1578" s="693">
        <f t="shared" si="74"/>
        <v>12708303</v>
      </c>
      <c r="L1578" s="52" t="s">
        <v>164</v>
      </c>
      <c r="M1578" s="849" t="s">
        <v>162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IF(OR(TH!L1578=TH!$U$7,M1578=TH!$U$7),"x","")</f>
        <v/>
      </c>
      <c r="V1578" s="52" t="str">
        <f>IF(AND(B1578&gt;='IN-NX'!$P$3,B1578&lt;='IN-NX'!$Q$3,'IN-NX'!$D$7=D1578,OR(LEFT(L1578,2)="15",AND(LEFT(M1578,2)&lt;&gt;"15",LEFT(M1578,2)&lt;&gt;"33"))),"x","")</f>
        <v/>
      </c>
      <c r="W1578" s="52" t="str">
        <f>IF(AND(OR(LEFT(TH!L1578,2)="15",LEFT(TH!M1578,2)="15"),'152-CT'!$J$8=TH!F1578),"x","")</f>
        <v/>
      </c>
      <c r="X1578" s="52" t="str">
        <f>IF(AND(OR(LEFT(TH!L1578,2)="15",LEFT(TH!M1578,2)="15"),TK!$E$7=TH!F1578),"x","")</f>
        <v/>
      </c>
      <c r="Y1578" s="52" t="str">
        <f>IF(AND(B1578&lt;=NKC!$N$8,B1578&gt;=NKC!$M$8),"x","")</f>
        <v>x</v>
      </c>
    </row>
    <row r="1579" spans="1:25" s="767" customFormat="1" ht="15.75" customHeight="1">
      <c r="A1579" s="201" t="str">
        <f>IF(B1579&lt;&gt;"",IF(AND(B1579&gt;=_TM1,B1579&lt;=_TM2,OR(TH!L1579="1111",TH!M1579="1111")),TH!D1579,""),"")</f>
        <v/>
      </c>
      <c r="B1579" s="692">
        <f t="shared" si="75"/>
        <v>8</v>
      </c>
      <c r="C1579" s="791">
        <f t="shared" si="73"/>
        <v>41496</v>
      </c>
      <c r="D1579" s="791" t="s">
        <v>1261</v>
      </c>
      <c r="E1579" s="48">
        <v>41496</v>
      </c>
      <c r="F1579" s="49" t="s">
        <v>872</v>
      </c>
      <c r="G1579" s="49" t="s">
        <v>873</v>
      </c>
      <c r="H1579" s="795" t="s">
        <v>1257</v>
      </c>
      <c r="I1579" s="248">
        <v>480</v>
      </c>
      <c r="J1579" s="248">
        <v>5794.1795689131768</v>
      </c>
      <c r="K1579" s="693">
        <f t="shared" si="74"/>
        <v>2781206</v>
      </c>
      <c r="L1579" s="52" t="s">
        <v>164</v>
      </c>
      <c r="M1579" s="849" t="s">
        <v>162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IF(OR(TH!L1579=TH!$U$7,M1579=TH!$U$7),"x","")</f>
        <v/>
      </c>
      <c r="V1579" s="52" t="str">
        <f>IF(AND(B1579&gt;='IN-NX'!$P$3,B1579&lt;='IN-NX'!$Q$3,'IN-NX'!$D$7=D1579,OR(LEFT(L1579,2)="15",AND(LEFT(M1579,2)&lt;&gt;"15",LEFT(M1579,2)&lt;&gt;"33"))),"x","")</f>
        <v/>
      </c>
      <c r="W1579" s="52" t="str">
        <f>IF(AND(OR(LEFT(TH!L1579,2)="15",LEFT(TH!M1579,2)="15"),'152-CT'!$J$8=TH!F1579),"x","")</f>
        <v/>
      </c>
      <c r="X1579" s="52" t="str">
        <f>IF(AND(OR(LEFT(TH!L1579,2)="15",LEFT(TH!M1579,2)="15"),TK!$E$7=TH!F1579),"x","")</f>
        <v/>
      </c>
      <c r="Y1579" s="52" t="str">
        <f>IF(AND(B1579&lt;=NKC!$N$8,B1579&gt;=NKC!$M$8),"x","")</f>
        <v>x</v>
      </c>
    </row>
    <row r="1580" spans="1:25" s="767" customFormat="1" ht="15.75" customHeight="1">
      <c r="A1580" s="201" t="str">
        <f>IF(B1580&lt;&gt;"",IF(AND(B1580&gt;=_TM1,B1580&lt;=_TM2,OR(TH!L1580="1111",TH!M1580="1111")),TH!D1580,""),"")</f>
        <v/>
      </c>
      <c r="B1580" s="692">
        <f t="shared" si="75"/>
        <v>8</v>
      </c>
      <c r="C1580" s="791">
        <f t="shared" si="73"/>
        <v>41496</v>
      </c>
      <c r="D1580" s="791" t="s">
        <v>1261</v>
      </c>
      <c r="E1580" s="48">
        <v>41496</v>
      </c>
      <c r="F1580" s="49" t="s">
        <v>872</v>
      </c>
      <c r="G1580" s="49" t="s">
        <v>873</v>
      </c>
      <c r="H1580" s="795" t="s">
        <v>1257</v>
      </c>
      <c r="I1580" s="248">
        <v>440</v>
      </c>
      <c r="J1580" s="248">
        <v>6596.721235579842</v>
      </c>
      <c r="K1580" s="693">
        <f t="shared" si="74"/>
        <v>2902557</v>
      </c>
      <c r="L1580" s="52" t="s">
        <v>164</v>
      </c>
      <c r="M1580" s="849" t="s">
        <v>162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IF(OR(TH!L1580=TH!$U$7,M1580=TH!$U$7),"x","")</f>
        <v/>
      </c>
      <c r="V1580" s="52" t="str">
        <f>IF(AND(B1580&gt;='IN-NX'!$P$3,B1580&lt;='IN-NX'!$Q$3,'IN-NX'!$D$7=D1580,OR(LEFT(L1580,2)="15",AND(LEFT(M1580,2)&lt;&gt;"15",LEFT(M1580,2)&lt;&gt;"33"))),"x","")</f>
        <v/>
      </c>
      <c r="W1580" s="52" t="str">
        <f>IF(AND(OR(LEFT(TH!L1580,2)="15",LEFT(TH!M1580,2)="15"),'152-CT'!$J$8=TH!F1580),"x","")</f>
        <v/>
      </c>
      <c r="X1580" s="52" t="str">
        <f>IF(AND(OR(LEFT(TH!L1580,2)="15",LEFT(TH!M1580,2)="15"),TK!$E$7=TH!F1580),"x","")</f>
        <v/>
      </c>
      <c r="Y1580" s="52" t="str">
        <f>IF(AND(B1580&lt;=NKC!$N$8,B1580&gt;=NKC!$M$8),"x","")</f>
        <v>x</v>
      </c>
    </row>
    <row r="1581" spans="1:25" s="767" customFormat="1" ht="15.75" customHeight="1">
      <c r="A1581" s="201" t="str">
        <f>IF(B1581&lt;&gt;"",IF(AND(B1581&gt;=_TM1,B1581&lt;=_TM2,OR(TH!L1581="1111",TH!M1581="1111")),TH!D1581,""),"")</f>
        <v/>
      </c>
      <c r="B1581" s="692">
        <f t="shared" si="75"/>
        <v>8</v>
      </c>
      <c r="C1581" s="791">
        <f t="shared" si="73"/>
        <v>41498</v>
      </c>
      <c r="D1581" s="791" t="s">
        <v>1261</v>
      </c>
      <c r="E1581" s="48">
        <v>41498</v>
      </c>
      <c r="F1581" s="49" t="s">
        <v>698</v>
      </c>
      <c r="G1581" s="49" t="s">
        <v>875</v>
      </c>
      <c r="H1581" s="795" t="s">
        <v>1257</v>
      </c>
      <c r="I1581" s="248">
        <v>1000</v>
      </c>
      <c r="J1581" s="248">
        <v>8259.9152355798415</v>
      </c>
      <c r="K1581" s="693">
        <f t="shared" si="74"/>
        <v>8259915</v>
      </c>
      <c r="L1581" s="52" t="s">
        <v>164</v>
      </c>
      <c r="M1581" s="849" t="s">
        <v>162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IF(OR(TH!L1581=TH!$U$7,M1581=TH!$U$7),"x","")</f>
        <v/>
      </c>
      <c r="V1581" s="52" t="str">
        <f>IF(AND(B1581&gt;='IN-NX'!$P$3,B1581&lt;='IN-NX'!$Q$3,'IN-NX'!$D$7=D1581,OR(LEFT(L1581,2)="15",AND(LEFT(M1581,2)&lt;&gt;"15",LEFT(M1581,2)&lt;&gt;"33"))),"x","")</f>
        <v/>
      </c>
      <c r="W1581" s="52" t="str">
        <f>IF(AND(OR(LEFT(TH!L1581,2)="15",LEFT(TH!M1581,2)="15"),'152-CT'!$J$8=TH!F1581),"x","")</f>
        <v/>
      </c>
      <c r="X1581" s="52" t="str">
        <f>IF(AND(OR(LEFT(TH!L1581,2)="15",LEFT(TH!M1581,2)="15"),TK!$E$7=TH!F1581),"x","")</f>
        <v/>
      </c>
      <c r="Y1581" s="52" t="str">
        <f>IF(AND(B1581&lt;=NKC!$N$8,B1581&gt;=NKC!$M$8),"x","")</f>
        <v>x</v>
      </c>
    </row>
    <row r="1582" spans="1:25" s="767" customFormat="1" ht="15.75" customHeight="1">
      <c r="A1582" s="201" t="str">
        <f>IF(B1582&lt;&gt;"",IF(AND(B1582&gt;=_TM1,B1582&lt;=_TM2,OR(TH!L1582="1111",TH!M1582="1111")),TH!D1582,""),"")</f>
        <v/>
      </c>
      <c r="B1582" s="692">
        <f t="shared" si="75"/>
        <v>8</v>
      </c>
      <c r="C1582" s="791">
        <f t="shared" si="73"/>
        <v>41499</v>
      </c>
      <c r="D1582" s="791" t="s">
        <v>1261</v>
      </c>
      <c r="E1582" s="48">
        <v>41499</v>
      </c>
      <c r="F1582" s="49" t="s">
        <v>781</v>
      </c>
      <c r="G1582" s="49" t="s">
        <v>876</v>
      </c>
      <c r="H1582" s="795" t="s">
        <v>1257</v>
      </c>
      <c r="I1582" s="248">
        <v>200</v>
      </c>
      <c r="J1582" s="248">
        <v>9247.096235579842</v>
      </c>
      <c r="K1582" s="693">
        <f t="shared" si="74"/>
        <v>1849419</v>
      </c>
      <c r="L1582" s="52" t="s">
        <v>164</v>
      </c>
      <c r="M1582" s="849" t="s">
        <v>162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IF(OR(TH!L1582=TH!$U$7,M1582=TH!$U$7),"x","")</f>
        <v/>
      </c>
      <c r="V1582" s="52" t="str">
        <f>IF(AND(B1582&gt;='IN-NX'!$P$3,B1582&lt;='IN-NX'!$Q$3,'IN-NX'!$D$7=D1582,OR(LEFT(L1582,2)="15",AND(LEFT(M1582,2)&lt;&gt;"15",LEFT(M1582,2)&lt;&gt;"33"))),"x","")</f>
        <v/>
      </c>
      <c r="W1582" s="52" t="str">
        <f>IF(AND(OR(LEFT(TH!L1582,2)="15",LEFT(TH!M1582,2)="15"),'152-CT'!$J$8=TH!F1582),"x","")</f>
        <v/>
      </c>
      <c r="X1582" s="52" t="str">
        <f>IF(AND(OR(LEFT(TH!L1582,2)="15",LEFT(TH!M1582,2)="15"),TK!$E$7=TH!F1582),"x","")</f>
        <v/>
      </c>
      <c r="Y1582" s="52" t="str">
        <f>IF(AND(B1582&lt;=NKC!$N$8,B1582&gt;=NKC!$M$8),"x","")</f>
        <v>x</v>
      </c>
    </row>
    <row r="1583" spans="1:25" s="767" customFormat="1" ht="15.75" customHeight="1">
      <c r="A1583" s="201" t="str">
        <f>IF(B1583&lt;&gt;"",IF(AND(B1583&gt;=_TM1,B1583&lt;=_TM2,OR(TH!L1583="1111",TH!M1583="1111")),TH!D1583,""),"")</f>
        <v/>
      </c>
      <c r="B1583" s="692">
        <f t="shared" si="75"/>
        <v>8</v>
      </c>
      <c r="C1583" s="791">
        <f t="shared" si="73"/>
        <v>41499</v>
      </c>
      <c r="D1583" s="791" t="s">
        <v>1261</v>
      </c>
      <c r="E1583" s="48">
        <v>41499</v>
      </c>
      <c r="F1583" s="49" t="s">
        <v>1100</v>
      </c>
      <c r="G1583" s="49" t="s">
        <v>876</v>
      </c>
      <c r="H1583" s="795" t="s">
        <v>1257</v>
      </c>
      <c r="I1583" s="248">
        <v>250</v>
      </c>
      <c r="J1583" s="248">
        <v>12357.876235579843</v>
      </c>
      <c r="K1583" s="693">
        <f t="shared" si="74"/>
        <v>3089469</v>
      </c>
      <c r="L1583" s="52" t="s">
        <v>164</v>
      </c>
      <c r="M1583" s="849" t="s">
        <v>162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IF(OR(TH!L1583=TH!$U$7,M1583=TH!$U$7),"x","")</f>
        <v/>
      </c>
      <c r="V1583" s="52" t="str">
        <f>IF(AND(B1583&gt;='IN-NX'!$P$3,B1583&lt;='IN-NX'!$Q$3,'IN-NX'!$D$7=D1583,OR(LEFT(L1583,2)="15",AND(LEFT(M1583,2)&lt;&gt;"15",LEFT(M1583,2)&lt;&gt;"33"))),"x","")</f>
        <v/>
      </c>
      <c r="W1583" s="52" t="str">
        <f>IF(AND(OR(LEFT(TH!L1583,2)="15",LEFT(TH!M1583,2)="15"),'152-CT'!$J$8=TH!F1583),"x","")</f>
        <v/>
      </c>
      <c r="X1583" s="52" t="str">
        <f>IF(AND(OR(LEFT(TH!L1583,2)="15",LEFT(TH!M1583,2)="15"),TK!$E$7=TH!F1583),"x","")</f>
        <v/>
      </c>
      <c r="Y1583" s="52" t="str">
        <f>IF(AND(B1583&lt;=NKC!$N$8,B1583&gt;=NKC!$M$8),"x","")</f>
        <v>x</v>
      </c>
    </row>
    <row r="1584" spans="1:25" s="767" customFormat="1" ht="15.75" customHeight="1">
      <c r="A1584" s="201" t="str">
        <f>IF(B1584&lt;&gt;"",IF(AND(B1584&gt;=_TM1,B1584&lt;=_TM2,OR(TH!L1584="1111",TH!M1584="1111")),TH!D1584,""),"")</f>
        <v/>
      </c>
      <c r="B1584" s="692">
        <f t="shared" si="75"/>
        <v>8</v>
      </c>
      <c r="C1584" s="791">
        <f t="shared" si="73"/>
        <v>41499</v>
      </c>
      <c r="D1584" s="791" t="s">
        <v>1261</v>
      </c>
      <c r="E1584" s="48">
        <v>41499</v>
      </c>
      <c r="F1584" s="49" t="s">
        <v>852</v>
      </c>
      <c r="G1584" s="49" t="s">
        <v>876</v>
      </c>
      <c r="H1584" s="795" t="s">
        <v>1257</v>
      </c>
      <c r="I1584" s="248">
        <v>505</v>
      </c>
      <c r="J1584" s="248">
        <v>7252.0219781541</v>
      </c>
      <c r="K1584" s="693">
        <f t="shared" si="74"/>
        <v>3662271</v>
      </c>
      <c r="L1584" s="52" t="s">
        <v>164</v>
      </c>
      <c r="M1584" s="849" t="s">
        <v>162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IF(OR(TH!L1584=TH!$U$7,M1584=TH!$U$7),"x","")</f>
        <v/>
      </c>
      <c r="V1584" s="52" t="str">
        <f>IF(AND(B1584&gt;='IN-NX'!$P$3,B1584&lt;='IN-NX'!$Q$3,'IN-NX'!$D$7=D1584,OR(LEFT(L1584,2)="15",AND(LEFT(M1584,2)&lt;&gt;"15",LEFT(M1584,2)&lt;&gt;"33"))),"x","")</f>
        <v/>
      </c>
      <c r="W1584" s="52" t="str">
        <f>IF(AND(OR(LEFT(TH!L1584,2)="15",LEFT(TH!M1584,2)="15"),'152-CT'!$J$8=TH!F1584),"x","")</f>
        <v/>
      </c>
      <c r="X1584" s="52" t="str">
        <f>IF(AND(OR(LEFT(TH!L1584,2)="15",LEFT(TH!M1584,2)="15"),TK!$E$7=TH!F1584),"x","")</f>
        <v/>
      </c>
      <c r="Y1584" s="52" t="str">
        <f>IF(AND(B1584&lt;=NKC!$N$8,B1584&gt;=NKC!$M$8),"x","")</f>
        <v>x</v>
      </c>
    </row>
    <row r="1585" spans="1:25" s="767" customFormat="1" ht="15.75" customHeight="1">
      <c r="A1585" s="201" t="str">
        <f>IF(B1585&lt;&gt;"",IF(AND(B1585&gt;=_TM1,B1585&lt;=_TM2,OR(TH!L1585="1111",TH!M1585="1111")),TH!D1585,""),"")</f>
        <v/>
      </c>
      <c r="B1585" s="692">
        <f t="shared" si="75"/>
        <v>8</v>
      </c>
      <c r="C1585" s="791">
        <f t="shared" si="73"/>
        <v>41500</v>
      </c>
      <c r="D1585" s="791" t="s">
        <v>1261</v>
      </c>
      <c r="E1585" s="48">
        <v>41500</v>
      </c>
      <c r="F1585" s="49" t="s">
        <v>877</v>
      </c>
      <c r="G1585" s="49" t="s">
        <v>878</v>
      </c>
      <c r="H1585" s="795" t="s">
        <v>1257</v>
      </c>
      <c r="I1585" s="248">
        <v>85</v>
      </c>
      <c r="J1585" s="248">
        <v>9217.0197649916063</v>
      </c>
      <c r="K1585" s="693">
        <f t="shared" si="74"/>
        <v>783447</v>
      </c>
      <c r="L1585" s="52" t="s">
        <v>164</v>
      </c>
      <c r="M1585" s="849" t="s">
        <v>162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IF(OR(TH!L1585=TH!$U$7,M1585=TH!$U$7),"x","")</f>
        <v/>
      </c>
      <c r="V1585" s="52" t="str">
        <f>IF(AND(B1585&gt;='IN-NX'!$P$3,B1585&lt;='IN-NX'!$Q$3,'IN-NX'!$D$7=D1585,OR(LEFT(L1585,2)="15",AND(LEFT(M1585,2)&lt;&gt;"15",LEFT(M1585,2)&lt;&gt;"33"))),"x","")</f>
        <v/>
      </c>
      <c r="W1585" s="52" t="str">
        <f>IF(AND(OR(LEFT(TH!L1585,2)="15",LEFT(TH!M1585,2)="15"),'152-CT'!$J$8=TH!F1585),"x","")</f>
        <v/>
      </c>
      <c r="X1585" s="52" t="str">
        <f>IF(AND(OR(LEFT(TH!L1585,2)="15",LEFT(TH!M1585,2)="15"),TK!$E$7=TH!F1585),"x","")</f>
        <v/>
      </c>
      <c r="Y1585" s="52" t="str">
        <f>IF(AND(B1585&lt;=NKC!$N$8,B1585&gt;=NKC!$M$8),"x","")</f>
        <v>x</v>
      </c>
    </row>
    <row r="1586" spans="1:25" s="767" customFormat="1" ht="15.75" customHeight="1">
      <c r="A1586" s="201" t="str">
        <f>IF(B1586&lt;&gt;"",IF(AND(B1586&gt;=_TM1,B1586&lt;=_TM2,OR(TH!L1586="1111",TH!M1586="1111")),TH!D1586,""),"")</f>
        <v/>
      </c>
      <c r="B1586" s="692">
        <f t="shared" si="75"/>
        <v>8</v>
      </c>
      <c r="C1586" s="791">
        <f t="shared" si="73"/>
        <v>41502</v>
      </c>
      <c r="D1586" s="791" t="s">
        <v>1261</v>
      </c>
      <c r="E1586" s="48">
        <v>41502</v>
      </c>
      <c r="F1586" s="49" t="s">
        <v>1099</v>
      </c>
      <c r="G1586" s="49" t="s">
        <v>879</v>
      </c>
      <c r="H1586" s="795" t="s">
        <v>1257</v>
      </c>
      <c r="I1586" s="248">
        <v>303</v>
      </c>
      <c r="J1586" s="248">
        <v>8819.5302289791816</v>
      </c>
      <c r="K1586" s="693">
        <f t="shared" si="74"/>
        <v>2672318</v>
      </c>
      <c r="L1586" s="52" t="s">
        <v>164</v>
      </c>
      <c r="M1586" s="849" t="s">
        <v>162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IF(OR(TH!L1586=TH!$U$7,M1586=TH!$U$7),"x","")</f>
        <v/>
      </c>
      <c r="V1586" s="52" t="str">
        <f>IF(AND(B1586&gt;='IN-NX'!$P$3,B1586&lt;='IN-NX'!$Q$3,'IN-NX'!$D$7=D1586,OR(LEFT(L1586,2)="15",AND(LEFT(M1586,2)&lt;&gt;"15",LEFT(M1586,2)&lt;&gt;"33"))),"x","")</f>
        <v/>
      </c>
      <c r="W1586" s="52" t="str">
        <f>IF(AND(OR(LEFT(TH!L1586,2)="15",LEFT(TH!M1586,2)="15"),'152-CT'!$J$8=TH!F1586),"x","")</f>
        <v/>
      </c>
      <c r="X1586" s="52" t="str">
        <f>IF(AND(OR(LEFT(TH!L1586,2)="15",LEFT(TH!M1586,2)="15"),TK!$E$7=TH!F1586),"x","")</f>
        <v/>
      </c>
      <c r="Y1586" s="52" t="str">
        <f>IF(AND(B1586&lt;=NKC!$N$8,B1586&gt;=NKC!$M$8),"x","")</f>
        <v>x</v>
      </c>
    </row>
    <row r="1587" spans="1:25" s="767" customFormat="1" ht="15.75" customHeight="1">
      <c r="A1587" s="201" t="str">
        <f>IF(B1587&lt;&gt;"",IF(AND(B1587&gt;=_TM1,B1587&lt;=_TM2,OR(TH!L1587="1111",TH!M1587="1111")),TH!D1587,""),"")</f>
        <v/>
      </c>
      <c r="B1587" s="692">
        <f t="shared" si="75"/>
        <v>8</v>
      </c>
      <c r="C1587" s="791">
        <f t="shared" si="73"/>
        <v>41502</v>
      </c>
      <c r="D1587" s="791" t="s">
        <v>1261</v>
      </c>
      <c r="E1587" s="48">
        <v>41502</v>
      </c>
      <c r="F1587" s="49" t="s">
        <v>711</v>
      </c>
      <c r="G1587" s="49" t="s">
        <v>880</v>
      </c>
      <c r="H1587" s="795" t="s">
        <v>1257</v>
      </c>
      <c r="I1587" s="248">
        <v>285</v>
      </c>
      <c r="J1587" s="248">
        <v>20664.65588470265</v>
      </c>
      <c r="K1587" s="693">
        <f t="shared" si="74"/>
        <v>5889427</v>
      </c>
      <c r="L1587" s="52" t="s">
        <v>164</v>
      </c>
      <c r="M1587" s="849" t="s">
        <v>162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IF(OR(TH!L1587=TH!$U$7,M1587=TH!$U$7),"x","")</f>
        <v/>
      </c>
      <c r="V1587" s="52" t="str">
        <f>IF(AND(B1587&gt;='IN-NX'!$P$3,B1587&lt;='IN-NX'!$Q$3,'IN-NX'!$D$7=D1587,OR(LEFT(L1587,2)="15",AND(LEFT(M1587,2)&lt;&gt;"15",LEFT(M1587,2)&lt;&gt;"33"))),"x","")</f>
        <v/>
      </c>
      <c r="W1587" s="52" t="str">
        <f>IF(AND(OR(LEFT(TH!L1587,2)="15",LEFT(TH!M1587,2)="15"),'152-CT'!$J$8=TH!F1587),"x","")</f>
        <v/>
      </c>
      <c r="X1587" s="52" t="str">
        <f>IF(AND(OR(LEFT(TH!L1587,2)="15",LEFT(TH!M1587,2)="15"),TK!$E$7=TH!F1587),"x","")</f>
        <v/>
      </c>
      <c r="Y1587" s="52" t="str">
        <f>IF(AND(B1587&lt;=NKC!$N$8,B1587&gt;=NKC!$M$8),"x","")</f>
        <v>x</v>
      </c>
    </row>
    <row r="1588" spans="1:25" s="767" customFormat="1" ht="15.75" customHeight="1">
      <c r="A1588" s="201" t="str">
        <f>IF(B1588&lt;&gt;"",IF(AND(B1588&gt;=_TM1,B1588&lt;=_TM2,OR(TH!L1588="1111",TH!M1588="1111")),TH!D1588,""),"")</f>
        <v/>
      </c>
      <c r="B1588" s="692">
        <f t="shared" si="75"/>
        <v>8</v>
      </c>
      <c r="C1588" s="791">
        <f t="shared" si="73"/>
        <v>41505</v>
      </c>
      <c r="D1588" s="791" t="s">
        <v>1261</v>
      </c>
      <c r="E1588" s="48">
        <v>41505</v>
      </c>
      <c r="F1588" s="49" t="s">
        <v>834</v>
      </c>
      <c r="G1588" s="49" t="s">
        <v>881</v>
      </c>
      <c r="H1588" s="795" t="s">
        <v>1257</v>
      </c>
      <c r="I1588" s="248">
        <v>505</v>
      </c>
      <c r="J1588" s="248">
        <v>20664.655641520432</v>
      </c>
      <c r="K1588" s="693">
        <f t="shared" si="74"/>
        <v>10435651</v>
      </c>
      <c r="L1588" s="52" t="s">
        <v>164</v>
      </c>
      <c r="M1588" s="849" t="s">
        <v>162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IF(OR(TH!L1588=TH!$U$7,M1588=TH!$U$7),"x","")</f>
        <v/>
      </c>
      <c r="V1588" s="52" t="str">
        <f>IF(AND(B1588&gt;='IN-NX'!$P$3,B1588&lt;='IN-NX'!$Q$3,'IN-NX'!$D$7=D1588,OR(LEFT(L1588,2)="15",AND(LEFT(M1588,2)&lt;&gt;"15",LEFT(M1588,2)&lt;&gt;"33"))),"x","")</f>
        <v/>
      </c>
      <c r="W1588" s="52" t="str">
        <f>IF(AND(OR(LEFT(TH!L1588,2)="15",LEFT(TH!M1588,2)="15"),'152-CT'!$J$8=TH!F1588),"x","")</f>
        <v/>
      </c>
      <c r="X1588" s="52" t="str">
        <f>IF(AND(OR(LEFT(TH!L1588,2)="15",LEFT(TH!M1588,2)="15"),TK!$E$7=TH!F1588),"x","")</f>
        <v/>
      </c>
      <c r="Y1588" s="52" t="str">
        <f>IF(AND(B1588&lt;=NKC!$N$8,B1588&gt;=NKC!$M$8),"x","")</f>
        <v>x</v>
      </c>
    </row>
    <row r="1589" spans="1:25" s="767" customFormat="1" ht="15.75" customHeight="1">
      <c r="A1589" s="201" t="str">
        <f>IF(B1589&lt;&gt;"",IF(AND(B1589&gt;=_TM1,B1589&lt;=_TM2,OR(TH!L1589="1111",TH!M1589="1111")),TH!D1589,""),"")</f>
        <v/>
      </c>
      <c r="B1589" s="692">
        <f t="shared" si="75"/>
        <v>8</v>
      </c>
      <c r="C1589" s="791">
        <f t="shared" si="73"/>
        <v>41506</v>
      </c>
      <c r="D1589" s="791" t="s">
        <v>1261</v>
      </c>
      <c r="E1589" s="48">
        <v>41506</v>
      </c>
      <c r="F1589" s="49" t="s">
        <v>1120</v>
      </c>
      <c r="G1589" s="49" t="s">
        <v>882</v>
      </c>
      <c r="H1589" s="795" t="s">
        <v>1257</v>
      </c>
      <c r="I1589" s="248">
        <v>2573</v>
      </c>
      <c r="J1589" s="248">
        <v>4204.3319526416371</v>
      </c>
      <c r="K1589" s="693">
        <f t="shared" si="74"/>
        <v>10817746</v>
      </c>
      <c r="L1589" s="52" t="s">
        <v>164</v>
      </c>
      <c r="M1589" s="849" t="s">
        <v>162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IF(OR(TH!L1589=TH!$U$7,M1589=TH!$U$7),"x","")</f>
        <v/>
      </c>
      <c r="V1589" s="52" t="str">
        <f>IF(AND(B1589&gt;='IN-NX'!$P$3,B1589&lt;='IN-NX'!$Q$3,'IN-NX'!$D$7=D1589,OR(LEFT(L1589,2)="15",AND(LEFT(M1589,2)&lt;&gt;"15",LEFT(M1589,2)&lt;&gt;"33"))),"x","")</f>
        <v/>
      </c>
      <c r="W1589" s="52" t="str">
        <f>IF(AND(OR(LEFT(TH!L1589,2)="15",LEFT(TH!M1589,2)="15"),'152-CT'!$J$8=TH!F1589),"x","")</f>
        <v/>
      </c>
      <c r="X1589" s="52" t="str">
        <f>IF(AND(OR(LEFT(TH!L1589,2)="15",LEFT(TH!M1589,2)="15"),TK!$E$7=TH!F1589),"x","")</f>
        <v/>
      </c>
      <c r="Y1589" s="52" t="str">
        <f>IF(AND(B1589&lt;=NKC!$N$8,B1589&gt;=NKC!$M$8),"x","")</f>
        <v>x</v>
      </c>
    </row>
    <row r="1590" spans="1:25" s="767" customFormat="1" ht="15.75" customHeight="1">
      <c r="A1590" s="201" t="str">
        <f>IF(B1590&lt;&gt;"",IF(AND(B1590&gt;=_TM1,B1590&lt;=_TM2,OR(TH!L1590="1111",TH!M1590="1111")),TH!D1590,""),"")</f>
        <v/>
      </c>
      <c r="B1590" s="692">
        <f t="shared" si="75"/>
        <v>8</v>
      </c>
      <c r="C1590" s="791">
        <f t="shared" si="73"/>
        <v>41506</v>
      </c>
      <c r="D1590" s="791" t="s">
        <v>1261</v>
      </c>
      <c r="E1590" s="48">
        <v>41506</v>
      </c>
      <c r="F1590" s="49" t="s">
        <v>1115</v>
      </c>
      <c r="G1590" s="49" t="s">
        <v>884</v>
      </c>
      <c r="H1590" s="795" t="s">
        <v>1257</v>
      </c>
      <c r="I1590" s="248">
        <v>2500</v>
      </c>
      <c r="J1590" s="248">
        <v>3793.1462355798421</v>
      </c>
      <c r="K1590" s="693">
        <f t="shared" si="74"/>
        <v>9482866</v>
      </c>
      <c r="L1590" s="52" t="s">
        <v>164</v>
      </c>
      <c r="M1590" s="849" t="s">
        <v>162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IF(OR(TH!L1590=TH!$U$7,M1590=TH!$U$7),"x","")</f>
        <v/>
      </c>
      <c r="V1590" s="52" t="str">
        <f>IF(AND(B1590&gt;='IN-NX'!$P$3,B1590&lt;='IN-NX'!$Q$3,'IN-NX'!$D$7=D1590,OR(LEFT(L1590,2)="15",AND(LEFT(M1590,2)&lt;&gt;"15",LEFT(M1590,2)&lt;&gt;"33"))),"x","")</f>
        <v/>
      </c>
      <c r="W1590" s="52" t="str">
        <f>IF(AND(OR(LEFT(TH!L1590,2)="15",LEFT(TH!M1590,2)="15"),'152-CT'!$J$8=TH!F1590),"x","")</f>
        <v/>
      </c>
      <c r="X1590" s="52" t="str">
        <f>IF(AND(OR(LEFT(TH!L1590,2)="15",LEFT(TH!M1590,2)="15"),TK!$E$7=TH!F1590),"x","")</f>
        <v/>
      </c>
      <c r="Y1590" s="52" t="str">
        <f>IF(AND(B1590&lt;=NKC!$N$8,B1590&gt;=NKC!$M$8),"x","")</f>
        <v>x</v>
      </c>
    </row>
    <row r="1591" spans="1:25" s="767" customFormat="1" ht="15.75" customHeight="1">
      <c r="A1591" s="201" t="str">
        <f>IF(B1591&lt;&gt;"",IF(AND(B1591&gt;=_TM1,B1591&lt;=_TM2,OR(TH!L1591="1111",TH!M1591="1111")),TH!D1591,""),"")</f>
        <v/>
      </c>
      <c r="B1591" s="692">
        <f t="shared" si="75"/>
        <v>8</v>
      </c>
      <c r="C1591" s="791">
        <f t="shared" si="73"/>
        <v>41506</v>
      </c>
      <c r="D1591" s="791" t="s">
        <v>1261</v>
      </c>
      <c r="E1591" s="48">
        <v>41506</v>
      </c>
      <c r="F1591" s="49" t="s">
        <v>1115</v>
      </c>
      <c r="G1591" s="49" t="s">
        <v>885</v>
      </c>
      <c r="H1591" s="795" t="s">
        <v>1257</v>
      </c>
      <c r="I1591" s="248">
        <v>3200</v>
      </c>
      <c r="J1591" s="248">
        <v>4077.087485579842</v>
      </c>
      <c r="K1591" s="693">
        <f t="shared" si="74"/>
        <v>13046680</v>
      </c>
      <c r="L1591" s="52" t="s">
        <v>164</v>
      </c>
      <c r="M1591" s="849" t="s">
        <v>162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IF(OR(TH!L1591=TH!$U$7,M1591=TH!$U$7),"x","")</f>
        <v/>
      </c>
      <c r="V1591" s="52" t="str">
        <f>IF(AND(B1591&gt;='IN-NX'!$P$3,B1591&lt;='IN-NX'!$Q$3,'IN-NX'!$D$7=D1591,OR(LEFT(L1591,2)="15",AND(LEFT(M1591,2)&lt;&gt;"15",LEFT(M1591,2)&lt;&gt;"33"))),"x","")</f>
        <v/>
      </c>
      <c r="W1591" s="52" t="str">
        <f>IF(AND(OR(LEFT(TH!L1591,2)="15",LEFT(TH!M1591,2)="15"),'152-CT'!$J$8=TH!F1591),"x","")</f>
        <v/>
      </c>
      <c r="X1591" s="52" t="str">
        <f>IF(AND(OR(LEFT(TH!L1591,2)="15",LEFT(TH!M1591,2)="15"),TK!$E$7=TH!F1591),"x","")</f>
        <v/>
      </c>
      <c r="Y1591" s="52" t="str">
        <f>IF(AND(B1591&lt;=NKC!$N$8,B1591&gt;=NKC!$M$8),"x","")</f>
        <v>x</v>
      </c>
    </row>
    <row r="1592" spans="1:25" s="767" customFormat="1" ht="15.75" customHeight="1">
      <c r="A1592" s="201" t="str">
        <f>IF(B1592&lt;&gt;"",IF(AND(B1592&gt;=_TM1,B1592&lt;=_TM2,OR(TH!L1592="1111",TH!M1592="1111")),TH!D1592,""),"")</f>
        <v/>
      </c>
      <c r="B1592" s="692">
        <f t="shared" si="75"/>
        <v>8</v>
      </c>
      <c r="C1592" s="791">
        <f t="shared" si="73"/>
        <v>41507</v>
      </c>
      <c r="D1592" s="791" t="s">
        <v>1261</v>
      </c>
      <c r="E1592" s="48">
        <v>41507</v>
      </c>
      <c r="F1592" s="49" t="s">
        <v>727</v>
      </c>
      <c r="G1592" s="49" t="s">
        <v>886</v>
      </c>
      <c r="H1592" s="795" t="s">
        <v>1257</v>
      </c>
      <c r="I1592" s="248">
        <v>296</v>
      </c>
      <c r="J1592" s="248">
        <v>8390.0692085528153</v>
      </c>
      <c r="K1592" s="693">
        <f t="shared" si="74"/>
        <v>2483460</v>
      </c>
      <c r="L1592" s="52" t="s">
        <v>164</v>
      </c>
      <c r="M1592" s="849" t="s">
        <v>162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IF(OR(TH!L1592=TH!$U$7,M1592=TH!$U$7),"x","")</f>
        <v/>
      </c>
      <c r="V1592" s="52" t="str">
        <f>IF(AND(B1592&gt;='IN-NX'!$P$3,B1592&lt;='IN-NX'!$Q$3,'IN-NX'!$D$7=D1592,OR(LEFT(L1592,2)="15",AND(LEFT(M1592,2)&lt;&gt;"15",LEFT(M1592,2)&lt;&gt;"33"))),"x","")</f>
        <v/>
      </c>
      <c r="W1592" s="52" t="str">
        <f>IF(AND(OR(LEFT(TH!L1592,2)="15",LEFT(TH!M1592,2)="15"),'152-CT'!$J$8=TH!F1592),"x","")</f>
        <v/>
      </c>
      <c r="X1592" s="52" t="str">
        <f>IF(AND(OR(LEFT(TH!L1592,2)="15",LEFT(TH!M1592,2)="15"),TK!$E$7=TH!F1592),"x","")</f>
        <v/>
      </c>
      <c r="Y1592" s="52" t="str">
        <f>IF(AND(B1592&lt;=NKC!$N$8,B1592&gt;=NKC!$M$8),"x","")</f>
        <v>x</v>
      </c>
    </row>
    <row r="1593" spans="1:25" s="767" customFormat="1" ht="15.75" customHeight="1">
      <c r="A1593" s="201" t="str">
        <f>IF(B1593&lt;&gt;"",IF(AND(B1593&gt;=_TM1,B1593&lt;=_TM2,OR(TH!L1593="1111",TH!M1593="1111")),TH!D1593,""),"")</f>
        <v/>
      </c>
      <c r="B1593" s="692">
        <f t="shared" si="75"/>
        <v>8</v>
      </c>
      <c r="C1593" s="791">
        <f t="shared" si="73"/>
        <v>41511</v>
      </c>
      <c r="D1593" s="791" t="s">
        <v>1261</v>
      </c>
      <c r="E1593" s="48">
        <v>41511</v>
      </c>
      <c r="F1593" s="49" t="s">
        <v>887</v>
      </c>
      <c r="G1593" s="49" t="s">
        <v>888</v>
      </c>
      <c r="H1593" s="795" t="s">
        <v>1257</v>
      </c>
      <c r="I1593" s="248">
        <v>52</v>
      </c>
      <c r="J1593" s="248">
        <v>9217.0193125029182</v>
      </c>
      <c r="K1593" s="693">
        <f t="shared" si="74"/>
        <v>479285</v>
      </c>
      <c r="L1593" s="52" t="s">
        <v>164</v>
      </c>
      <c r="M1593" s="849" t="s">
        <v>162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IF(OR(TH!L1593=TH!$U$7,M1593=TH!$U$7),"x","")</f>
        <v/>
      </c>
      <c r="V1593" s="52" t="str">
        <f>IF(AND(B1593&gt;='IN-NX'!$P$3,B1593&lt;='IN-NX'!$Q$3,'IN-NX'!$D$7=D1593,OR(LEFT(L1593,2)="15",AND(LEFT(M1593,2)&lt;&gt;"15",LEFT(M1593,2)&lt;&gt;"33"))),"x","")</f>
        <v/>
      </c>
      <c r="W1593" s="52" t="str">
        <f>IF(AND(OR(LEFT(TH!L1593,2)="15",LEFT(TH!M1593,2)="15"),'152-CT'!$J$8=TH!F1593),"x","")</f>
        <v/>
      </c>
      <c r="X1593" s="52" t="str">
        <f>IF(AND(OR(LEFT(TH!L1593,2)="15",LEFT(TH!M1593,2)="15"),TK!$E$7=TH!F1593),"x","")</f>
        <v/>
      </c>
      <c r="Y1593" s="52" t="str">
        <f>IF(AND(B1593&lt;=NKC!$N$8,B1593&gt;=NKC!$M$8),"x","")</f>
        <v>x</v>
      </c>
    </row>
    <row r="1594" spans="1:25" s="767" customFormat="1" ht="15.75" customHeight="1">
      <c r="A1594" s="201" t="str">
        <f>IF(B1594&lt;&gt;"",IF(AND(B1594&gt;=_TM1,B1594&lt;=_TM2,OR(TH!L1594="1111",TH!M1594="1111")),TH!D1594,""),"")</f>
        <v/>
      </c>
      <c r="B1594" s="692">
        <f t="shared" si="75"/>
        <v>8</v>
      </c>
      <c r="C1594" s="791">
        <f t="shared" si="73"/>
        <v>41511</v>
      </c>
      <c r="D1594" s="791" t="s">
        <v>1261</v>
      </c>
      <c r="E1594" s="48">
        <v>41511</v>
      </c>
      <c r="F1594" s="49" t="s">
        <v>1128</v>
      </c>
      <c r="G1594" s="49" t="s">
        <v>888</v>
      </c>
      <c r="H1594" s="795" t="s">
        <v>1257</v>
      </c>
      <c r="I1594" s="248">
        <v>1390</v>
      </c>
      <c r="J1594" s="248">
        <v>5607.8624226302018</v>
      </c>
      <c r="K1594" s="693">
        <f t="shared" si="74"/>
        <v>7794929</v>
      </c>
      <c r="L1594" s="52" t="s">
        <v>164</v>
      </c>
      <c r="M1594" s="849" t="s">
        <v>162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IF(OR(TH!L1594=TH!$U$7,M1594=TH!$U$7),"x","")</f>
        <v/>
      </c>
      <c r="V1594" s="52" t="str">
        <f>IF(AND(B1594&gt;='IN-NX'!$P$3,B1594&lt;='IN-NX'!$Q$3,'IN-NX'!$D$7=D1594,OR(LEFT(L1594,2)="15",AND(LEFT(M1594,2)&lt;&gt;"15",LEFT(M1594,2)&lt;&gt;"33"))),"x","")</f>
        <v/>
      </c>
      <c r="W1594" s="52" t="str">
        <f>IF(AND(OR(LEFT(TH!L1594,2)="15",LEFT(TH!M1594,2)="15"),'152-CT'!$J$8=TH!F1594),"x","")</f>
        <v/>
      </c>
      <c r="X1594" s="52" t="str">
        <f>IF(AND(OR(LEFT(TH!L1594,2)="15",LEFT(TH!M1594,2)="15"),TK!$E$7=TH!F1594),"x","")</f>
        <v/>
      </c>
      <c r="Y1594" s="52" t="str">
        <f>IF(AND(B1594&lt;=NKC!$N$8,B1594&gt;=NKC!$M$8),"x","")</f>
        <v>x</v>
      </c>
    </row>
    <row r="1595" spans="1:25" s="767" customFormat="1" ht="15.75" customHeight="1">
      <c r="A1595" s="201" t="str">
        <f>IF(B1595&lt;&gt;"",IF(AND(B1595&gt;=_TM1,B1595&lt;=_TM2,OR(TH!L1595="1111",TH!M1595="1111")),TH!D1595,""),"")</f>
        <v/>
      </c>
      <c r="B1595" s="692">
        <f t="shared" si="75"/>
        <v>8</v>
      </c>
      <c r="C1595" s="791">
        <f t="shared" si="73"/>
        <v>41511</v>
      </c>
      <c r="D1595" s="791" t="s">
        <v>1261</v>
      </c>
      <c r="E1595" s="48">
        <v>41511</v>
      </c>
      <c r="F1595" s="49" t="s">
        <v>889</v>
      </c>
      <c r="G1595" s="49" t="s">
        <v>888</v>
      </c>
      <c r="H1595" s="795" t="s">
        <v>1257</v>
      </c>
      <c r="I1595" s="248">
        <v>310</v>
      </c>
      <c r="J1595" s="248">
        <v>5362.596235579842</v>
      </c>
      <c r="K1595" s="693">
        <f t="shared" si="74"/>
        <v>1662405</v>
      </c>
      <c r="L1595" s="52" t="s">
        <v>164</v>
      </c>
      <c r="M1595" s="849" t="s">
        <v>162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IF(OR(TH!L1595=TH!$U$7,M1595=TH!$U$7),"x","")</f>
        <v/>
      </c>
      <c r="V1595" s="52" t="str">
        <f>IF(AND(B1595&gt;='IN-NX'!$P$3,B1595&lt;='IN-NX'!$Q$3,'IN-NX'!$D$7=D1595,OR(LEFT(L1595,2)="15",AND(LEFT(M1595,2)&lt;&gt;"15",LEFT(M1595,2)&lt;&gt;"33"))),"x","")</f>
        <v/>
      </c>
      <c r="W1595" s="52" t="str">
        <f>IF(AND(OR(LEFT(TH!L1595,2)="15",LEFT(TH!M1595,2)="15"),'152-CT'!$J$8=TH!F1595),"x","")</f>
        <v/>
      </c>
      <c r="X1595" s="52" t="str">
        <f>IF(AND(OR(LEFT(TH!L1595,2)="15",LEFT(TH!M1595,2)="15"),TK!$E$7=TH!F1595),"x","")</f>
        <v/>
      </c>
      <c r="Y1595" s="52" t="str">
        <f>IF(AND(B1595&lt;=NKC!$N$8,B1595&gt;=NKC!$M$8),"x","")</f>
        <v>x</v>
      </c>
    </row>
    <row r="1596" spans="1:25" s="767" customFormat="1" ht="15.75" customHeight="1">
      <c r="A1596" s="201" t="str">
        <f>IF(B1596&lt;&gt;"",IF(AND(B1596&gt;=_TM1,B1596&lt;=_TM2,OR(TH!L1596="1111",TH!M1596="1111")),TH!D1596,""),"")</f>
        <v/>
      </c>
      <c r="B1596" s="692">
        <f t="shared" si="75"/>
        <v>8</v>
      </c>
      <c r="C1596" s="791">
        <f t="shared" ref="C1596:C1659" si="76">E1596</f>
        <v>41511</v>
      </c>
      <c r="D1596" s="791" t="s">
        <v>1261</v>
      </c>
      <c r="E1596" s="48">
        <v>41511</v>
      </c>
      <c r="F1596" s="49" t="s">
        <v>887</v>
      </c>
      <c r="G1596" s="49" t="s">
        <v>888</v>
      </c>
      <c r="H1596" s="795" t="s">
        <v>1257</v>
      </c>
      <c r="I1596" s="248">
        <v>90</v>
      </c>
      <c r="J1596" s="248">
        <v>8968.6406800242858</v>
      </c>
      <c r="K1596" s="693">
        <f t="shared" ref="K1596:K1659" si="77">ROUND(I1596*J1596,0)</f>
        <v>807178</v>
      </c>
      <c r="L1596" s="52" t="s">
        <v>164</v>
      </c>
      <c r="M1596" s="849" t="s">
        <v>162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IF(OR(TH!L1596=TH!$U$7,M1596=TH!$U$7),"x","")</f>
        <v/>
      </c>
      <c r="V1596" s="52" t="str">
        <f>IF(AND(B1596&gt;='IN-NX'!$P$3,B1596&lt;='IN-NX'!$Q$3,'IN-NX'!$D$7=D1596,OR(LEFT(L1596,2)="15",AND(LEFT(M1596,2)&lt;&gt;"15",LEFT(M1596,2)&lt;&gt;"33"))),"x","")</f>
        <v/>
      </c>
      <c r="W1596" s="52" t="str">
        <f>IF(AND(OR(LEFT(TH!L1596,2)="15",LEFT(TH!M1596,2)="15"),'152-CT'!$J$8=TH!F1596),"x","")</f>
        <v/>
      </c>
      <c r="X1596" s="52" t="str">
        <f>IF(AND(OR(LEFT(TH!L1596,2)="15",LEFT(TH!M1596,2)="15"),TK!$E$7=TH!F1596),"x","")</f>
        <v/>
      </c>
      <c r="Y1596" s="52" t="str">
        <f>IF(AND(B1596&lt;=NKC!$N$8,B1596&gt;=NKC!$M$8),"x","")</f>
        <v>x</v>
      </c>
    </row>
    <row r="1597" spans="1:25" s="767" customFormat="1" ht="15.75" customHeight="1">
      <c r="A1597" s="201" t="str">
        <f>IF(B1597&lt;&gt;"",IF(AND(B1597&gt;=_TM1,B1597&lt;=_TM2,OR(TH!L1597="1111",TH!M1597="1111")),TH!D1597,""),"")</f>
        <v/>
      </c>
      <c r="B1597" s="692">
        <f t="shared" si="75"/>
        <v>8</v>
      </c>
      <c r="C1597" s="791">
        <f t="shared" si="76"/>
        <v>41512</v>
      </c>
      <c r="D1597" s="791" t="s">
        <v>1261</v>
      </c>
      <c r="E1597" s="48">
        <v>41512</v>
      </c>
      <c r="F1597" s="49" t="s">
        <v>1117</v>
      </c>
      <c r="G1597" s="49" t="s">
        <v>890</v>
      </c>
      <c r="H1597" s="795" t="s">
        <v>1257</v>
      </c>
      <c r="I1597" s="248">
        <v>1400</v>
      </c>
      <c r="J1597" s="248">
        <v>4369.8533784369847</v>
      </c>
      <c r="K1597" s="693">
        <f t="shared" si="77"/>
        <v>6117795</v>
      </c>
      <c r="L1597" s="52" t="s">
        <v>164</v>
      </c>
      <c r="M1597" s="849" t="s">
        <v>162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IF(OR(TH!L1597=TH!$U$7,M1597=TH!$U$7),"x","")</f>
        <v/>
      </c>
      <c r="V1597" s="52" t="str">
        <f>IF(AND(B1597&gt;='IN-NX'!$P$3,B1597&lt;='IN-NX'!$Q$3,'IN-NX'!$D$7=D1597,OR(LEFT(L1597,2)="15",AND(LEFT(M1597,2)&lt;&gt;"15",LEFT(M1597,2)&lt;&gt;"33"))),"x","")</f>
        <v/>
      </c>
      <c r="W1597" s="52" t="str">
        <f>IF(AND(OR(LEFT(TH!L1597,2)="15",LEFT(TH!M1597,2)="15"),'152-CT'!$J$8=TH!F1597),"x","")</f>
        <v/>
      </c>
      <c r="X1597" s="52" t="str">
        <f>IF(AND(OR(LEFT(TH!L1597,2)="15",LEFT(TH!M1597,2)="15"),TK!$E$7=TH!F1597),"x","")</f>
        <v/>
      </c>
      <c r="Y1597" s="52" t="str">
        <f>IF(AND(B1597&lt;=NKC!$N$8,B1597&gt;=NKC!$M$8),"x","")</f>
        <v>x</v>
      </c>
    </row>
    <row r="1598" spans="1:25" s="767" customFormat="1" ht="15.75" customHeight="1">
      <c r="A1598" s="201" t="str">
        <f>IF(B1598&lt;&gt;"",IF(AND(B1598&gt;=_TM1,B1598&lt;=_TM2,OR(TH!L1598="1111",TH!M1598="1111")),TH!D1598,""),"")</f>
        <v/>
      </c>
      <c r="B1598" s="692">
        <f t="shared" si="75"/>
        <v>8</v>
      </c>
      <c r="C1598" s="791">
        <f t="shared" si="76"/>
        <v>41512</v>
      </c>
      <c r="D1598" s="791" t="s">
        <v>1261</v>
      </c>
      <c r="E1598" s="48">
        <v>41512</v>
      </c>
      <c r="F1598" s="49" t="s">
        <v>1117</v>
      </c>
      <c r="G1598" s="49" t="s">
        <v>890</v>
      </c>
      <c r="H1598" s="795" t="s">
        <v>1257</v>
      </c>
      <c r="I1598" s="248">
        <v>2400</v>
      </c>
      <c r="J1598" s="248">
        <v>4387.8008189131751</v>
      </c>
      <c r="K1598" s="693">
        <f t="shared" si="77"/>
        <v>10530722</v>
      </c>
      <c r="L1598" s="52" t="s">
        <v>164</v>
      </c>
      <c r="M1598" s="849" t="s">
        <v>162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IF(OR(TH!L1598=TH!$U$7,M1598=TH!$U$7),"x","")</f>
        <v/>
      </c>
      <c r="V1598" s="52" t="str">
        <f>IF(AND(B1598&gt;='IN-NX'!$P$3,B1598&lt;='IN-NX'!$Q$3,'IN-NX'!$D$7=D1598,OR(LEFT(L1598,2)="15",AND(LEFT(M1598,2)&lt;&gt;"15",LEFT(M1598,2)&lt;&gt;"33"))),"x","")</f>
        <v/>
      </c>
      <c r="W1598" s="52" t="str">
        <f>IF(AND(OR(LEFT(TH!L1598,2)="15",LEFT(TH!M1598,2)="15"),'152-CT'!$J$8=TH!F1598),"x","")</f>
        <v/>
      </c>
      <c r="X1598" s="52" t="str">
        <f>IF(AND(OR(LEFT(TH!L1598,2)="15",LEFT(TH!M1598,2)="15"),TK!$E$7=TH!F1598),"x","")</f>
        <v/>
      </c>
      <c r="Y1598" s="52" t="str">
        <f>IF(AND(B1598&lt;=NKC!$N$8,B1598&gt;=NKC!$M$8),"x","")</f>
        <v>x</v>
      </c>
    </row>
    <row r="1599" spans="1:25" s="767" customFormat="1" ht="15.75" customHeight="1">
      <c r="A1599" s="201" t="str">
        <f>IF(B1599&lt;&gt;"",IF(AND(B1599&gt;=_TM1,B1599&lt;=_TM2,OR(TH!L1599="1111",TH!M1599="1111")),TH!D1599,""),"")</f>
        <v/>
      </c>
      <c r="B1599" s="692">
        <f t="shared" si="75"/>
        <v>8</v>
      </c>
      <c r="C1599" s="791">
        <f t="shared" si="76"/>
        <v>41512</v>
      </c>
      <c r="D1599" s="791" t="s">
        <v>1261</v>
      </c>
      <c r="E1599" s="48">
        <v>41512</v>
      </c>
      <c r="F1599" s="49" t="s">
        <v>1108</v>
      </c>
      <c r="G1599" s="49" t="s">
        <v>1082</v>
      </c>
      <c r="H1599" s="795" t="s">
        <v>1257</v>
      </c>
      <c r="I1599" s="248">
        <v>1010</v>
      </c>
      <c r="J1599" s="248">
        <v>5514.6110870649909</v>
      </c>
      <c r="K1599" s="693">
        <f t="shared" si="77"/>
        <v>5569757</v>
      </c>
      <c r="L1599" s="52" t="s">
        <v>164</v>
      </c>
      <c r="M1599" s="849" t="s">
        <v>162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IF(OR(TH!L1599=TH!$U$7,M1599=TH!$U$7),"x","")</f>
        <v/>
      </c>
      <c r="V1599" s="52" t="str">
        <f>IF(AND(B1599&gt;='IN-NX'!$P$3,B1599&lt;='IN-NX'!$Q$3,'IN-NX'!$D$7=D1599,OR(LEFT(L1599,2)="15",AND(LEFT(M1599,2)&lt;&gt;"15",LEFT(M1599,2)&lt;&gt;"33"))),"x","")</f>
        <v/>
      </c>
      <c r="W1599" s="52" t="str">
        <f>IF(AND(OR(LEFT(TH!L1599,2)="15",LEFT(TH!M1599,2)="15"),'152-CT'!$J$8=TH!F1599),"x","")</f>
        <v/>
      </c>
      <c r="X1599" s="52" t="str">
        <f>IF(AND(OR(LEFT(TH!L1599,2)="15",LEFT(TH!M1599,2)="15"),TK!$E$7=TH!F1599),"x","")</f>
        <v/>
      </c>
      <c r="Y1599" s="52" t="str">
        <f>IF(AND(B1599&lt;=NKC!$N$8,B1599&gt;=NKC!$M$8),"x","")</f>
        <v>x</v>
      </c>
    </row>
    <row r="1600" spans="1:25" s="767" customFormat="1" ht="15.75" customHeight="1">
      <c r="A1600" s="201" t="str">
        <f>IF(B1600&lt;&gt;"",IF(AND(B1600&gt;=_TM1,B1600&lt;=_TM2,OR(TH!L1600="1111",TH!M1600="1111")),TH!D1600,""),"")</f>
        <v/>
      </c>
      <c r="B1600" s="692">
        <f t="shared" si="75"/>
        <v>8</v>
      </c>
      <c r="C1600" s="791">
        <f t="shared" si="76"/>
        <v>41512</v>
      </c>
      <c r="D1600" s="791" t="s">
        <v>1261</v>
      </c>
      <c r="E1600" s="48">
        <v>41512</v>
      </c>
      <c r="F1600" s="49" t="s">
        <v>1112</v>
      </c>
      <c r="G1600" s="49" t="s">
        <v>1082</v>
      </c>
      <c r="H1600" s="795" t="s">
        <v>1257</v>
      </c>
      <c r="I1600" s="248">
        <v>102</v>
      </c>
      <c r="J1600" s="248">
        <v>12067.498196364157</v>
      </c>
      <c r="K1600" s="693">
        <f t="shared" si="77"/>
        <v>1230885</v>
      </c>
      <c r="L1600" s="52" t="s">
        <v>164</v>
      </c>
      <c r="M1600" s="849" t="s">
        <v>162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IF(OR(TH!L1600=TH!$U$7,M1600=TH!$U$7),"x","")</f>
        <v/>
      </c>
      <c r="V1600" s="52" t="str">
        <f>IF(AND(B1600&gt;='IN-NX'!$P$3,B1600&lt;='IN-NX'!$Q$3,'IN-NX'!$D$7=D1600,OR(LEFT(L1600,2)="15",AND(LEFT(M1600,2)&lt;&gt;"15",LEFT(M1600,2)&lt;&gt;"33"))),"x","")</f>
        <v/>
      </c>
      <c r="W1600" s="52" t="str">
        <f>IF(AND(OR(LEFT(TH!L1600,2)="15",LEFT(TH!M1600,2)="15"),'152-CT'!$J$8=TH!F1600),"x","")</f>
        <v/>
      </c>
      <c r="X1600" s="52" t="str">
        <f>IF(AND(OR(LEFT(TH!L1600,2)="15",LEFT(TH!M1600,2)="15"),TK!$E$7=TH!F1600),"x","")</f>
        <v/>
      </c>
      <c r="Y1600" s="52" t="str">
        <f>IF(AND(B1600&lt;=NKC!$N$8,B1600&gt;=NKC!$M$8),"x","")</f>
        <v>x</v>
      </c>
    </row>
    <row r="1601" spans="1:25" s="767" customFormat="1" ht="15.75" customHeight="1">
      <c r="A1601" s="201" t="str">
        <f>IF(B1601&lt;&gt;"",IF(AND(B1601&gt;=_TM1,B1601&lt;=_TM2,OR(TH!L1601="1111",TH!M1601="1111")),TH!D1601,""),"")</f>
        <v/>
      </c>
      <c r="B1601" s="692">
        <f t="shared" si="75"/>
        <v>8</v>
      </c>
      <c r="C1601" s="791">
        <f t="shared" si="76"/>
        <v>41516</v>
      </c>
      <c r="D1601" s="791" t="s">
        <v>1261</v>
      </c>
      <c r="E1601" s="791">
        <v>41516</v>
      </c>
      <c r="F1601" s="848" t="s">
        <v>977</v>
      </c>
      <c r="G1601" s="792" t="s">
        <v>1083</v>
      </c>
      <c r="H1601" s="795" t="s">
        <v>1257</v>
      </c>
      <c r="I1601" s="248">
        <v>400</v>
      </c>
      <c r="J1601" s="248">
        <v>11617.596235579844</v>
      </c>
      <c r="K1601" s="693">
        <f t="shared" si="77"/>
        <v>4647038</v>
      </c>
      <c r="L1601" s="52" t="s">
        <v>164</v>
      </c>
      <c r="M1601" s="849" t="s">
        <v>162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IF(OR(TH!L1601=TH!$U$7,M1601=TH!$U$7),"x","")</f>
        <v/>
      </c>
      <c r="V1601" s="52" t="str">
        <f>IF(AND(B1601&gt;='IN-NX'!$P$3,B1601&lt;='IN-NX'!$Q$3,'IN-NX'!$D$7=D1601,OR(LEFT(L1601,2)="15",AND(LEFT(M1601,2)&lt;&gt;"15",LEFT(M1601,2)&lt;&gt;"33"))),"x","")</f>
        <v/>
      </c>
      <c r="W1601" s="52" t="str">
        <f>IF(AND(OR(LEFT(TH!L1601,2)="15",LEFT(TH!M1601,2)="15"),'152-CT'!$J$8=TH!F1601),"x","")</f>
        <v/>
      </c>
      <c r="X1601" s="52" t="str">
        <f>IF(AND(OR(LEFT(TH!L1601,2)="15",LEFT(TH!M1601,2)="15"),TK!$E$7=TH!F1601),"x","")</f>
        <v/>
      </c>
      <c r="Y1601" s="52" t="str">
        <f>IF(AND(B1601&lt;=NKC!$N$8,B1601&gt;=NKC!$M$8),"x","")</f>
        <v>x</v>
      </c>
    </row>
    <row r="1602" spans="1:25" s="767" customFormat="1" ht="15.75" customHeight="1">
      <c r="A1602" s="201" t="str">
        <f>IF(B1602&lt;&gt;"",IF(AND(B1602&gt;=_TM1,B1602&lt;=_TM2,OR(TH!L1602="1111",TH!M1602="1111")),TH!D1602,""),"")</f>
        <v/>
      </c>
      <c r="B1602" s="692">
        <f t="shared" si="75"/>
        <v>8</v>
      </c>
      <c r="C1602" s="791">
        <f t="shared" si="76"/>
        <v>41516</v>
      </c>
      <c r="D1602" s="791" t="s">
        <v>1261</v>
      </c>
      <c r="E1602" s="791">
        <v>41516</v>
      </c>
      <c r="F1602" s="848" t="s">
        <v>976</v>
      </c>
      <c r="G1602" s="792" t="s">
        <v>1083</v>
      </c>
      <c r="H1602" s="795" t="s">
        <v>1257</v>
      </c>
      <c r="I1602" s="248">
        <v>210</v>
      </c>
      <c r="J1602" s="248">
        <v>13879.596235579844</v>
      </c>
      <c r="K1602" s="693">
        <f t="shared" si="77"/>
        <v>2914715</v>
      </c>
      <c r="L1602" s="52" t="s">
        <v>164</v>
      </c>
      <c r="M1602" s="849" t="s">
        <v>162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IF(OR(TH!L1602=TH!$U$7,M1602=TH!$U$7),"x","")</f>
        <v/>
      </c>
      <c r="V1602" s="52" t="str">
        <f>IF(AND(B1602&gt;='IN-NX'!$P$3,B1602&lt;='IN-NX'!$Q$3,'IN-NX'!$D$7=D1602,OR(LEFT(L1602,2)="15",AND(LEFT(M1602,2)&lt;&gt;"15",LEFT(M1602,2)&lt;&gt;"33"))),"x","")</f>
        <v/>
      </c>
      <c r="W1602" s="52" t="str">
        <f>IF(AND(OR(LEFT(TH!L1602,2)="15",LEFT(TH!M1602,2)="15"),'152-CT'!$J$8=TH!F1602),"x","")</f>
        <v/>
      </c>
      <c r="X1602" s="52" t="str">
        <f>IF(AND(OR(LEFT(TH!L1602,2)="15",LEFT(TH!M1602,2)="15"),TK!$E$7=TH!F1602),"x","")</f>
        <v/>
      </c>
      <c r="Y1602" s="52" t="str">
        <f>IF(AND(B1602&lt;=NKC!$N$8,B1602&gt;=NKC!$M$8),"x","")</f>
        <v>x</v>
      </c>
    </row>
    <row r="1603" spans="1:25" s="767" customFormat="1" ht="15.75" customHeight="1">
      <c r="A1603" s="201" t="str">
        <f>IF(B1603&lt;&gt;"",IF(AND(B1603&gt;=_TM1,B1603&lt;=_TM2,OR(TH!L1603="1111",TH!M1603="1111")),TH!D1603,""),"")</f>
        <v/>
      </c>
      <c r="B1603" s="692">
        <f t="shared" si="75"/>
        <v>8</v>
      </c>
      <c r="C1603" s="791">
        <f t="shared" si="76"/>
        <v>41516</v>
      </c>
      <c r="D1603" s="791" t="s">
        <v>1261</v>
      </c>
      <c r="E1603" s="791">
        <v>41516</v>
      </c>
      <c r="F1603" s="848" t="s">
        <v>973</v>
      </c>
      <c r="G1603" s="792" t="s">
        <v>1083</v>
      </c>
      <c r="H1603" s="795" t="s">
        <v>1257</v>
      </c>
      <c r="I1603" s="248">
        <v>150</v>
      </c>
      <c r="J1603" s="248">
        <v>7100.6762355798419</v>
      </c>
      <c r="K1603" s="693">
        <f t="shared" si="77"/>
        <v>1065101</v>
      </c>
      <c r="L1603" s="52" t="s">
        <v>164</v>
      </c>
      <c r="M1603" s="849" t="s">
        <v>162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IF(OR(TH!L1603=TH!$U$7,M1603=TH!$U$7),"x","")</f>
        <v/>
      </c>
      <c r="V1603" s="52" t="str">
        <f>IF(AND(B1603&gt;='IN-NX'!$P$3,B1603&lt;='IN-NX'!$Q$3,'IN-NX'!$D$7=D1603,OR(LEFT(L1603,2)="15",AND(LEFT(M1603,2)&lt;&gt;"15",LEFT(M1603,2)&lt;&gt;"33"))),"x","")</f>
        <v/>
      </c>
      <c r="W1603" s="52" t="str">
        <f>IF(AND(OR(LEFT(TH!L1603,2)="15",LEFT(TH!M1603,2)="15"),'152-CT'!$J$8=TH!F1603),"x","")</f>
        <v/>
      </c>
      <c r="X1603" s="52" t="str">
        <f>IF(AND(OR(LEFT(TH!L1603,2)="15",LEFT(TH!M1603,2)="15"),TK!$E$7=TH!F1603),"x","")</f>
        <v/>
      </c>
      <c r="Y1603" s="52" t="str">
        <f>IF(AND(B1603&lt;=NKC!$N$8,B1603&gt;=NKC!$M$8),"x","")</f>
        <v>x</v>
      </c>
    </row>
    <row r="1604" spans="1:25" s="767" customFormat="1" ht="15.75" customHeight="1">
      <c r="A1604" s="201" t="str">
        <f>IF(B1604&lt;&gt;"",IF(AND(B1604&gt;=_TM1,B1604&lt;=_TM2,OR(TH!L1604="1111",TH!M1604="1111")),TH!D1604,""),"")</f>
        <v/>
      </c>
      <c r="B1604" s="692">
        <f t="shared" si="75"/>
        <v>8</v>
      </c>
      <c r="C1604" s="791">
        <f t="shared" si="76"/>
        <v>41512</v>
      </c>
      <c r="D1604" s="791" t="s">
        <v>1261</v>
      </c>
      <c r="E1604" s="791">
        <v>41512</v>
      </c>
      <c r="F1604" s="848" t="s">
        <v>907</v>
      </c>
      <c r="G1604" s="792" t="s">
        <v>1084</v>
      </c>
      <c r="H1604" s="795" t="s">
        <v>1257</v>
      </c>
      <c r="I1604" s="248">
        <v>585</v>
      </c>
      <c r="J1604" s="248">
        <v>18595.396235579843</v>
      </c>
      <c r="K1604" s="693">
        <f t="shared" si="77"/>
        <v>10878307</v>
      </c>
      <c r="L1604" s="52" t="s">
        <v>164</v>
      </c>
      <c r="M1604" s="849" t="s">
        <v>162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IF(OR(TH!L1604=TH!$U$7,M1604=TH!$U$7),"x","")</f>
        <v/>
      </c>
      <c r="V1604" s="52" t="str">
        <f>IF(AND(B1604&gt;='IN-NX'!$P$3,B1604&lt;='IN-NX'!$Q$3,'IN-NX'!$D$7=D1604,OR(LEFT(L1604,2)="15",AND(LEFT(M1604,2)&lt;&gt;"15",LEFT(M1604,2)&lt;&gt;"33"))),"x","")</f>
        <v/>
      </c>
      <c r="W1604" s="52" t="str">
        <f>IF(AND(OR(LEFT(TH!L1604,2)="15",LEFT(TH!M1604,2)="15"),'152-CT'!$J$8=TH!F1604),"x","")</f>
        <v/>
      </c>
      <c r="X1604" s="52" t="str">
        <f>IF(AND(OR(LEFT(TH!L1604,2)="15",LEFT(TH!M1604,2)="15"),TK!$E$7=TH!F1604),"x","")</f>
        <v/>
      </c>
      <c r="Y1604" s="52" t="str">
        <f>IF(AND(B1604&lt;=NKC!$N$8,B1604&gt;=NKC!$M$8),"x","")</f>
        <v>x</v>
      </c>
    </row>
    <row r="1605" spans="1:25" s="767" customFormat="1" ht="15.75" customHeight="1">
      <c r="A1605" s="201" t="str">
        <f>IF(B1605&lt;&gt;"",IF(AND(B1605&gt;=_TM1,B1605&lt;=_TM2,OR(TH!L1605="1111",TH!M1605="1111")),TH!D1605,""),"")</f>
        <v/>
      </c>
      <c r="B1605" s="692">
        <f t="shared" si="75"/>
        <v>8</v>
      </c>
      <c r="C1605" s="791">
        <f t="shared" si="76"/>
        <v>41512</v>
      </c>
      <c r="D1605" s="791" t="s">
        <v>1261</v>
      </c>
      <c r="E1605" s="791">
        <v>41512</v>
      </c>
      <c r="F1605" s="848" t="s">
        <v>909</v>
      </c>
      <c r="G1605" s="792" t="s">
        <v>1084</v>
      </c>
      <c r="H1605" s="795" t="s">
        <v>1257</v>
      </c>
      <c r="I1605" s="866">
        <v>371</v>
      </c>
      <c r="J1605" s="866">
        <v>15578.445292183613</v>
      </c>
      <c r="K1605" s="693">
        <f t="shared" si="77"/>
        <v>5779603</v>
      </c>
      <c r="L1605" s="52" t="s">
        <v>164</v>
      </c>
      <c r="M1605" s="849" t="s">
        <v>162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IF(OR(TH!L1605=TH!$U$7,M1605=TH!$U$7),"x","")</f>
        <v/>
      </c>
      <c r="V1605" s="52" t="str">
        <f>IF(AND(B1605&gt;='IN-NX'!$P$3,B1605&lt;='IN-NX'!$Q$3,'IN-NX'!$D$7=D1605,OR(LEFT(L1605,2)="15",AND(LEFT(M1605,2)&lt;&gt;"15",LEFT(M1605,2)&lt;&gt;"33"))),"x","")</f>
        <v/>
      </c>
      <c r="W1605" s="52" t="str">
        <f>IF(AND(OR(LEFT(TH!L1605,2)="15",LEFT(TH!M1605,2)="15"),'152-CT'!$J$8=TH!F1605),"x","")</f>
        <v/>
      </c>
      <c r="X1605" s="52" t="str">
        <f>IF(AND(OR(LEFT(TH!L1605,2)="15",LEFT(TH!M1605,2)="15"),TK!$E$7=TH!F1605),"x","")</f>
        <v/>
      </c>
      <c r="Y1605" s="52" t="str">
        <f>IF(AND(B1605&lt;=NKC!$N$8,B1605&gt;=NKC!$M$8),"x","")</f>
        <v>x</v>
      </c>
    </row>
    <row r="1606" spans="1:25" s="767" customFormat="1" ht="15.75" customHeight="1">
      <c r="A1606" s="201" t="str">
        <f>IF(B1606&lt;&gt;"",IF(AND(B1606&gt;=_TM1,B1606&lt;=_TM2,OR(TH!L1606="1111",TH!M1606="1111")),TH!D1606,""),"")</f>
        <v/>
      </c>
      <c r="B1606" s="692">
        <f t="shared" si="75"/>
        <v>9</v>
      </c>
      <c r="C1606" s="791">
        <f t="shared" si="76"/>
        <v>41522</v>
      </c>
      <c r="D1606" s="791" t="s">
        <v>1261</v>
      </c>
      <c r="E1606" s="791">
        <v>41522</v>
      </c>
      <c r="F1606" s="848" t="s">
        <v>1116</v>
      </c>
      <c r="G1606" s="792" t="s">
        <v>1085</v>
      </c>
      <c r="H1606" s="795" t="s">
        <v>1257</v>
      </c>
      <c r="I1606" s="866">
        <v>2700</v>
      </c>
      <c r="J1606" s="866">
        <v>4471.4295689131759</v>
      </c>
      <c r="K1606" s="693">
        <f t="shared" si="77"/>
        <v>12072860</v>
      </c>
      <c r="L1606" s="52" t="s">
        <v>164</v>
      </c>
      <c r="M1606" s="849" t="s">
        <v>162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IF(OR(TH!L1606=TH!$U$7,M1606=TH!$U$7),"x","")</f>
        <v/>
      </c>
      <c r="V1606" s="52" t="str">
        <f>IF(AND(B1606&gt;='IN-NX'!$P$3,B1606&lt;='IN-NX'!$Q$3,'IN-NX'!$D$7=D1606,OR(LEFT(L1606,2)="15",AND(LEFT(M1606,2)&lt;&gt;"15",LEFT(M1606,2)&lt;&gt;"33"))),"x","")</f>
        <v/>
      </c>
      <c r="W1606" s="52" t="str">
        <f>IF(AND(OR(LEFT(TH!L1606,2)="15",LEFT(TH!M1606,2)="15"),'152-CT'!$J$8=TH!F1606),"x","")</f>
        <v/>
      </c>
      <c r="X1606" s="52" t="str">
        <f>IF(AND(OR(LEFT(TH!L1606,2)="15",LEFT(TH!M1606,2)="15"),TK!$E$7=TH!F1606),"x","")</f>
        <v/>
      </c>
      <c r="Y1606" s="52" t="str">
        <f>IF(AND(B1606&lt;=NKC!$N$8,B1606&gt;=NKC!$M$8),"x","")</f>
        <v>x</v>
      </c>
    </row>
    <row r="1607" spans="1:25" s="767" customFormat="1" ht="15.75" customHeight="1">
      <c r="A1607" s="201" t="str">
        <f>IF(B1607&lt;&gt;"",IF(AND(B1607&gt;=_TM1,B1607&lt;=_TM2,OR(TH!L1607="1111",TH!M1607="1111")),TH!D1607,""),"")</f>
        <v/>
      </c>
      <c r="B1607" s="692">
        <f t="shared" si="75"/>
        <v>9</v>
      </c>
      <c r="C1607" s="791">
        <f t="shared" si="76"/>
        <v>41523</v>
      </c>
      <c r="D1607" s="791" t="s">
        <v>1261</v>
      </c>
      <c r="E1607" s="791">
        <v>41523</v>
      </c>
      <c r="F1607" s="848" t="s">
        <v>1087</v>
      </c>
      <c r="G1607" s="792" t="s">
        <v>1086</v>
      </c>
      <c r="H1607" s="795" t="s">
        <v>1257</v>
      </c>
      <c r="I1607" s="248">
        <v>1010</v>
      </c>
      <c r="J1607" s="248">
        <v>7487.096235579842</v>
      </c>
      <c r="K1607" s="693">
        <f t="shared" si="77"/>
        <v>7561967</v>
      </c>
      <c r="L1607" s="52" t="s">
        <v>164</v>
      </c>
      <c r="M1607" s="849" t="s">
        <v>162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IF(OR(TH!L1607=TH!$U$7,M1607=TH!$U$7),"x","")</f>
        <v/>
      </c>
      <c r="V1607" s="52" t="str">
        <f>IF(AND(B1607&gt;='IN-NX'!$P$3,B1607&lt;='IN-NX'!$Q$3,'IN-NX'!$D$7=D1607,OR(LEFT(L1607,2)="15",AND(LEFT(M1607,2)&lt;&gt;"15",LEFT(M1607,2)&lt;&gt;"33"))),"x","")</f>
        <v/>
      </c>
      <c r="W1607" s="52" t="str">
        <f>IF(AND(OR(LEFT(TH!L1607,2)="15",LEFT(TH!M1607,2)="15"),'152-CT'!$J$8=TH!F1607),"x","")</f>
        <v/>
      </c>
      <c r="X1607" s="52" t="str">
        <f>IF(AND(OR(LEFT(TH!L1607,2)="15",LEFT(TH!M1607,2)="15"),TK!$E$7=TH!F1607),"x","")</f>
        <v/>
      </c>
      <c r="Y1607" s="52" t="str">
        <f>IF(AND(B1607&lt;=NKC!$N$8,B1607&gt;=NKC!$M$8),"x","")</f>
        <v>x</v>
      </c>
    </row>
    <row r="1608" spans="1:25" s="767" customFormat="1" ht="15.75" customHeight="1">
      <c r="A1608" s="201" t="str">
        <f>IF(B1608&lt;&gt;"",IF(AND(B1608&gt;=_TM1,B1608&lt;=_TM2,OR(TH!L1608="1111",TH!M1608="1111")),TH!D1608,""),"")</f>
        <v/>
      </c>
      <c r="B1608" s="692">
        <f t="shared" si="75"/>
        <v>9</v>
      </c>
      <c r="C1608" s="791">
        <f t="shared" si="76"/>
        <v>41523</v>
      </c>
      <c r="D1608" s="791" t="s">
        <v>1261</v>
      </c>
      <c r="E1608" s="791">
        <v>41523</v>
      </c>
      <c r="F1608" s="848" t="s">
        <v>1088</v>
      </c>
      <c r="G1608" s="792" t="s">
        <v>1086</v>
      </c>
      <c r="H1608" s="795" t="s">
        <v>1257</v>
      </c>
      <c r="I1608" s="248">
        <v>1000</v>
      </c>
      <c r="J1608" s="248">
        <v>6615.596235579842</v>
      </c>
      <c r="K1608" s="693">
        <f t="shared" si="77"/>
        <v>6615596</v>
      </c>
      <c r="L1608" s="52" t="s">
        <v>164</v>
      </c>
      <c r="M1608" s="849" t="s">
        <v>162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IF(OR(TH!L1608=TH!$U$7,M1608=TH!$U$7),"x","")</f>
        <v/>
      </c>
      <c r="V1608" s="52" t="str">
        <f>IF(AND(B1608&gt;='IN-NX'!$P$3,B1608&lt;='IN-NX'!$Q$3,'IN-NX'!$D$7=D1608,OR(LEFT(L1608,2)="15",AND(LEFT(M1608,2)&lt;&gt;"15",LEFT(M1608,2)&lt;&gt;"33"))),"x","")</f>
        <v/>
      </c>
      <c r="W1608" s="52" t="str">
        <f>IF(AND(OR(LEFT(TH!L1608,2)="15",LEFT(TH!M1608,2)="15"),'152-CT'!$J$8=TH!F1608),"x","")</f>
        <v/>
      </c>
      <c r="X1608" s="52" t="str">
        <f>IF(AND(OR(LEFT(TH!L1608,2)="15",LEFT(TH!M1608,2)="15"),TK!$E$7=TH!F1608),"x","")</f>
        <v/>
      </c>
      <c r="Y1608" s="52" t="str">
        <f>IF(AND(B1608&lt;=NKC!$N$8,B1608&gt;=NKC!$M$8),"x","")</f>
        <v>x</v>
      </c>
    </row>
    <row r="1609" spans="1:25" s="767" customFormat="1" ht="15.75" customHeight="1">
      <c r="A1609" s="201" t="str">
        <f>IF(B1609&lt;&gt;"",IF(AND(B1609&gt;=_TM1,B1609&lt;=_TM2,OR(TH!L1609="1111",TH!M1609="1111")),TH!D1609,""),"")</f>
        <v/>
      </c>
      <c r="B1609" s="692">
        <f t="shared" si="75"/>
        <v>9</v>
      </c>
      <c r="C1609" s="791">
        <f t="shared" si="76"/>
        <v>41526</v>
      </c>
      <c r="D1609" s="791" t="s">
        <v>1261</v>
      </c>
      <c r="E1609" s="48">
        <v>41526</v>
      </c>
      <c r="F1609" s="49" t="s">
        <v>1103</v>
      </c>
      <c r="G1609" s="49" t="s">
        <v>1089</v>
      </c>
      <c r="H1609" s="795" t="s">
        <v>1257</v>
      </c>
      <c r="I1609" s="248">
        <v>990</v>
      </c>
      <c r="J1609" s="248">
        <v>6382.3911850747927</v>
      </c>
      <c r="K1609" s="693">
        <f t="shared" si="77"/>
        <v>6318567</v>
      </c>
      <c r="L1609" s="52" t="s">
        <v>164</v>
      </c>
      <c r="M1609" s="849" t="s">
        <v>162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IF(OR(TH!L1609=TH!$U$7,M1609=TH!$U$7),"x","")</f>
        <v/>
      </c>
      <c r="V1609" s="52" t="str">
        <f>IF(AND(B1609&gt;='IN-NX'!$P$3,B1609&lt;='IN-NX'!$Q$3,'IN-NX'!$D$7=D1609,OR(LEFT(L1609,2)="15",AND(LEFT(M1609,2)&lt;&gt;"15",LEFT(M1609,2)&lt;&gt;"33"))),"x","")</f>
        <v/>
      </c>
      <c r="W1609" s="52" t="str">
        <f>IF(AND(OR(LEFT(TH!L1609,2)="15",LEFT(TH!M1609,2)="15"),'152-CT'!$J$8=TH!F1609),"x","")</f>
        <v/>
      </c>
      <c r="X1609" s="52" t="str">
        <f>IF(AND(OR(LEFT(TH!L1609,2)="15",LEFT(TH!M1609,2)="15"),TK!$E$7=TH!F1609),"x","")</f>
        <v/>
      </c>
      <c r="Y1609" s="52" t="str">
        <f>IF(AND(B1609&lt;=NKC!$N$8,B1609&gt;=NKC!$M$8),"x","")</f>
        <v>x</v>
      </c>
    </row>
    <row r="1610" spans="1:25" s="767" customFormat="1" ht="15.75" customHeight="1">
      <c r="A1610" s="201" t="str">
        <f>IF(B1610&lt;&gt;"",IF(AND(B1610&gt;=_TM1,B1610&lt;=_TM2,OR(TH!L1610="1111",TH!M1610="1111")),TH!D1610,""),"")</f>
        <v/>
      </c>
      <c r="B1610" s="692">
        <f t="shared" si="75"/>
        <v>9</v>
      </c>
      <c r="C1610" s="791">
        <f t="shared" si="76"/>
        <v>41526</v>
      </c>
      <c r="D1610" s="791" t="s">
        <v>1261</v>
      </c>
      <c r="E1610" s="48">
        <v>41526</v>
      </c>
      <c r="F1610" s="49" t="s">
        <v>834</v>
      </c>
      <c r="G1610" s="49" t="s">
        <v>1090</v>
      </c>
      <c r="H1610" s="795" t="s">
        <v>1257</v>
      </c>
      <c r="I1610" s="248">
        <v>505</v>
      </c>
      <c r="J1610" s="248">
        <v>20664.655641520432</v>
      </c>
      <c r="K1610" s="693">
        <f t="shared" si="77"/>
        <v>10435651</v>
      </c>
      <c r="L1610" s="52" t="s">
        <v>164</v>
      </c>
      <c r="M1610" s="849" t="s">
        <v>162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IF(OR(TH!L1610=TH!$U$7,M1610=TH!$U$7),"x","")</f>
        <v/>
      </c>
      <c r="V1610" s="52" t="str">
        <f>IF(AND(B1610&gt;='IN-NX'!$P$3,B1610&lt;='IN-NX'!$Q$3,'IN-NX'!$D$7=D1610,OR(LEFT(L1610,2)="15",AND(LEFT(M1610,2)&lt;&gt;"15",LEFT(M1610,2)&lt;&gt;"33"))),"x","")</f>
        <v/>
      </c>
      <c r="W1610" s="52" t="str">
        <f>IF(AND(OR(LEFT(TH!L1610,2)="15",LEFT(TH!M1610,2)="15"),'152-CT'!$J$8=TH!F1610),"x","")</f>
        <v/>
      </c>
      <c r="X1610" s="52" t="str">
        <f>IF(AND(OR(LEFT(TH!L1610,2)="15",LEFT(TH!M1610,2)="15"),TK!$E$7=TH!F1610),"x","")</f>
        <v/>
      </c>
      <c r="Y1610" s="52" t="str">
        <f>IF(AND(B1610&lt;=NKC!$N$8,B1610&gt;=NKC!$M$8),"x","")</f>
        <v>x</v>
      </c>
    </row>
    <row r="1611" spans="1:25" s="767" customFormat="1" ht="15.75" customHeight="1">
      <c r="A1611" s="201" t="str">
        <f>IF(B1611&lt;&gt;"",IF(AND(B1611&gt;=_TM1,B1611&lt;=_TM2,OR(TH!L1611="1111",TH!M1611="1111")),TH!D1611,""),"")</f>
        <v/>
      </c>
      <c r="B1611" s="692">
        <f t="shared" si="75"/>
        <v>9</v>
      </c>
      <c r="C1611" s="791">
        <f t="shared" si="76"/>
        <v>41526</v>
      </c>
      <c r="D1611" s="791" t="s">
        <v>1261</v>
      </c>
      <c r="E1611" s="48">
        <v>41526</v>
      </c>
      <c r="F1611" s="49" t="s">
        <v>907</v>
      </c>
      <c r="G1611" s="49" t="s">
        <v>1091</v>
      </c>
      <c r="H1611" s="795" t="s">
        <v>1257</v>
      </c>
      <c r="I1611" s="248">
        <v>585</v>
      </c>
      <c r="J1611" s="248">
        <v>18595.396235579843</v>
      </c>
      <c r="K1611" s="693">
        <f t="shared" si="77"/>
        <v>10878307</v>
      </c>
      <c r="L1611" s="52" t="s">
        <v>164</v>
      </c>
      <c r="M1611" s="849" t="s">
        <v>162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IF(OR(TH!L1611=TH!$U$7,M1611=TH!$U$7),"x","")</f>
        <v/>
      </c>
      <c r="V1611" s="52" t="str">
        <f>IF(AND(B1611&gt;='IN-NX'!$P$3,B1611&lt;='IN-NX'!$Q$3,'IN-NX'!$D$7=D1611,OR(LEFT(L1611,2)="15",AND(LEFT(M1611,2)&lt;&gt;"15",LEFT(M1611,2)&lt;&gt;"33"))),"x","")</f>
        <v/>
      </c>
      <c r="W1611" s="52" t="str">
        <f>IF(AND(OR(LEFT(TH!L1611,2)="15",LEFT(TH!M1611,2)="15"),'152-CT'!$J$8=TH!F1611),"x","")</f>
        <v/>
      </c>
      <c r="X1611" s="52" t="str">
        <f>IF(AND(OR(LEFT(TH!L1611,2)="15",LEFT(TH!M1611,2)="15"),TK!$E$7=TH!F1611),"x","")</f>
        <v/>
      </c>
      <c r="Y1611" s="52" t="str">
        <f>IF(AND(B1611&lt;=NKC!$N$8,B1611&gt;=NKC!$M$8),"x","")</f>
        <v>x</v>
      </c>
    </row>
    <row r="1612" spans="1:25" s="767" customFormat="1" ht="15.75" customHeight="1">
      <c r="A1612" s="201" t="str">
        <f>IF(B1612&lt;&gt;"",IF(AND(B1612&gt;=_TM1,B1612&lt;=_TM2,OR(TH!L1612="1111",TH!M1612="1111")),TH!D1612,""),"")</f>
        <v/>
      </c>
      <c r="B1612" s="692">
        <f t="shared" si="75"/>
        <v>9</v>
      </c>
      <c r="C1612" s="791">
        <f t="shared" si="76"/>
        <v>41526</v>
      </c>
      <c r="D1612" s="791" t="s">
        <v>1261</v>
      </c>
      <c r="E1612" s="48">
        <v>41526</v>
      </c>
      <c r="F1612" s="49" t="s">
        <v>909</v>
      </c>
      <c r="G1612" s="49" t="s">
        <v>1091</v>
      </c>
      <c r="H1612" s="795" t="s">
        <v>1257</v>
      </c>
      <c r="I1612" s="248">
        <v>300</v>
      </c>
      <c r="J1612" s="248">
        <v>14704.596235579842</v>
      </c>
      <c r="K1612" s="693">
        <f t="shared" si="77"/>
        <v>4411379</v>
      </c>
      <c r="L1612" s="52" t="s">
        <v>164</v>
      </c>
      <c r="M1612" s="849" t="s">
        <v>162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IF(OR(TH!L1612=TH!$U$7,M1612=TH!$U$7),"x","")</f>
        <v/>
      </c>
      <c r="V1612" s="52" t="str">
        <f>IF(AND(B1612&gt;='IN-NX'!$P$3,B1612&lt;='IN-NX'!$Q$3,'IN-NX'!$D$7=D1612,OR(LEFT(L1612,2)="15",AND(LEFT(M1612,2)&lt;&gt;"15",LEFT(M1612,2)&lt;&gt;"33"))),"x","")</f>
        <v/>
      </c>
      <c r="W1612" s="52" t="str">
        <f>IF(AND(OR(LEFT(TH!L1612,2)="15",LEFT(TH!M1612,2)="15"),'152-CT'!$J$8=TH!F1612),"x","")</f>
        <v/>
      </c>
      <c r="X1612" s="52" t="str">
        <f>IF(AND(OR(LEFT(TH!L1612,2)="15",LEFT(TH!M1612,2)="15"),TK!$E$7=TH!F1612),"x","")</f>
        <v/>
      </c>
      <c r="Y1612" s="52" t="str">
        <f>IF(AND(B1612&lt;=NKC!$N$8,B1612&gt;=NKC!$M$8),"x","")</f>
        <v>x</v>
      </c>
    </row>
    <row r="1613" spans="1:25" s="767" customFormat="1" ht="15.75" customHeight="1">
      <c r="A1613" s="201" t="str">
        <f>IF(B1613&lt;&gt;"",IF(AND(B1613&gt;=_TM1,B1613&lt;=_TM2,OR(TH!L1613="1111",TH!M1613="1111")),TH!D1613,""),"")</f>
        <v/>
      </c>
      <c r="B1613" s="692">
        <f t="shared" si="75"/>
        <v>9</v>
      </c>
      <c r="C1613" s="791">
        <f t="shared" si="76"/>
        <v>41526</v>
      </c>
      <c r="D1613" s="791" t="s">
        <v>1261</v>
      </c>
      <c r="E1613" s="48">
        <v>41526</v>
      </c>
      <c r="F1613" s="49" t="s">
        <v>1116</v>
      </c>
      <c r="G1613" s="49" t="s">
        <v>891</v>
      </c>
      <c r="H1613" s="795" t="s">
        <v>1257</v>
      </c>
      <c r="I1613" s="248">
        <v>2680</v>
      </c>
      <c r="J1613" s="248">
        <v>4415.9544445350666</v>
      </c>
      <c r="K1613" s="693">
        <f t="shared" si="77"/>
        <v>11834758</v>
      </c>
      <c r="L1613" s="52" t="s">
        <v>164</v>
      </c>
      <c r="M1613" s="849" t="s">
        <v>162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IF(OR(TH!L1613=TH!$U$7,M1613=TH!$U$7),"x","")</f>
        <v/>
      </c>
      <c r="V1613" s="52" t="str">
        <f>IF(AND(B1613&gt;='IN-NX'!$P$3,B1613&lt;='IN-NX'!$Q$3,'IN-NX'!$D$7=D1613,OR(LEFT(L1613,2)="15",AND(LEFT(M1613,2)&lt;&gt;"15",LEFT(M1613,2)&lt;&gt;"33"))),"x","")</f>
        <v/>
      </c>
      <c r="W1613" s="52" t="str">
        <f>IF(AND(OR(LEFT(TH!L1613,2)="15",LEFT(TH!M1613,2)="15"),'152-CT'!$J$8=TH!F1613),"x","")</f>
        <v/>
      </c>
      <c r="X1613" s="52" t="str">
        <f>IF(AND(OR(LEFT(TH!L1613,2)="15",LEFT(TH!M1613,2)="15"),TK!$E$7=TH!F1613),"x","")</f>
        <v/>
      </c>
      <c r="Y1613" s="52" t="str">
        <f>IF(AND(B1613&lt;=NKC!$N$8,B1613&gt;=NKC!$M$8),"x","")</f>
        <v>x</v>
      </c>
    </row>
    <row r="1614" spans="1:25" s="767" customFormat="1" ht="15.75" customHeight="1">
      <c r="A1614" s="201" t="str">
        <f>IF(B1614&lt;&gt;"",IF(AND(B1614&gt;=_TM1,B1614&lt;=_TM2,OR(TH!L1614="1111",TH!M1614="1111")),TH!D1614,""),"")</f>
        <v/>
      </c>
      <c r="B1614" s="692">
        <f t="shared" si="75"/>
        <v>9</v>
      </c>
      <c r="C1614" s="791">
        <f t="shared" si="76"/>
        <v>41528</v>
      </c>
      <c r="D1614" s="791" t="s">
        <v>1261</v>
      </c>
      <c r="E1614" s="48">
        <v>41528</v>
      </c>
      <c r="F1614" s="49" t="s">
        <v>892</v>
      </c>
      <c r="G1614" s="49" t="s">
        <v>893</v>
      </c>
      <c r="H1614" s="795" t="s">
        <v>1257</v>
      </c>
      <c r="I1614" s="248">
        <v>100</v>
      </c>
      <c r="J1614" s="248">
        <v>11617.596235579844</v>
      </c>
      <c r="K1614" s="693">
        <f t="shared" si="77"/>
        <v>1161760</v>
      </c>
      <c r="L1614" s="52" t="s">
        <v>164</v>
      </c>
      <c r="M1614" s="849" t="s">
        <v>162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IF(OR(TH!L1614=TH!$U$7,M1614=TH!$U$7),"x","")</f>
        <v/>
      </c>
      <c r="V1614" s="52" t="str">
        <f>IF(AND(B1614&gt;='IN-NX'!$P$3,B1614&lt;='IN-NX'!$Q$3,'IN-NX'!$D$7=D1614,OR(LEFT(L1614,2)="15",AND(LEFT(M1614,2)&lt;&gt;"15",LEFT(M1614,2)&lt;&gt;"33"))),"x","")</f>
        <v/>
      </c>
      <c r="W1614" s="52" t="str">
        <f>IF(AND(OR(LEFT(TH!L1614,2)="15",LEFT(TH!M1614,2)="15"),'152-CT'!$J$8=TH!F1614),"x","")</f>
        <v/>
      </c>
      <c r="X1614" s="52" t="str">
        <f>IF(AND(OR(LEFT(TH!L1614,2)="15",LEFT(TH!M1614,2)="15"),TK!$E$7=TH!F1614),"x","")</f>
        <v/>
      </c>
      <c r="Y1614" s="52" t="str">
        <f>IF(AND(B1614&lt;=NKC!$N$8,B1614&gt;=NKC!$M$8),"x","")</f>
        <v>x</v>
      </c>
    </row>
    <row r="1615" spans="1:25" s="767" customFormat="1" ht="15.75" customHeight="1">
      <c r="A1615" s="201" t="str">
        <f>IF(B1615&lt;&gt;"",IF(AND(B1615&gt;=_TM1,B1615&lt;=_TM2,OR(TH!L1615="1111",TH!M1615="1111")),TH!D1615,""),"")</f>
        <v/>
      </c>
      <c r="B1615" s="692">
        <f t="shared" si="75"/>
        <v>9</v>
      </c>
      <c r="C1615" s="791">
        <f t="shared" si="76"/>
        <v>41528</v>
      </c>
      <c r="D1615" s="791" t="s">
        <v>1261</v>
      </c>
      <c r="E1615" s="48">
        <v>41528</v>
      </c>
      <c r="F1615" s="49" t="s">
        <v>895</v>
      </c>
      <c r="G1615" s="49" t="s">
        <v>893</v>
      </c>
      <c r="H1615" s="795" t="s">
        <v>1257</v>
      </c>
      <c r="I1615" s="248">
        <v>102</v>
      </c>
      <c r="J1615" s="248">
        <v>13879.596235579844</v>
      </c>
      <c r="K1615" s="693">
        <f t="shared" si="77"/>
        <v>1415719</v>
      </c>
      <c r="L1615" s="52" t="s">
        <v>164</v>
      </c>
      <c r="M1615" s="849" t="s">
        <v>162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IF(OR(TH!L1615=TH!$U$7,M1615=TH!$U$7),"x","")</f>
        <v/>
      </c>
      <c r="V1615" s="52" t="str">
        <f>IF(AND(B1615&gt;='IN-NX'!$P$3,B1615&lt;='IN-NX'!$Q$3,'IN-NX'!$D$7=D1615,OR(LEFT(L1615,2)="15",AND(LEFT(M1615,2)&lt;&gt;"15",LEFT(M1615,2)&lt;&gt;"33"))),"x","")</f>
        <v/>
      </c>
      <c r="W1615" s="52" t="str">
        <f>IF(AND(OR(LEFT(TH!L1615,2)="15",LEFT(TH!M1615,2)="15"),'152-CT'!$J$8=TH!F1615),"x","")</f>
        <v/>
      </c>
      <c r="X1615" s="52" t="str">
        <f>IF(AND(OR(LEFT(TH!L1615,2)="15",LEFT(TH!M1615,2)="15"),TK!$E$7=TH!F1615),"x","")</f>
        <v/>
      </c>
      <c r="Y1615" s="52" t="str">
        <f>IF(AND(B1615&lt;=NKC!$N$8,B1615&gt;=NKC!$M$8),"x","")</f>
        <v>x</v>
      </c>
    </row>
    <row r="1616" spans="1:25" s="767" customFormat="1" ht="15.75" customHeight="1">
      <c r="A1616" s="201" t="str">
        <f>IF(B1616&lt;&gt;"",IF(AND(B1616&gt;=_TM1,B1616&lt;=_TM2,OR(TH!L1616="1111",TH!M1616="1111")),TH!D1616,""),"")</f>
        <v/>
      </c>
      <c r="B1616" s="692">
        <f t="shared" si="75"/>
        <v>9</v>
      </c>
      <c r="C1616" s="791">
        <f t="shared" si="76"/>
        <v>41533</v>
      </c>
      <c r="D1616" s="791" t="s">
        <v>1261</v>
      </c>
      <c r="E1616" s="48">
        <v>41533</v>
      </c>
      <c r="F1616" s="49" t="s">
        <v>805</v>
      </c>
      <c r="G1616" s="49" t="s">
        <v>896</v>
      </c>
      <c r="H1616" s="795" t="s">
        <v>1257</v>
      </c>
      <c r="I1616" s="248">
        <v>992</v>
      </c>
      <c r="J1616" s="248">
        <v>9217.014582354037</v>
      </c>
      <c r="K1616" s="693">
        <f t="shared" si="77"/>
        <v>9143278</v>
      </c>
      <c r="L1616" s="52" t="s">
        <v>164</v>
      </c>
      <c r="M1616" s="849" t="s">
        <v>162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IF(OR(TH!L1616=TH!$U$7,M1616=TH!$U$7),"x","")</f>
        <v/>
      </c>
      <c r="V1616" s="52" t="str">
        <f>IF(AND(B1616&gt;='IN-NX'!$P$3,B1616&lt;='IN-NX'!$Q$3,'IN-NX'!$D$7=D1616,OR(LEFT(L1616,2)="15",AND(LEFT(M1616,2)&lt;&gt;"15",LEFT(M1616,2)&lt;&gt;"33"))),"x","")</f>
        <v/>
      </c>
      <c r="W1616" s="52" t="str">
        <f>IF(AND(OR(LEFT(TH!L1616,2)="15",LEFT(TH!M1616,2)="15"),'152-CT'!$J$8=TH!F1616),"x","")</f>
        <v/>
      </c>
      <c r="X1616" s="52" t="str">
        <f>IF(AND(OR(LEFT(TH!L1616,2)="15",LEFT(TH!M1616,2)="15"),TK!$E$7=TH!F1616),"x","")</f>
        <v/>
      </c>
      <c r="Y1616" s="52" t="str">
        <f>IF(AND(B1616&lt;=NKC!$N$8,B1616&gt;=NKC!$M$8),"x","")</f>
        <v>x</v>
      </c>
    </row>
    <row r="1617" spans="1:25" s="767" customFormat="1" ht="15.75" customHeight="1">
      <c r="A1617" s="201" t="str">
        <f>IF(B1617&lt;&gt;"",IF(AND(B1617&gt;=_TM1,B1617&lt;=_TM2,OR(TH!L1617="1111",TH!M1617="1111")),TH!D1617,""),"")</f>
        <v/>
      </c>
      <c r="B1617" s="692">
        <f t="shared" si="75"/>
        <v>9</v>
      </c>
      <c r="C1617" s="791">
        <f t="shared" si="76"/>
        <v>41535</v>
      </c>
      <c r="D1617" s="791" t="s">
        <v>1261</v>
      </c>
      <c r="E1617" s="48">
        <v>41535</v>
      </c>
      <c r="F1617" s="49" t="s">
        <v>834</v>
      </c>
      <c r="G1617" s="49" t="s">
        <v>897</v>
      </c>
      <c r="H1617" s="795" t="s">
        <v>1257</v>
      </c>
      <c r="I1617" s="248">
        <v>496</v>
      </c>
      <c r="J1617" s="248">
        <v>20664.654703321779</v>
      </c>
      <c r="K1617" s="693">
        <f t="shared" si="77"/>
        <v>10249669</v>
      </c>
      <c r="L1617" s="52" t="s">
        <v>164</v>
      </c>
      <c r="M1617" s="849" t="s">
        <v>162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IF(OR(TH!L1617=TH!$U$7,M1617=TH!$U$7),"x","")</f>
        <v/>
      </c>
      <c r="V1617" s="52" t="str">
        <f>IF(AND(B1617&gt;='IN-NX'!$P$3,B1617&lt;='IN-NX'!$Q$3,'IN-NX'!$D$7=D1617,OR(LEFT(L1617,2)="15",AND(LEFT(M1617,2)&lt;&gt;"15",LEFT(M1617,2)&lt;&gt;"33"))),"x","")</f>
        <v/>
      </c>
      <c r="W1617" s="52" t="str">
        <f>IF(AND(OR(LEFT(TH!L1617,2)="15",LEFT(TH!M1617,2)="15"),'152-CT'!$J$8=TH!F1617),"x","")</f>
        <v/>
      </c>
      <c r="X1617" s="52" t="str">
        <f>IF(AND(OR(LEFT(TH!L1617,2)="15",LEFT(TH!M1617,2)="15"),TK!$E$7=TH!F1617),"x","")</f>
        <v/>
      </c>
      <c r="Y1617" s="52" t="str">
        <f>IF(AND(B1617&lt;=NKC!$N$8,B1617&gt;=NKC!$M$8),"x","")</f>
        <v>x</v>
      </c>
    </row>
    <row r="1618" spans="1:25" s="767" customFormat="1" ht="15.75" customHeight="1">
      <c r="A1618" s="201" t="str">
        <f>IF(B1618&lt;&gt;"",IF(AND(B1618&gt;=_TM1,B1618&lt;=_TM2,OR(TH!L1618="1111",TH!M1618="1111")),TH!D1618,""),"")</f>
        <v/>
      </c>
      <c r="B1618" s="692">
        <f t="shared" si="75"/>
        <v>9</v>
      </c>
      <c r="C1618" s="791">
        <f t="shared" si="76"/>
        <v>41536</v>
      </c>
      <c r="D1618" s="791" t="s">
        <v>1261</v>
      </c>
      <c r="E1618" s="48">
        <v>41536</v>
      </c>
      <c r="F1618" s="49" t="s">
        <v>898</v>
      </c>
      <c r="G1618" s="49" t="s">
        <v>899</v>
      </c>
      <c r="H1618" s="795" t="s">
        <v>1257</v>
      </c>
      <c r="I1618" s="248">
        <v>294</v>
      </c>
      <c r="J1618" s="248">
        <v>2757.9975961240598</v>
      </c>
      <c r="K1618" s="693">
        <f t="shared" si="77"/>
        <v>810851</v>
      </c>
      <c r="L1618" s="52" t="s">
        <v>164</v>
      </c>
      <c r="M1618" s="849" t="s">
        <v>162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IF(OR(TH!L1618=TH!$U$7,M1618=TH!$U$7),"x","")</f>
        <v/>
      </c>
      <c r="V1618" s="52" t="str">
        <f>IF(AND(B1618&gt;='IN-NX'!$P$3,B1618&lt;='IN-NX'!$Q$3,'IN-NX'!$D$7=D1618,OR(LEFT(L1618,2)="15",AND(LEFT(M1618,2)&lt;&gt;"15",LEFT(M1618,2)&lt;&gt;"33"))),"x","")</f>
        <v/>
      </c>
      <c r="W1618" s="52" t="str">
        <f>IF(AND(OR(LEFT(TH!L1618,2)="15",LEFT(TH!M1618,2)="15"),'152-CT'!$J$8=TH!F1618),"x","")</f>
        <v/>
      </c>
      <c r="X1618" s="52" t="str">
        <f>IF(AND(OR(LEFT(TH!L1618,2)="15",LEFT(TH!M1618,2)="15"),TK!$E$7=TH!F1618),"x","")</f>
        <v/>
      </c>
      <c r="Y1618" s="52" t="str">
        <f>IF(AND(B1618&lt;=NKC!$N$8,B1618&gt;=NKC!$M$8),"x","")</f>
        <v>x</v>
      </c>
    </row>
    <row r="1619" spans="1:25" s="767" customFormat="1" ht="15.75" customHeight="1">
      <c r="A1619" s="201" t="str">
        <f>IF(B1619&lt;&gt;"",IF(AND(B1619&gt;=_TM1,B1619&lt;=_TM2,OR(TH!L1619="1111",TH!M1619="1111")),TH!D1619,""),"")</f>
        <v/>
      </c>
      <c r="B1619" s="692">
        <f t="shared" si="75"/>
        <v>9</v>
      </c>
      <c r="C1619" s="791">
        <f t="shared" si="76"/>
        <v>41537</v>
      </c>
      <c r="D1619" s="791" t="s">
        <v>1261</v>
      </c>
      <c r="E1619" s="48">
        <v>41537</v>
      </c>
      <c r="F1619" s="49" t="s">
        <v>854</v>
      </c>
      <c r="G1619" s="49" t="s">
        <v>900</v>
      </c>
      <c r="H1619" s="795" t="s">
        <v>1257</v>
      </c>
      <c r="I1619" s="248">
        <v>510</v>
      </c>
      <c r="J1619" s="248">
        <v>7460.4785885210194</v>
      </c>
      <c r="K1619" s="693">
        <f t="shared" si="77"/>
        <v>3804844</v>
      </c>
      <c r="L1619" s="52" t="s">
        <v>164</v>
      </c>
      <c r="M1619" s="849" t="s">
        <v>162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IF(OR(TH!L1619=TH!$U$7,M1619=TH!$U$7),"x","")</f>
        <v/>
      </c>
      <c r="V1619" s="52" t="str">
        <f>IF(AND(B1619&gt;='IN-NX'!$P$3,B1619&lt;='IN-NX'!$Q$3,'IN-NX'!$D$7=D1619,OR(LEFT(L1619,2)="15",AND(LEFT(M1619,2)&lt;&gt;"15",LEFT(M1619,2)&lt;&gt;"33"))),"x","")</f>
        <v/>
      </c>
      <c r="W1619" s="52" t="str">
        <f>IF(AND(OR(LEFT(TH!L1619,2)="15",LEFT(TH!M1619,2)="15"),'152-CT'!$J$8=TH!F1619),"x","")</f>
        <v/>
      </c>
      <c r="X1619" s="52" t="str">
        <f>IF(AND(OR(LEFT(TH!L1619,2)="15",LEFT(TH!M1619,2)="15"),TK!$E$7=TH!F1619),"x","")</f>
        <v/>
      </c>
      <c r="Y1619" s="52" t="str">
        <f>IF(AND(B1619&lt;=NKC!$N$8,B1619&gt;=NKC!$M$8),"x","")</f>
        <v>x</v>
      </c>
    </row>
    <row r="1620" spans="1:25" s="767" customFormat="1" ht="15.75" customHeight="1">
      <c r="A1620" s="201" t="str">
        <f>IF(B1620&lt;&gt;"",IF(AND(B1620&gt;=_TM1,B1620&lt;=_TM2,OR(TH!L1620="1111",TH!M1620="1111")),TH!D1620,""),"")</f>
        <v/>
      </c>
      <c r="B1620" s="692">
        <f t="shared" si="75"/>
        <v>9</v>
      </c>
      <c r="C1620" s="791">
        <f t="shared" si="76"/>
        <v>41538</v>
      </c>
      <c r="D1620" s="791" t="s">
        <v>1261</v>
      </c>
      <c r="E1620" s="48">
        <v>41538</v>
      </c>
      <c r="F1620" s="49" t="s">
        <v>711</v>
      </c>
      <c r="G1620" s="49" t="s">
        <v>901</v>
      </c>
      <c r="H1620" s="795" t="s">
        <v>1257</v>
      </c>
      <c r="I1620" s="248">
        <v>331</v>
      </c>
      <c r="J1620" s="248">
        <v>20664.656658540567</v>
      </c>
      <c r="K1620" s="693">
        <f t="shared" si="77"/>
        <v>6840001</v>
      </c>
      <c r="L1620" s="52" t="s">
        <v>164</v>
      </c>
      <c r="M1620" s="849" t="s">
        <v>162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IF(OR(TH!L1620=TH!$U$7,M1620=TH!$U$7),"x","")</f>
        <v/>
      </c>
      <c r="V1620" s="52" t="str">
        <f>IF(AND(B1620&gt;='IN-NX'!$P$3,B1620&lt;='IN-NX'!$Q$3,'IN-NX'!$D$7=D1620,OR(LEFT(L1620,2)="15",AND(LEFT(M1620,2)&lt;&gt;"15",LEFT(M1620,2)&lt;&gt;"33"))),"x","")</f>
        <v/>
      </c>
      <c r="W1620" s="52" t="str">
        <f>IF(AND(OR(LEFT(TH!L1620,2)="15",LEFT(TH!M1620,2)="15"),'152-CT'!$J$8=TH!F1620),"x","")</f>
        <v/>
      </c>
      <c r="X1620" s="52" t="str">
        <f>IF(AND(OR(LEFT(TH!L1620,2)="15",LEFT(TH!M1620,2)="15"),TK!$E$7=TH!F1620),"x","")</f>
        <v/>
      </c>
      <c r="Y1620" s="52" t="str">
        <f>IF(AND(B1620&lt;=NKC!$N$8,B1620&gt;=NKC!$M$8),"x","")</f>
        <v>x</v>
      </c>
    </row>
    <row r="1621" spans="1:25" s="767" customFormat="1" ht="15.75" customHeight="1">
      <c r="A1621" s="201" t="str">
        <f>IF(B1621&lt;&gt;"",IF(AND(B1621&gt;=_TM1,B1621&lt;=_TM2,OR(TH!L1621="1111",TH!M1621="1111")),TH!D1621,""),"")</f>
        <v/>
      </c>
      <c r="B1621" s="692">
        <f t="shared" si="75"/>
        <v>9</v>
      </c>
      <c r="C1621" s="791">
        <f t="shared" si="76"/>
        <v>41540</v>
      </c>
      <c r="D1621" s="791" t="s">
        <v>1261</v>
      </c>
      <c r="E1621" s="48">
        <v>41540</v>
      </c>
      <c r="F1621" s="49" t="s">
        <v>852</v>
      </c>
      <c r="G1621" s="49" t="s">
        <v>1092</v>
      </c>
      <c r="H1621" s="795" t="s">
        <v>1257</v>
      </c>
      <c r="I1621" s="248">
        <v>430</v>
      </c>
      <c r="J1621" s="248">
        <v>7798.3171658124002</v>
      </c>
      <c r="K1621" s="693">
        <f t="shared" si="77"/>
        <v>3353276</v>
      </c>
      <c r="L1621" s="52" t="s">
        <v>164</v>
      </c>
      <c r="M1621" s="849" t="s">
        <v>162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IF(OR(TH!L1621=TH!$U$7,M1621=TH!$U$7),"x","")</f>
        <v/>
      </c>
      <c r="V1621" s="52" t="str">
        <f>IF(AND(B1621&gt;='IN-NX'!$P$3,B1621&lt;='IN-NX'!$Q$3,'IN-NX'!$D$7=D1621,OR(LEFT(L1621,2)="15",AND(LEFT(M1621,2)&lt;&gt;"15",LEFT(M1621,2)&lt;&gt;"33"))),"x","")</f>
        <v/>
      </c>
      <c r="W1621" s="52" t="str">
        <f>IF(AND(OR(LEFT(TH!L1621,2)="15",LEFT(TH!M1621,2)="15"),'152-CT'!$J$8=TH!F1621),"x","")</f>
        <v/>
      </c>
      <c r="X1621" s="52" t="str">
        <f>IF(AND(OR(LEFT(TH!L1621,2)="15",LEFT(TH!M1621,2)="15"),TK!$E$7=TH!F1621),"x","")</f>
        <v/>
      </c>
      <c r="Y1621" s="52" t="str">
        <f>IF(AND(B1621&lt;=NKC!$N$8,B1621&gt;=NKC!$M$8),"x","")</f>
        <v>x</v>
      </c>
    </row>
    <row r="1622" spans="1:25" s="767" customFormat="1" ht="15.75" customHeight="1">
      <c r="A1622" s="201" t="str">
        <f>IF(B1622&lt;&gt;"",IF(AND(B1622&gt;=_TM1,B1622&lt;=_TM2,OR(TH!L1622="1111",TH!M1622="1111")),TH!D1622,""),"")</f>
        <v/>
      </c>
      <c r="B1622" s="692">
        <f t="shared" ref="B1622:B1685" si="78">IF(C1622&lt;&gt;"",MONTH(C1622),"")</f>
        <v>9</v>
      </c>
      <c r="C1622" s="791">
        <f t="shared" si="76"/>
        <v>41540</v>
      </c>
      <c r="D1622" s="791" t="s">
        <v>1261</v>
      </c>
      <c r="E1622" s="48">
        <v>41540</v>
      </c>
      <c r="F1622" s="49" t="s">
        <v>1100</v>
      </c>
      <c r="G1622" s="49" t="s">
        <v>1092</v>
      </c>
      <c r="H1622" s="795" t="s">
        <v>1257</v>
      </c>
      <c r="I1622" s="248">
        <v>200</v>
      </c>
      <c r="J1622" s="248">
        <v>12469.446235579844</v>
      </c>
      <c r="K1622" s="693">
        <f t="shared" si="77"/>
        <v>2493889</v>
      </c>
      <c r="L1622" s="52" t="s">
        <v>164</v>
      </c>
      <c r="M1622" s="849" t="s">
        <v>162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IF(OR(TH!L1622=TH!$U$7,M1622=TH!$U$7),"x","")</f>
        <v/>
      </c>
      <c r="V1622" s="52" t="str">
        <f>IF(AND(B1622&gt;='IN-NX'!$P$3,B1622&lt;='IN-NX'!$Q$3,'IN-NX'!$D$7=D1622,OR(LEFT(L1622,2)="15",AND(LEFT(M1622,2)&lt;&gt;"15",LEFT(M1622,2)&lt;&gt;"33"))),"x","")</f>
        <v/>
      </c>
      <c r="W1622" s="52" t="str">
        <f>IF(AND(OR(LEFT(TH!L1622,2)="15",LEFT(TH!M1622,2)="15"),'152-CT'!$J$8=TH!F1622),"x","")</f>
        <v/>
      </c>
      <c r="X1622" s="52" t="str">
        <f>IF(AND(OR(LEFT(TH!L1622,2)="15",LEFT(TH!M1622,2)="15"),TK!$E$7=TH!F1622),"x","")</f>
        <v/>
      </c>
      <c r="Y1622" s="52" t="str">
        <f>IF(AND(B1622&lt;=NKC!$N$8,B1622&gt;=NKC!$M$8),"x","")</f>
        <v>x</v>
      </c>
    </row>
    <row r="1623" spans="1:25" s="767" customFormat="1" ht="15.75" customHeight="1">
      <c r="A1623" s="201" t="str">
        <f>IF(B1623&lt;&gt;"",IF(AND(B1623&gt;=_TM1,B1623&lt;=_TM2,OR(TH!L1623="1111",TH!M1623="1111")),TH!D1623,""),"")</f>
        <v/>
      </c>
      <c r="B1623" s="692">
        <f t="shared" si="78"/>
        <v>9</v>
      </c>
      <c r="C1623" s="791">
        <f t="shared" si="76"/>
        <v>41540</v>
      </c>
      <c r="D1623" s="791" t="s">
        <v>1261</v>
      </c>
      <c r="E1623" s="791">
        <v>41540</v>
      </c>
      <c r="F1623" s="867" t="s">
        <v>1098</v>
      </c>
      <c r="G1623" s="868" t="s">
        <v>1092</v>
      </c>
      <c r="H1623" s="795" t="s">
        <v>1257</v>
      </c>
      <c r="I1623" s="248">
        <v>108</v>
      </c>
      <c r="J1623" s="248">
        <v>12737.531420765028</v>
      </c>
      <c r="K1623" s="693">
        <f t="shared" si="77"/>
        <v>1375653</v>
      </c>
      <c r="L1623" s="52" t="s">
        <v>164</v>
      </c>
      <c r="M1623" s="849" t="s">
        <v>162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IF(OR(TH!L1623=TH!$U$7,M1623=TH!$U$7),"x","")</f>
        <v/>
      </c>
      <c r="V1623" s="52" t="str">
        <f>IF(AND(B1623&gt;='IN-NX'!$P$3,B1623&lt;='IN-NX'!$Q$3,'IN-NX'!$D$7=D1623,OR(LEFT(L1623,2)="15",AND(LEFT(M1623,2)&lt;&gt;"15",LEFT(M1623,2)&lt;&gt;"33"))),"x","")</f>
        <v/>
      </c>
      <c r="W1623" s="52" t="str">
        <f>IF(AND(OR(LEFT(TH!L1623,2)="15",LEFT(TH!M1623,2)="15"),'152-CT'!$J$8=TH!F1623),"x","")</f>
        <v/>
      </c>
      <c r="X1623" s="52" t="str">
        <f>IF(AND(OR(LEFT(TH!L1623,2)="15",LEFT(TH!M1623,2)="15"),TK!$E$7=TH!F1623),"x","")</f>
        <v/>
      </c>
      <c r="Y1623" s="52" t="str">
        <f>IF(AND(B1623&lt;=NKC!$N$8,B1623&gt;=NKC!$M$8),"x","")</f>
        <v>x</v>
      </c>
    </row>
    <row r="1624" spans="1:25" s="767" customFormat="1" ht="15.75" customHeight="1">
      <c r="A1624" s="201" t="str">
        <f>IF(B1624&lt;&gt;"",IF(AND(B1624&gt;=_TM1,B1624&lt;=_TM2,OR(TH!L1624="1111",TH!M1624="1111")),TH!D1624,""),"")</f>
        <v/>
      </c>
      <c r="B1624" s="692">
        <f t="shared" si="78"/>
        <v>9</v>
      </c>
      <c r="C1624" s="791">
        <f t="shared" si="76"/>
        <v>41540</v>
      </c>
      <c r="D1624" s="791" t="s">
        <v>1261</v>
      </c>
      <c r="E1624" s="791">
        <v>41540</v>
      </c>
      <c r="F1624" s="867" t="s">
        <v>1101</v>
      </c>
      <c r="G1624" s="868" t="s">
        <v>1092</v>
      </c>
      <c r="H1624" s="795" t="s">
        <v>1257</v>
      </c>
      <c r="I1624" s="248">
        <v>257</v>
      </c>
      <c r="J1624" s="248">
        <v>6866.4250293541618</v>
      </c>
      <c r="K1624" s="693">
        <f t="shared" si="77"/>
        <v>1764671</v>
      </c>
      <c r="L1624" s="52" t="s">
        <v>164</v>
      </c>
      <c r="M1624" s="849" t="s">
        <v>162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IF(OR(TH!L1624=TH!$U$7,M1624=TH!$U$7),"x","")</f>
        <v/>
      </c>
      <c r="V1624" s="52" t="str">
        <f>IF(AND(B1624&gt;='IN-NX'!$P$3,B1624&lt;='IN-NX'!$Q$3,'IN-NX'!$D$7=D1624,OR(LEFT(L1624,2)="15",AND(LEFT(M1624,2)&lt;&gt;"15",LEFT(M1624,2)&lt;&gt;"33"))),"x","")</f>
        <v/>
      </c>
      <c r="W1624" s="52" t="str">
        <f>IF(AND(OR(LEFT(TH!L1624,2)="15",LEFT(TH!M1624,2)="15"),'152-CT'!$J$8=TH!F1624),"x","")</f>
        <v/>
      </c>
      <c r="X1624" s="52" t="str">
        <f>IF(AND(OR(LEFT(TH!L1624,2)="15",LEFT(TH!M1624,2)="15"),TK!$E$7=TH!F1624),"x","")</f>
        <v/>
      </c>
      <c r="Y1624" s="52" t="str">
        <f>IF(AND(B1624&lt;=NKC!$N$8,B1624&gt;=NKC!$M$8),"x","")</f>
        <v>x</v>
      </c>
    </row>
    <row r="1625" spans="1:25" s="767" customFormat="1" ht="15.75" customHeight="1">
      <c r="A1625" s="201" t="str">
        <f>IF(B1625&lt;&gt;"",IF(AND(B1625&gt;=_TM1,B1625&lt;=_TM2,OR(TH!L1625="1111",TH!M1625="1111")),TH!D1625,""),"")</f>
        <v/>
      </c>
      <c r="B1625" s="692">
        <f t="shared" si="78"/>
        <v>9</v>
      </c>
      <c r="C1625" s="791">
        <f t="shared" si="76"/>
        <v>41540</v>
      </c>
      <c r="D1625" s="791" t="s">
        <v>1261</v>
      </c>
      <c r="E1625" s="791">
        <v>41540</v>
      </c>
      <c r="F1625" s="867" t="s">
        <v>784</v>
      </c>
      <c r="G1625" s="868" t="s">
        <v>902</v>
      </c>
      <c r="H1625" s="795" t="s">
        <v>1257</v>
      </c>
      <c r="I1625" s="248">
        <v>424</v>
      </c>
      <c r="J1625" s="248">
        <v>16754.59623557984</v>
      </c>
      <c r="K1625" s="693">
        <f t="shared" si="77"/>
        <v>7103949</v>
      </c>
      <c r="L1625" s="52" t="s">
        <v>164</v>
      </c>
      <c r="M1625" s="849" t="s">
        <v>162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IF(OR(TH!L1625=TH!$U$7,M1625=TH!$U$7),"x","")</f>
        <v/>
      </c>
      <c r="V1625" s="52" t="str">
        <f>IF(AND(B1625&gt;='IN-NX'!$P$3,B1625&lt;='IN-NX'!$Q$3,'IN-NX'!$D$7=D1625,OR(LEFT(L1625,2)="15",AND(LEFT(M1625,2)&lt;&gt;"15",LEFT(M1625,2)&lt;&gt;"33"))),"x","")</f>
        <v/>
      </c>
      <c r="W1625" s="52" t="str">
        <f>IF(AND(OR(LEFT(TH!L1625,2)="15",LEFT(TH!M1625,2)="15"),'152-CT'!$J$8=TH!F1625),"x","")</f>
        <v/>
      </c>
      <c r="X1625" s="52" t="str">
        <f>IF(AND(OR(LEFT(TH!L1625,2)="15",LEFT(TH!M1625,2)="15"),TK!$E$7=TH!F1625),"x","")</f>
        <v/>
      </c>
      <c r="Y1625" s="52" t="str">
        <f>IF(AND(B1625&lt;=NKC!$N$8,B1625&gt;=NKC!$M$8),"x","")</f>
        <v>x</v>
      </c>
    </row>
    <row r="1626" spans="1:25" s="767" customFormat="1" ht="15.75" customHeight="1">
      <c r="A1626" s="201" t="str">
        <f>IF(B1626&lt;&gt;"",IF(AND(B1626&gt;=_TM1,B1626&lt;=_TM2,OR(TH!L1626="1111",TH!M1626="1111")),TH!D1626,""),"")</f>
        <v/>
      </c>
      <c r="B1626" s="692">
        <f t="shared" si="78"/>
        <v>9</v>
      </c>
      <c r="C1626" s="791">
        <f t="shared" si="76"/>
        <v>41540</v>
      </c>
      <c r="D1626" s="791" t="s">
        <v>1261</v>
      </c>
      <c r="E1626" s="806">
        <v>41540</v>
      </c>
      <c r="F1626" s="867" t="s">
        <v>856</v>
      </c>
      <c r="G1626" s="49" t="s">
        <v>903</v>
      </c>
      <c r="H1626" s="795" t="s">
        <v>1257</v>
      </c>
      <c r="I1626" s="248">
        <v>980</v>
      </c>
      <c r="J1626" s="248">
        <v>6675.4023580288222</v>
      </c>
      <c r="K1626" s="693">
        <f t="shared" si="77"/>
        <v>6541894</v>
      </c>
      <c r="L1626" s="52" t="s">
        <v>164</v>
      </c>
      <c r="M1626" s="849" t="s">
        <v>162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IF(OR(TH!L1626=TH!$U$7,M1626=TH!$U$7),"x","")</f>
        <v/>
      </c>
      <c r="V1626" s="52" t="str">
        <f>IF(AND(B1626&gt;='IN-NX'!$P$3,B1626&lt;='IN-NX'!$Q$3,'IN-NX'!$D$7=D1626,OR(LEFT(L1626,2)="15",AND(LEFT(M1626,2)&lt;&gt;"15",LEFT(M1626,2)&lt;&gt;"33"))),"x","")</f>
        <v/>
      </c>
      <c r="W1626" s="52" t="str">
        <f>IF(AND(OR(LEFT(TH!L1626,2)="15",LEFT(TH!M1626,2)="15"),'152-CT'!$J$8=TH!F1626),"x","")</f>
        <v/>
      </c>
      <c r="X1626" s="52" t="str">
        <f>IF(AND(OR(LEFT(TH!L1626,2)="15",LEFT(TH!M1626,2)="15"),TK!$E$7=TH!F1626),"x","")</f>
        <v/>
      </c>
      <c r="Y1626" s="52" t="str">
        <f>IF(AND(B1626&lt;=NKC!$N$8,B1626&gt;=NKC!$M$8),"x","")</f>
        <v>x</v>
      </c>
    </row>
    <row r="1627" spans="1:25" s="767" customFormat="1" ht="15.75" customHeight="1">
      <c r="A1627" s="201" t="str">
        <f>IF(B1627&lt;&gt;"",IF(AND(B1627&gt;=_TM1,B1627&lt;=_TM2,OR(TH!L1627="1111",TH!M1627="1111")),TH!D1627,""),"")</f>
        <v/>
      </c>
      <c r="B1627" s="692">
        <f t="shared" si="78"/>
        <v>9</v>
      </c>
      <c r="C1627" s="791">
        <f t="shared" si="76"/>
        <v>41542</v>
      </c>
      <c r="D1627" s="791" t="s">
        <v>1261</v>
      </c>
      <c r="E1627" s="806">
        <v>41542</v>
      </c>
      <c r="F1627" s="49" t="s">
        <v>1116</v>
      </c>
      <c r="G1627" s="49" t="s">
        <v>904</v>
      </c>
      <c r="H1627" s="795" t="s">
        <v>1257</v>
      </c>
      <c r="I1627" s="870">
        <v>2700</v>
      </c>
      <c r="J1627" s="248">
        <v>4072.9395689131761</v>
      </c>
      <c r="K1627" s="693">
        <f t="shared" si="77"/>
        <v>10996937</v>
      </c>
      <c r="L1627" s="52" t="s">
        <v>164</v>
      </c>
      <c r="M1627" s="849" t="s">
        <v>162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IF(OR(TH!L1627=TH!$U$7,M1627=TH!$U$7),"x","")</f>
        <v/>
      </c>
      <c r="V1627" s="52" t="str">
        <f>IF(AND(B1627&gt;='IN-NX'!$P$3,B1627&lt;='IN-NX'!$Q$3,'IN-NX'!$D$7=D1627,OR(LEFT(L1627,2)="15",AND(LEFT(M1627,2)&lt;&gt;"15",LEFT(M1627,2)&lt;&gt;"33"))),"x","")</f>
        <v/>
      </c>
      <c r="W1627" s="52" t="str">
        <f>IF(AND(OR(LEFT(TH!L1627,2)="15",LEFT(TH!M1627,2)="15"),'152-CT'!$J$8=TH!F1627),"x","")</f>
        <v/>
      </c>
      <c r="X1627" s="52" t="str">
        <f>IF(AND(OR(LEFT(TH!L1627,2)="15",LEFT(TH!M1627,2)="15"),TK!$E$7=TH!F1627),"x","")</f>
        <v/>
      </c>
      <c r="Y1627" s="52" t="str">
        <f>IF(AND(B1627&lt;=NKC!$N$8,B1627&gt;=NKC!$M$8),"x","")</f>
        <v>x</v>
      </c>
    </row>
    <row r="1628" spans="1:25" s="767" customFormat="1" ht="15.75" customHeight="1">
      <c r="A1628" s="201" t="str">
        <f>IF(B1628&lt;&gt;"",IF(AND(B1628&gt;=_TM1,B1628&lt;=_TM2,OR(TH!L1628="1111",TH!M1628="1111")),TH!D1628,""),"")</f>
        <v/>
      </c>
      <c r="B1628" s="692">
        <f t="shared" si="78"/>
        <v>9</v>
      </c>
      <c r="C1628" s="791">
        <f t="shared" si="76"/>
        <v>41543</v>
      </c>
      <c r="D1628" s="791" t="s">
        <v>1261</v>
      </c>
      <c r="E1628" s="806">
        <v>41543</v>
      </c>
      <c r="F1628" s="867" t="s">
        <v>1119</v>
      </c>
      <c r="G1628" s="49" t="s">
        <v>905</v>
      </c>
      <c r="H1628" s="795" t="s">
        <v>1257</v>
      </c>
      <c r="I1628" s="248">
        <v>3500</v>
      </c>
      <c r="J1628" s="248">
        <v>3407.2682355798415</v>
      </c>
      <c r="K1628" s="693">
        <f t="shared" si="77"/>
        <v>11925439</v>
      </c>
      <c r="L1628" s="52" t="s">
        <v>164</v>
      </c>
      <c r="M1628" s="849" t="s">
        <v>162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IF(OR(TH!L1628=TH!$U$7,M1628=TH!$U$7),"x","")</f>
        <v/>
      </c>
      <c r="V1628" s="52" t="str">
        <f>IF(AND(B1628&gt;='IN-NX'!$P$3,B1628&lt;='IN-NX'!$Q$3,'IN-NX'!$D$7=D1628,OR(LEFT(L1628,2)="15",AND(LEFT(M1628,2)&lt;&gt;"15",LEFT(M1628,2)&lt;&gt;"33"))),"x","")</f>
        <v/>
      </c>
      <c r="W1628" s="52" t="str">
        <f>IF(AND(OR(LEFT(TH!L1628,2)="15",LEFT(TH!M1628,2)="15"),'152-CT'!$J$8=TH!F1628),"x","")</f>
        <v/>
      </c>
      <c r="X1628" s="52" t="str">
        <f>IF(AND(OR(LEFT(TH!L1628,2)="15",LEFT(TH!M1628,2)="15"),TK!$E$7=TH!F1628),"x","")</f>
        <v/>
      </c>
      <c r="Y1628" s="52" t="str">
        <f>IF(AND(B1628&lt;=NKC!$N$8,B1628&gt;=NKC!$M$8),"x","")</f>
        <v>x</v>
      </c>
    </row>
    <row r="1629" spans="1:25" s="767" customFormat="1" ht="15.75" customHeight="1">
      <c r="A1629" s="201" t="str">
        <f>IF(B1629&lt;&gt;"",IF(AND(B1629&gt;=_TM1,B1629&lt;=_TM2,OR(TH!L1629="1111",TH!M1629="1111")),TH!D1629,""),"")</f>
        <v/>
      </c>
      <c r="B1629" s="692">
        <f t="shared" si="78"/>
        <v>9</v>
      </c>
      <c r="C1629" s="791">
        <f t="shared" si="76"/>
        <v>41547</v>
      </c>
      <c r="D1629" s="791" t="s">
        <v>1261</v>
      </c>
      <c r="E1629" s="806">
        <v>41547</v>
      </c>
      <c r="F1629" s="794" t="s">
        <v>805</v>
      </c>
      <c r="G1629" s="49" t="s">
        <v>906</v>
      </c>
      <c r="H1629" s="795" t="s">
        <v>1257</v>
      </c>
      <c r="I1629" s="248">
        <v>1004</v>
      </c>
      <c r="J1629" s="248">
        <v>9217.0145622730688</v>
      </c>
      <c r="K1629" s="693">
        <f t="shared" si="77"/>
        <v>9253883</v>
      </c>
      <c r="L1629" s="52" t="s">
        <v>164</v>
      </c>
      <c r="M1629" s="849" t="s">
        <v>162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IF(OR(TH!L1629=TH!$U$7,M1629=TH!$U$7),"x","")</f>
        <v/>
      </c>
      <c r="V1629" s="52" t="str">
        <f>IF(AND(B1629&gt;='IN-NX'!$P$3,B1629&lt;='IN-NX'!$Q$3,'IN-NX'!$D$7=D1629,OR(LEFT(L1629,2)="15",AND(LEFT(M1629,2)&lt;&gt;"15",LEFT(M1629,2)&lt;&gt;"33"))),"x","")</f>
        <v/>
      </c>
      <c r="W1629" s="52" t="str">
        <f>IF(AND(OR(LEFT(TH!L1629,2)="15",LEFT(TH!M1629,2)="15"),'152-CT'!$J$8=TH!F1629),"x","")</f>
        <v/>
      </c>
      <c r="X1629" s="52" t="str">
        <f>IF(AND(OR(LEFT(TH!L1629,2)="15",LEFT(TH!M1629,2)="15"),TK!$E$7=TH!F1629),"x","")</f>
        <v/>
      </c>
      <c r="Y1629" s="52" t="str">
        <f>IF(AND(B1629&lt;=NKC!$N$8,B1629&gt;=NKC!$M$8),"x","")</f>
        <v>x</v>
      </c>
    </row>
    <row r="1630" spans="1:25" s="767" customFormat="1" ht="15.75" customHeight="1">
      <c r="A1630" s="201" t="str">
        <f>IF(B1630&lt;&gt;"",IF(AND(B1630&gt;=_TM1,B1630&lt;=_TM2,OR(TH!L1630="1111",TH!M1630="1111")),TH!D1630,""),"")</f>
        <v/>
      </c>
      <c r="B1630" s="692">
        <f t="shared" si="78"/>
        <v>9</v>
      </c>
      <c r="C1630" s="791">
        <f t="shared" si="76"/>
        <v>41547</v>
      </c>
      <c r="D1630" s="791" t="s">
        <v>1261</v>
      </c>
      <c r="E1630" s="806">
        <v>41547</v>
      </c>
      <c r="F1630" s="49" t="s">
        <v>907</v>
      </c>
      <c r="G1630" s="49" t="s">
        <v>908</v>
      </c>
      <c r="H1630" s="795" t="s">
        <v>1257</v>
      </c>
      <c r="I1630" s="248">
        <v>525</v>
      </c>
      <c r="J1630" s="248">
        <v>18595.396235579843</v>
      </c>
      <c r="K1630" s="693">
        <f t="shared" si="77"/>
        <v>9762583</v>
      </c>
      <c r="L1630" s="52" t="s">
        <v>164</v>
      </c>
      <c r="M1630" s="849" t="s">
        <v>162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IF(OR(TH!L1630=TH!$U$7,M1630=TH!$U$7),"x","")</f>
        <v/>
      </c>
      <c r="V1630" s="52" t="str">
        <f>IF(AND(B1630&gt;='IN-NX'!$P$3,B1630&lt;='IN-NX'!$Q$3,'IN-NX'!$D$7=D1630,OR(LEFT(L1630,2)="15",AND(LEFT(M1630,2)&lt;&gt;"15",LEFT(M1630,2)&lt;&gt;"33"))),"x","")</f>
        <v/>
      </c>
      <c r="W1630" s="52" t="str">
        <f>IF(AND(OR(LEFT(TH!L1630,2)="15",LEFT(TH!M1630,2)="15"),'152-CT'!$J$8=TH!F1630),"x","")</f>
        <v/>
      </c>
      <c r="X1630" s="52" t="str">
        <f>IF(AND(OR(LEFT(TH!L1630,2)="15",LEFT(TH!M1630,2)="15"),TK!$E$7=TH!F1630),"x","")</f>
        <v/>
      </c>
      <c r="Y1630" s="52" t="str">
        <f>IF(AND(B1630&lt;=NKC!$N$8,B1630&gt;=NKC!$M$8),"x","")</f>
        <v>x</v>
      </c>
    </row>
    <row r="1631" spans="1:25" s="767" customFormat="1" ht="15.75" customHeight="1">
      <c r="A1631" s="201" t="str">
        <f>IF(B1631&lt;&gt;"",IF(AND(B1631&gt;=_TM1,B1631&lt;=_TM2,OR(TH!L1631="1111",TH!M1631="1111")),TH!D1631,""),"")</f>
        <v/>
      </c>
      <c r="B1631" s="692">
        <f t="shared" si="78"/>
        <v>9</v>
      </c>
      <c r="C1631" s="791">
        <f t="shared" si="76"/>
        <v>41547</v>
      </c>
      <c r="D1631" s="791" t="s">
        <v>1261</v>
      </c>
      <c r="E1631" s="806">
        <v>41547</v>
      </c>
      <c r="F1631" s="867" t="s">
        <v>909</v>
      </c>
      <c r="G1631" s="49" t="s">
        <v>908</v>
      </c>
      <c r="H1631" s="795" t="s">
        <v>1257</v>
      </c>
      <c r="I1631" s="870">
        <v>344</v>
      </c>
      <c r="J1631" s="248">
        <v>15538.59623557984</v>
      </c>
      <c r="K1631" s="693">
        <f t="shared" si="77"/>
        <v>5345277</v>
      </c>
      <c r="L1631" s="52" t="s">
        <v>164</v>
      </c>
      <c r="M1631" s="849" t="s">
        <v>162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IF(OR(TH!L1631=TH!$U$7,M1631=TH!$U$7),"x","")</f>
        <v/>
      </c>
      <c r="V1631" s="52" t="str">
        <f>IF(AND(B1631&gt;='IN-NX'!$P$3,B1631&lt;='IN-NX'!$Q$3,'IN-NX'!$D$7=D1631,OR(LEFT(L1631,2)="15",AND(LEFT(M1631,2)&lt;&gt;"15",LEFT(M1631,2)&lt;&gt;"33"))),"x","")</f>
        <v/>
      </c>
      <c r="W1631" s="52" t="str">
        <f>IF(AND(OR(LEFT(TH!L1631,2)="15",LEFT(TH!M1631,2)="15"),'152-CT'!$J$8=TH!F1631),"x","")</f>
        <v/>
      </c>
      <c r="X1631" s="52" t="str">
        <f>IF(AND(OR(LEFT(TH!L1631,2)="15",LEFT(TH!M1631,2)="15"),TK!$E$7=TH!F1631),"x","")</f>
        <v/>
      </c>
      <c r="Y1631" s="52" t="str">
        <f>IF(AND(B1631&lt;=NKC!$N$8,B1631&gt;=NKC!$M$8),"x","")</f>
        <v>x</v>
      </c>
    </row>
    <row r="1632" spans="1:25" s="767" customFormat="1" ht="15.75" customHeight="1">
      <c r="A1632" s="201" t="str">
        <f>IF(B1632&lt;&gt;"",IF(AND(B1632&gt;=_TM1,B1632&lt;=_TM2,OR(TH!L1632="1111",TH!M1632="1111")),TH!D1632,""),"")</f>
        <v/>
      </c>
      <c r="B1632" s="692">
        <f t="shared" si="78"/>
        <v>9</v>
      </c>
      <c r="C1632" s="791">
        <f t="shared" si="76"/>
        <v>41547</v>
      </c>
      <c r="D1632" s="791" t="s">
        <v>1261</v>
      </c>
      <c r="E1632" s="806">
        <v>41547</v>
      </c>
      <c r="F1632" s="49" t="s">
        <v>910</v>
      </c>
      <c r="G1632" s="49" t="s">
        <v>911</v>
      </c>
      <c r="H1632" s="795" t="s">
        <v>1257</v>
      </c>
      <c r="I1632" s="870">
        <v>499</v>
      </c>
      <c r="J1632" s="248">
        <v>8532.4238908904645</v>
      </c>
      <c r="K1632" s="693">
        <f t="shared" si="77"/>
        <v>4257680</v>
      </c>
      <c r="L1632" s="52" t="s">
        <v>164</v>
      </c>
      <c r="M1632" s="849" t="s">
        <v>162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IF(OR(TH!L1632=TH!$U$7,M1632=TH!$U$7),"x","")</f>
        <v/>
      </c>
      <c r="V1632" s="52" t="str">
        <f>IF(AND(B1632&gt;='IN-NX'!$P$3,B1632&lt;='IN-NX'!$Q$3,'IN-NX'!$D$7=D1632,OR(LEFT(L1632,2)="15",AND(LEFT(M1632,2)&lt;&gt;"15",LEFT(M1632,2)&lt;&gt;"33"))),"x","")</f>
        <v/>
      </c>
      <c r="W1632" s="52" t="str">
        <f>IF(AND(OR(LEFT(TH!L1632,2)="15",LEFT(TH!M1632,2)="15"),'152-CT'!$J$8=TH!F1632),"x","")</f>
        <v/>
      </c>
      <c r="X1632" s="52" t="str">
        <f>IF(AND(OR(LEFT(TH!L1632,2)="15",LEFT(TH!M1632,2)="15"),TK!$E$7=TH!F1632),"x","")</f>
        <v/>
      </c>
      <c r="Y1632" s="52" t="str">
        <f>IF(AND(B1632&lt;=NKC!$N$8,B1632&gt;=NKC!$M$8),"x","")</f>
        <v>x</v>
      </c>
    </row>
    <row r="1633" spans="1:25" s="767" customFormat="1" ht="15.75" customHeight="1">
      <c r="A1633" s="201" t="str">
        <f>IF(B1633&lt;&gt;"",IF(AND(B1633&gt;=_TM1,B1633&lt;=_TM2,OR(TH!L1633="1111",TH!M1633="1111")),TH!D1633,""),"")</f>
        <v/>
      </c>
      <c r="B1633" s="692">
        <f t="shared" si="78"/>
        <v>9</v>
      </c>
      <c r="C1633" s="791">
        <f t="shared" si="76"/>
        <v>41547</v>
      </c>
      <c r="D1633" s="791" t="s">
        <v>1261</v>
      </c>
      <c r="E1633" s="806">
        <v>41547</v>
      </c>
      <c r="F1633" s="867" t="s">
        <v>912</v>
      </c>
      <c r="G1633" s="49" t="s">
        <v>911</v>
      </c>
      <c r="H1633" s="795" t="s">
        <v>1257</v>
      </c>
      <c r="I1633" s="248">
        <v>503</v>
      </c>
      <c r="J1633" s="248">
        <v>4261.5544860768605</v>
      </c>
      <c r="K1633" s="693">
        <f t="shared" si="77"/>
        <v>2143562</v>
      </c>
      <c r="L1633" s="52" t="s">
        <v>164</v>
      </c>
      <c r="M1633" s="849" t="s">
        <v>162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IF(OR(TH!L1633=TH!$U$7,M1633=TH!$U$7),"x","")</f>
        <v/>
      </c>
      <c r="V1633" s="52" t="str">
        <f>IF(AND(B1633&gt;='IN-NX'!$P$3,B1633&lt;='IN-NX'!$Q$3,'IN-NX'!$D$7=D1633,OR(LEFT(L1633,2)="15",AND(LEFT(M1633,2)&lt;&gt;"15",LEFT(M1633,2)&lt;&gt;"33"))),"x","")</f>
        <v/>
      </c>
      <c r="W1633" s="52" t="str">
        <f>IF(AND(OR(LEFT(TH!L1633,2)="15",LEFT(TH!M1633,2)="15"),'152-CT'!$J$8=TH!F1633),"x","")</f>
        <v/>
      </c>
      <c r="X1633" s="52" t="str">
        <f>IF(AND(OR(LEFT(TH!L1633,2)="15",LEFT(TH!M1633,2)="15"),TK!$E$7=TH!F1633),"x","")</f>
        <v/>
      </c>
      <c r="Y1633" s="52" t="str">
        <f>IF(AND(B1633&lt;=NKC!$N$8,B1633&gt;=NKC!$M$8),"x","")</f>
        <v>x</v>
      </c>
    </row>
    <row r="1634" spans="1:25" s="767" customFormat="1" ht="15.75" customHeight="1">
      <c r="A1634" s="201" t="str">
        <f>IF(B1634&lt;&gt;"",IF(AND(B1634&gt;=_TM1,B1634&lt;=_TM2,OR(TH!L1634="1111",TH!M1634="1111")),TH!D1634,""),"")</f>
        <v/>
      </c>
      <c r="B1634" s="692">
        <f t="shared" si="78"/>
        <v>9</v>
      </c>
      <c r="C1634" s="791">
        <f t="shared" si="76"/>
        <v>41547</v>
      </c>
      <c r="D1634" s="791" t="s">
        <v>1261</v>
      </c>
      <c r="E1634" s="806">
        <v>41547</v>
      </c>
      <c r="F1634" s="867" t="s">
        <v>912</v>
      </c>
      <c r="G1634" s="49" t="s">
        <v>911</v>
      </c>
      <c r="H1634" s="795" t="s">
        <v>1257</v>
      </c>
      <c r="I1634" s="248">
        <v>503</v>
      </c>
      <c r="J1634" s="248">
        <v>4261.5544860768605</v>
      </c>
      <c r="K1634" s="693">
        <f t="shared" si="77"/>
        <v>2143562</v>
      </c>
      <c r="L1634" s="52" t="s">
        <v>164</v>
      </c>
      <c r="M1634" s="849" t="s">
        <v>162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IF(OR(TH!L1634=TH!$U$7,M1634=TH!$U$7),"x","")</f>
        <v/>
      </c>
      <c r="V1634" s="52" t="str">
        <f>IF(AND(B1634&gt;='IN-NX'!$P$3,B1634&lt;='IN-NX'!$Q$3,'IN-NX'!$D$7=D1634,OR(LEFT(L1634,2)="15",AND(LEFT(M1634,2)&lt;&gt;"15",LEFT(M1634,2)&lt;&gt;"33"))),"x","")</f>
        <v/>
      </c>
      <c r="W1634" s="52" t="str">
        <f>IF(AND(OR(LEFT(TH!L1634,2)="15",LEFT(TH!M1634,2)="15"),'152-CT'!$J$8=TH!F1634),"x","")</f>
        <v/>
      </c>
      <c r="X1634" s="52" t="str">
        <f>IF(AND(OR(LEFT(TH!L1634,2)="15",LEFT(TH!M1634,2)="15"),TK!$E$7=TH!F1634),"x","")</f>
        <v/>
      </c>
      <c r="Y1634" s="52" t="str">
        <f>IF(AND(B1634&lt;=NKC!$N$8,B1634&gt;=NKC!$M$8),"x","")</f>
        <v>x</v>
      </c>
    </row>
    <row r="1635" spans="1:25" s="767" customFormat="1" ht="15.75" customHeight="1">
      <c r="A1635" s="201" t="str">
        <f>IF(B1635&lt;&gt;"",IF(AND(B1635&gt;=_TM1,B1635&lt;=_TM2,OR(TH!L1635="1111",TH!M1635="1111")),TH!D1635,""),"")</f>
        <v/>
      </c>
      <c r="B1635" s="692">
        <f t="shared" si="78"/>
        <v>9</v>
      </c>
      <c r="C1635" s="791">
        <f t="shared" si="76"/>
        <v>41547</v>
      </c>
      <c r="D1635" s="791" t="s">
        <v>1261</v>
      </c>
      <c r="E1635" s="847">
        <v>41547</v>
      </c>
      <c r="F1635" s="867" t="s">
        <v>913</v>
      </c>
      <c r="G1635" s="868" t="s">
        <v>911</v>
      </c>
      <c r="H1635" s="795" t="s">
        <v>1257</v>
      </c>
      <c r="I1635" s="248">
        <v>510</v>
      </c>
      <c r="J1635" s="248">
        <v>4307.9197649916068</v>
      </c>
      <c r="K1635" s="693">
        <f t="shared" si="77"/>
        <v>2197039</v>
      </c>
      <c r="L1635" s="52" t="s">
        <v>164</v>
      </c>
      <c r="M1635" s="849" t="s">
        <v>162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IF(OR(TH!L1635=TH!$U$7,M1635=TH!$U$7),"x","")</f>
        <v/>
      </c>
      <c r="V1635" s="52" t="str">
        <f>IF(AND(B1635&gt;='IN-NX'!$P$3,B1635&lt;='IN-NX'!$Q$3,'IN-NX'!$D$7=D1635,OR(LEFT(L1635,2)="15",AND(LEFT(M1635,2)&lt;&gt;"15",LEFT(M1635,2)&lt;&gt;"33"))),"x","")</f>
        <v/>
      </c>
      <c r="W1635" s="52" t="str">
        <f>IF(AND(OR(LEFT(TH!L1635,2)="15",LEFT(TH!M1635,2)="15"),'152-CT'!$J$8=TH!F1635),"x","")</f>
        <v/>
      </c>
      <c r="X1635" s="52" t="str">
        <f>IF(AND(OR(LEFT(TH!L1635,2)="15",LEFT(TH!M1635,2)="15"),TK!$E$7=TH!F1635),"x","")</f>
        <v/>
      </c>
      <c r="Y1635" s="52" t="str">
        <f>IF(AND(B1635&lt;=NKC!$N$8,B1635&gt;=NKC!$M$8),"x","")</f>
        <v>x</v>
      </c>
    </row>
    <row r="1636" spans="1:25" s="767" customFormat="1" ht="15.75" customHeight="1">
      <c r="A1636" s="201" t="str">
        <f>IF(B1636&lt;&gt;"",IF(AND(B1636&gt;=_TM1,B1636&lt;=_TM2,OR(TH!L1636="1111",TH!M1636="1111")),TH!D1636,""),"")</f>
        <v/>
      </c>
      <c r="B1636" s="692">
        <f t="shared" si="78"/>
        <v>9</v>
      </c>
      <c r="C1636" s="791">
        <f t="shared" si="76"/>
        <v>41547</v>
      </c>
      <c r="D1636" s="791" t="s">
        <v>1261</v>
      </c>
      <c r="E1636" s="806">
        <v>41547</v>
      </c>
      <c r="F1636" s="49" t="s">
        <v>1103</v>
      </c>
      <c r="G1636" s="49" t="s">
        <v>914</v>
      </c>
      <c r="H1636" s="795" t="s">
        <v>1257</v>
      </c>
      <c r="I1636" s="248">
        <v>2700</v>
      </c>
      <c r="J1636" s="248">
        <v>6142.688828172435</v>
      </c>
      <c r="K1636" s="693">
        <f t="shared" si="77"/>
        <v>16585260</v>
      </c>
      <c r="L1636" s="52" t="s">
        <v>164</v>
      </c>
      <c r="M1636" s="849" t="s">
        <v>162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IF(OR(TH!L1636=TH!$U$7,M1636=TH!$U$7),"x","")</f>
        <v/>
      </c>
      <c r="V1636" s="52" t="str">
        <f>IF(AND(B1636&gt;='IN-NX'!$P$3,B1636&lt;='IN-NX'!$Q$3,'IN-NX'!$D$7=D1636,OR(LEFT(L1636,2)="15",AND(LEFT(M1636,2)&lt;&gt;"15",LEFT(M1636,2)&lt;&gt;"33"))),"x","")</f>
        <v/>
      </c>
      <c r="W1636" s="52" t="str">
        <f>IF(AND(OR(LEFT(TH!L1636,2)="15",LEFT(TH!M1636,2)="15"),'152-CT'!$J$8=TH!F1636),"x","")</f>
        <v/>
      </c>
      <c r="X1636" s="52" t="str">
        <f>IF(AND(OR(LEFT(TH!L1636,2)="15",LEFT(TH!M1636,2)="15"),TK!$E$7=TH!F1636),"x","")</f>
        <v/>
      </c>
      <c r="Y1636" s="52" t="str">
        <f>IF(AND(B1636&lt;=NKC!$N$8,B1636&gt;=NKC!$M$8),"x","")</f>
        <v>x</v>
      </c>
    </row>
    <row r="1637" spans="1:25" s="798" customFormat="1" ht="15.75" customHeight="1">
      <c r="A1637" s="201" t="str">
        <f>IF(B1637&lt;&gt;"",IF(AND(B1637&gt;=_TM1,B1637&lt;=_TM2,OR(TH!L1637="1111",TH!M1637="1111")),TH!D1637,""),"")</f>
        <v/>
      </c>
      <c r="B1637" s="796">
        <f t="shared" si="78"/>
        <v>10</v>
      </c>
      <c r="C1637" s="853">
        <f t="shared" si="76"/>
        <v>41548</v>
      </c>
      <c r="D1637" s="791" t="s">
        <v>1261</v>
      </c>
      <c r="E1637" s="872">
        <v>41548</v>
      </c>
      <c r="F1637" s="864" t="s">
        <v>907</v>
      </c>
      <c r="G1637" s="855" t="s">
        <v>915</v>
      </c>
      <c r="H1637" s="856" t="s">
        <v>1257</v>
      </c>
      <c r="I1637" s="863">
        <v>60</v>
      </c>
      <c r="J1637" s="863">
        <v>18010.140192092691</v>
      </c>
      <c r="K1637" s="793">
        <f t="shared" si="77"/>
        <v>1080608</v>
      </c>
      <c r="L1637" s="786" t="s">
        <v>164</v>
      </c>
      <c r="M1637" s="859" t="s">
        <v>162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IF(OR(TH!L1637=TH!$U$7,M1637=TH!$U$7),"x","")</f>
        <v/>
      </c>
      <c r="V1637" s="52" t="str">
        <f>IF(AND(B1637&gt;='IN-NX'!$P$3,B1637&lt;='IN-NX'!$Q$3,'IN-NX'!$D$7=D1637,OR(LEFT(L1637,2)="15",AND(LEFT(M1637,2)&lt;&gt;"15",LEFT(M1637,2)&lt;&gt;"33"))),"x","")</f>
        <v/>
      </c>
      <c r="W1637" s="52" t="str">
        <f>IF(AND(OR(LEFT(TH!L1637,2)="15",LEFT(TH!M1637,2)="15"),'152-CT'!$J$8=TH!F1637),"x","")</f>
        <v/>
      </c>
      <c r="X1637" s="52" t="str">
        <f>IF(AND(OR(LEFT(TH!L1637,2)="15",LEFT(TH!M1637,2)="15"),TK!$E$7=TH!F1637),"x","")</f>
        <v/>
      </c>
      <c r="Y1637" s="52" t="str">
        <f>IF(AND(B1637&lt;=NKC!$N$8,B1637&gt;=NKC!$M$8),"x","")</f>
        <v/>
      </c>
    </row>
    <row r="1638" spans="1:25" s="767" customFormat="1" ht="15.75" customHeight="1">
      <c r="A1638" s="201" t="str">
        <f>IF(B1638&lt;&gt;"",IF(AND(B1638&gt;=_TM1,B1638&lt;=_TM2,OR(TH!L1638="1111",TH!M1638="1111")),TH!D1638,""),"")</f>
        <v/>
      </c>
      <c r="B1638" s="692">
        <f t="shared" si="78"/>
        <v>10</v>
      </c>
      <c r="C1638" s="791">
        <f t="shared" si="76"/>
        <v>41548</v>
      </c>
      <c r="D1638" s="791" t="s">
        <v>1261</v>
      </c>
      <c r="E1638" s="806">
        <v>41548</v>
      </c>
      <c r="F1638" s="867" t="s">
        <v>909</v>
      </c>
      <c r="G1638" s="49" t="s">
        <v>915</v>
      </c>
      <c r="H1638" s="795" t="s">
        <v>1257</v>
      </c>
      <c r="I1638" s="248">
        <v>98</v>
      </c>
      <c r="J1638" s="248">
        <v>15727.479988011059</v>
      </c>
      <c r="K1638" s="693">
        <f t="shared" si="77"/>
        <v>1541293</v>
      </c>
      <c r="L1638" s="52" t="s">
        <v>164</v>
      </c>
      <c r="M1638" s="849" t="s">
        <v>162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IF(OR(TH!L1638=TH!$U$7,M1638=TH!$U$7),"x","")</f>
        <v/>
      </c>
      <c r="V1638" s="52" t="str">
        <f>IF(AND(B1638&gt;='IN-NX'!$P$3,B1638&lt;='IN-NX'!$Q$3,'IN-NX'!$D$7=D1638,OR(LEFT(L1638,2)="15",AND(LEFT(M1638,2)&lt;&gt;"15",LEFT(M1638,2)&lt;&gt;"33"))),"x","")</f>
        <v/>
      </c>
      <c r="W1638" s="52" t="str">
        <f>IF(AND(OR(LEFT(TH!L1638,2)="15",LEFT(TH!M1638,2)="15"),'152-CT'!$J$8=TH!F1638),"x","")</f>
        <v/>
      </c>
      <c r="X1638" s="52" t="str">
        <f>IF(AND(OR(LEFT(TH!L1638,2)="15",LEFT(TH!M1638,2)="15"),TK!$E$7=TH!F1638),"x","")</f>
        <v/>
      </c>
      <c r="Y1638" s="52" t="str">
        <f>IF(AND(B1638&lt;=NKC!$N$8,B1638&gt;=NKC!$M$8),"x","")</f>
        <v/>
      </c>
    </row>
    <row r="1639" spans="1:25" s="767" customFormat="1" ht="15.75" customHeight="1">
      <c r="A1639" s="201" t="str">
        <f>IF(B1639&lt;&gt;"",IF(AND(B1639&gt;=_TM1,B1639&lt;=_TM2,OR(TH!L1639="1111",TH!M1639="1111")),TH!D1639,""),"")</f>
        <v/>
      </c>
      <c r="B1639" s="692">
        <f t="shared" si="78"/>
        <v>10</v>
      </c>
      <c r="C1639" s="791">
        <f t="shared" si="76"/>
        <v>41548</v>
      </c>
      <c r="D1639" s="791" t="s">
        <v>1261</v>
      </c>
      <c r="E1639" s="806">
        <v>41548</v>
      </c>
      <c r="F1639" s="867" t="s">
        <v>1122</v>
      </c>
      <c r="G1639" s="49" t="s">
        <v>916</v>
      </c>
      <c r="H1639" s="795" t="s">
        <v>1257</v>
      </c>
      <c r="I1639" s="870">
        <v>1554</v>
      </c>
      <c r="J1639" s="248">
        <v>4656.7469488494489</v>
      </c>
      <c r="K1639" s="693">
        <f t="shared" si="77"/>
        <v>7236585</v>
      </c>
      <c r="L1639" s="52" t="s">
        <v>164</v>
      </c>
      <c r="M1639" s="849" t="s">
        <v>162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IF(OR(TH!L1639=TH!$U$7,M1639=TH!$U$7),"x","")</f>
        <v/>
      </c>
      <c r="V1639" s="52" t="str">
        <f>IF(AND(B1639&gt;='IN-NX'!$P$3,B1639&lt;='IN-NX'!$Q$3,'IN-NX'!$D$7=D1639,OR(LEFT(L1639,2)="15",AND(LEFT(M1639,2)&lt;&gt;"15",LEFT(M1639,2)&lt;&gt;"33"))),"x","")</f>
        <v/>
      </c>
      <c r="W1639" s="52" t="str">
        <f>IF(AND(OR(LEFT(TH!L1639,2)="15",LEFT(TH!M1639,2)="15"),'152-CT'!$J$8=TH!F1639),"x","")</f>
        <v/>
      </c>
      <c r="X1639" s="52" t="str">
        <f>IF(AND(OR(LEFT(TH!L1639,2)="15",LEFT(TH!M1639,2)="15"),TK!$E$7=TH!F1639),"x","")</f>
        <v/>
      </c>
      <c r="Y1639" s="52" t="str">
        <f>IF(AND(B1639&lt;=NKC!$N$8,B1639&gt;=NKC!$M$8),"x","")</f>
        <v/>
      </c>
    </row>
    <row r="1640" spans="1:25" s="767" customFormat="1" ht="15.75" customHeight="1">
      <c r="A1640" s="201" t="str">
        <f>IF(B1640&lt;&gt;"",IF(AND(B1640&gt;=_TM1,B1640&lt;=_TM2,OR(TH!L1640="1111",TH!M1640="1111")),TH!D1640,""),"")</f>
        <v/>
      </c>
      <c r="B1640" s="692">
        <f t="shared" si="78"/>
        <v>10</v>
      </c>
      <c r="C1640" s="791">
        <f t="shared" si="76"/>
        <v>41548</v>
      </c>
      <c r="D1640" s="791" t="s">
        <v>1261</v>
      </c>
      <c r="E1640" s="806">
        <v>41548</v>
      </c>
      <c r="F1640" s="867" t="s">
        <v>843</v>
      </c>
      <c r="G1640" s="49" t="s">
        <v>916</v>
      </c>
      <c r="H1640" s="795" t="s">
        <v>1257</v>
      </c>
      <c r="I1640" s="248">
        <v>525</v>
      </c>
      <c r="J1640" s="248">
        <v>11432.585430187928</v>
      </c>
      <c r="K1640" s="693">
        <f t="shared" si="77"/>
        <v>6002107</v>
      </c>
      <c r="L1640" s="52" t="s">
        <v>164</v>
      </c>
      <c r="M1640" s="849" t="s">
        <v>162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IF(OR(TH!L1640=TH!$U$7,M1640=TH!$U$7),"x","")</f>
        <v/>
      </c>
      <c r="V1640" s="52" t="str">
        <f>IF(AND(B1640&gt;='IN-NX'!$P$3,B1640&lt;='IN-NX'!$Q$3,'IN-NX'!$D$7=D1640,OR(LEFT(L1640,2)="15",AND(LEFT(M1640,2)&lt;&gt;"15",LEFT(M1640,2)&lt;&gt;"33"))),"x","")</f>
        <v/>
      </c>
      <c r="W1640" s="52" t="str">
        <f>IF(AND(OR(LEFT(TH!L1640,2)="15",LEFT(TH!M1640,2)="15"),'152-CT'!$J$8=TH!F1640),"x","")</f>
        <v/>
      </c>
      <c r="X1640" s="52" t="str">
        <f>IF(AND(OR(LEFT(TH!L1640,2)="15",LEFT(TH!M1640,2)="15"),TK!$E$7=TH!F1640),"x","")</f>
        <v/>
      </c>
      <c r="Y1640" s="52" t="str">
        <f>IF(AND(B1640&lt;=NKC!$N$8,B1640&gt;=NKC!$M$8),"x","")</f>
        <v/>
      </c>
    </row>
    <row r="1641" spans="1:25" s="767" customFormat="1" ht="15.75" customHeight="1">
      <c r="A1641" s="201" t="str">
        <f>IF(B1641&lt;&gt;"",IF(AND(B1641&gt;=_TM1,B1641&lt;=_TM2,OR(TH!L1641="1111",TH!M1641="1111")),TH!D1641,""),"")</f>
        <v/>
      </c>
      <c r="B1641" s="692">
        <f t="shared" si="78"/>
        <v>10</v>
      </c>
      <c r="C1641" s="791">
        <f t="shared" si="76"/>
        <v>41548</v>
      </c>
      <c r="D1641" s="791" t="s">
        <v>1261</v>
      </c>
      <c r="E1641" s="806">
        <v>41548</v>
      </c>
      <c r="F1641" s="867" t="s">
        <v>814</v>
      </c>
      <c r="G1641" s="49" t="s">
        <v>917</v>
      </c>
      <c r="H1641" s="795" t="s">
        <v>1257</v>
      </c>
      <c r="I1641" s="248">
        <v>220</v>
      </c>
      <c r="J1641" s="248">
        <v>18398.035646638145</v>
      </c>
      <c r="K1641" s="693">
        <f t="shared" si="77"/>
        <v>4047568</v>
      </c>
      <c r="L1641" s="52" t="s">
        <v>164</v>
      </c>
      <c r="M1641" s="849" t="s">
        <v>162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IF(OR(TH!L1641=TH!$U$7,M1641=TH!$U$7),"x","")</f>
        <v/>
      </c>
      <c r="V1641" s="52" t="str">
        <f>IF(AND(B1641&gt;='IN-NX'!$P$3,B1641&lt;='IN-NX'!$Q$3,'IN-NX'!$D$7=D1641,OR(LEFT(L1641,2)="15",AND(LEFT(M1641,2)&lt;&gt;"15",LEFT(M1641,2)&lt;&gt;"33"))),"x","")</f>
        <v/>
      </c>
      <c r="W1641" s="52" t="str">
        <f>IF(AND(OR(LEFT(TH!L1641,2)="15",LEFT(TH!M1641,2)="15"),'152-CT'!$J$8=TH!F1641),"x","")</f>
        <v/>
      </c>
      <c r="X1641" s="52" t="str">
        <f>IF(AND(OR(LEFT(TH!L1641,2)="15",LEFT(TH!M1641,2)="15"),TK!$E$7=TH!F1641),"x","")</f>
        <v/>
      </c>
      <c r="Y1641" s="52" t="str">
        <f>IF(AND(B1641&lt;=NKC!$N$8,B1641&gt;=NKC!$M$8),"x","")</f>
        <v/>
      </c>
    </row>
    <row r="1642" spans="1:25" s="767" customFormat="1" ht="15.75" customHeight="1">
      <c r="A1642" s="201" t="str">
        <f>IF(B1642&lt;&gt;"",IF(AND(B1642&gt;=_TM1,B1642&lt;=_TM2,OR(TH!L1642="1111",TH!M1642="1111")),TH!D1642,""),"")</f>
        <v/>
      </c>
      <c r="B1642" s="692">
        <f t="shared" si="78"/>
        <v>10</v>
      </c>
      <c r="C1642" s="791">
        <f t="shared" si="76"/>
        <v>41549</v>
      </c>
      <c r="D1642" s="791" t="s">
        <v>1261</v>
      </c>
      <c r="E1642" s="806">
        <v>41549</v>
      </c>
      <c r="F1642" s="867" t="s">
        <v>1119</v>
      </c>
      <c r="G1642" s="49" t="s">
        <v>918</v>
      </c>
      <c r="H1642" s="795" t="s">
        <v>1257</v>
      </c>
      <c r="I1642" s="248">
        <v>3397</v>
      </c>
      <c r="J1642" s="248">
        <v>3785.9982874709676</v>
      </c>
      <c r="K1642" s="693">
        <f t="shared" si="77"/>
        <v>12861036</v>
      </c>
      <c r="L1642" s="52" t="s">
        <v>164</v>
      </c>
      <c r="M1642" s="849" t="s">
        <v>162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IF(OR(TH!L1642=TH!$U$7,M1642=TH!$U$7),"x","")</f>
        <v/>
      </c>
      <c r="V1642" s="52" t="str">
        <f>IF(AND(B1642&gt;='IN-NX'!$P$3,B1642&lt;='IN-NX'!$Q$3,'IN-NX'!$D$7=D1642,OR(LEFT(L1642,2)="15",AND(LEFT(M1642,2)&lt;&gt;"15",LEFT(M1642,2)&lt;&gt;"33"))),"x","")</f>
        <v/>
      </c>
      <c r="W1642" s="52" t="str">
        <f>IF(AND(OR(LEFT(TH!L1642,2)="15",LEFT(TH!M1642,2)="15"),'152-CT'!$J$8=TH!F1642),"x","")</f>
        <v/>
      </c>
      <c r="X1642" s="52" t="str">
        <f>IF(AND(OR(LEFT(TH!L1642,2)="15",LEFT(TH!M1642,2)="15"),TK!$E$7=TH!F1642),"x","")</f>
        <v/>
      </c>
      <c r="Y1642" s="52" t="str">
        <f>IF(AND(B1642&lt;=NKC!$N$8,B1642&gt;=NKC!$M$8),"x","")</f>
        <v/>
      </c>
    </row>
    <row r="1643" spans="1:25" s="767" customFormat="1" ht="15.75" customHeight="1">
      <c r="A1643" s="201" t="str">
        <f>IF(B1643&lt;&gt;"",IF(AND(B1643&gt;=_TM1,B1643&lt;=_TM2,OR(TH!L1643="1111",TH!M1643="1111")),TH!D1643,""),"")</f>
        <v/>
      </c>
      <c r="B1643" s="692">
        <f t="shared" si="78"/>
        <v>10</v>
      </c>
      <c r="C1643" s="791">
        <f t="shared" si="76"/>
        <v>41550</v>
      </c>
      <c r="D1643" s="791" t="s">
        <v>1261</v>
      </c>
      <c r="E1643" s="806">
        <v>41550</v>
      </c>
      <c r="F1643" s="867" t="s">
        <v>913</v>
      </c>
      <c r="G1643" s="49" t="s">
        <v>920</v>
      </c>
      <c r="H1643" s="795" t="s">
        <v>1257</v>
      </c>
      <c r="I1643" s="248">
        <v>494</v>
      </c>
      <c r="J1643" s="248">
        <v>4562.1136738740688</v>
      </c>
      <c r="K1643" s="693">
        <f t="shared" si="77"/>
        <v>2253684</v>
      </c>
      <c r="L1643" s="52" t="s">
        <v>164</v>
      </c>
      <c r="M1643" s="849" t="s">
        <v>162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IF(OR(TH!L1643=TH!$U$7,M1643=TH!$U$7),"x","")</f>
        <v/>
      </c>
      <c r="V1643" s="52" t="str">
        <f>IF(AND(B1643&gt;='IN-NX'!$P$3,B1643&lt;='IN-NX'!$Q$3,'IN-NX'!$D$7=D1643,OR(LEFT(L1643,2)="15",AND(LEFT(M1643,2)&lt;&gt;"15",LEFT(M1643,2)&lt;&gt;"33"))),"x","")</f>
        <v/>
      </c>
      <c r="W1643" s="52" t="str">
        <f>IF(AND(OR(LEFT(TH!L1643,2)="15",LEFT(TH!M1643,2)="15"),'152-CT'!$J$8=TH!F1643),"x","")</f>
        <v/>
      </c>
      <c r="X1643" s="52" t="str">
        <f>IF(AND(OR(LEFT(TH!L1643,2)="15",LEFT(TH!M1643,2)="15"),TK!$E$7=TH!F1643),"x","")</f>
        <v/>
      </c>
      <c r="Y1643" s="52" t="str">
        <f>IF(AND(B1643&lt;=NKC!$N$8,B1643&gt;=NKC!$M$8),"x","")</f>
        <v/>
      </c>
    </row>
    <row r="1644" spans="1:25" s="767" customFormat="1" ht="15.75" customHeight="1">
      <c r="A1644" s="201" t="str">
        <f>IF(B1644&lt;&gt;"",IF(AND(B1644&gt;=_TM1,B1644&lt;=_TM2,OR(TH!L1644="1111",TH!M1644="1111")),TH!D1644,""),"")</f>
        <v/>
      </c>
      <c r="B1644" s="692">
        <f t="shared" si="78"/>
        <v>10</v>
      </c>
      <c r="C1644" s="791">
        <f t="shared" si="76"/>
        <v>41550</v>
      </c>
      <c r="D1644" s="791" t="s">
        <v>1261</v>
      </c>
      <c r="E1644" s="806">
        <v>41550</v>
      </c>
      <c r="F1644" s="867" t="s">
        <v>921</v>
      </c>
      <c r="G1644" s="49" t="s">
        <v>920</v>
      </c>
      <c r="H1644" s="795" t="s">
        <v>1257</v>
      </c>
      <c r="I1644" s="248">
        <v>509</v>
      </c>
      <c r="J1644" s="248">
        <v>4666.9675987724559</v>
      </c>
      <c r="K1644" s="693">
        <f t="shared" si="77"/>
        <v>2375487</v>
      </c>
      <c r="L1644" s="52" t="s">
        <v>164</v>
      </c>
      <c r="M1644" s="849" t="s">
        <v>162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IF(OR(TH!L1644=TH!$U$7,M1644=TH!$U$7),"x","")</f>
        <v/>
      </c>
      <c r="V1644" s="52" t="str">
        <f>IF(AND(B1644&gt;='IN-NX'!$P$3,B1644&lt;='IN-NX'!$Q$3,'IN-NX'!$D$7=D1644,OR(LEFT(L1644,2)="15",AND(LEFT(M1644,2)&lt;&gt;"15",LEFT(M1644,2)&lt;&gt;"33"))),"x","")</f>
        <v/>
      </c>
      <c r="W1644" s="52" t="str">
        <f>IF(AND(OR(LEFT(TH!L1644,2)="15",LEFT(TH!M1644,2)="15"),'152-CT'!$J$8=TH!F1644),"x","")</f>
        <v/>
      </c>
      <c r="X1644" s="52" t="str">
        <f>IF(AND(OR(LEFT(TH!L1644,2)="15",LEFT(TH!M1644,2)="15"),TK!$E$7=TH!F1644),"x","")</f>
        <v/>
      </c>
      <c r="Y1644" s="52" t="str">
        <f>IF(AND(B1644&lt;=NKC!$N$8,B1644&gt;=NKC!$M$8),"x","")</f>
        <v/>
      </c>
    </row>
    <row r="1645" spans="1:25" s="767" customFormat="1" ht="15.75" customHeight="1">
      <c r="A1645" s="201" t="str">
        <f>IF(B1645&lt;&gt;"",IF(AND(B1645&gt;=_TM1,B1645&lt;=_TM2,OR(TH!L1645="1111",TH!M1645="1111")),TH!D1645,""),"")</f>
        <v/>
      </c>
      <c r="B1645" s="692">
        <f t="shared" si="78"/>
        <v>10</v>
      </c>
      <c r="C1645" s="791">
        <f t="shared" si="76"/>
        <v>41552</v>
      </c>
      <c r="D1645" s="791" t="s">
        <v>1261</v>
      </c>
      <c r="E1645" s="806">
        <v>41552</v>
      </c>
      <c r="F1645" s="867" t="s">
        <v>1119</v>
      </c>
      <c r="G1645" s="49" t="s">
        <v>922</v>
      </c>
      <c r="H1645" s="795" t="s">
        <v>1257</v>
      </c>
      <c r="I1645" s="248">
        <v>103</v>
      </c>
      <c r="J1645" s="248">
        <v>3955.5775707334697</v>
      </c>
      <c r="K1645" s="693">
        <f t="shared" si="77"/>
        <v>407424</v>
      </c>
      <c r="L1645" s="52" t="s">
        <v>164</v>
      </c>
      <c r="M1645" s="849" t="s">
        <v>162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IF(OR(TH!L1645=TH!$U$7,M1645=TH!$U$7),"x","")</f>
        <v/>
      </c>
      <c r="V1645" s="52" t="str">
        <f>IF(AND(B1645&gt;='IN-NX'!$P$3,B1645&lt;='IN-NX'!$Q$3,'IN-NX'!$D$7=D1645,OR(LEFT(L1645,2)="15",AND(LEFT(M1645,2)&lt;&gt;"15",LEFT(M1645,2)&lt;&gt;"33"))),"x","")</f>
        <v/>
      </c>
      <c r="W1645" s="52" t="str">
        <f>IF(AND(OR(LEFT(TH!L1645,2)="15",LEFT(TH!M1645,2)="15"),'152-CT'!$J$8=TH!F1645),"x","")</f>
        <v/>
      </c>
      <c r="X1645" s="52" t="str">
        <f>IF(AND(OR(LEFT(TH!L1645,2)="15",LEFT(TH!M1645,2)="15"),TK!$E$7=TH!F1645),"x","")</f>
        <v/>
      </c>
      <c r="Y1645" s="52" t="str">
        <f>IF(AND(B1645&lt;=NKC!$N$8,B1645&gt;=NKC!$M$8),"x","")</f>
        <v/>
      </c>
    </row>
    <row r="1646" spans="1:25" s="767" customFormat="1" ht="15.75" customHeight="1">
      <c r="A1646" s="201" t="str">
        <f>IF(B1646&lt;&gt;"",IF(AND(B1646&gt;=_TM1,B1646&lt;=_TM2,OR(TH!L1646="1111",TH!M1646="1111")),TH!D1646,""),"")</f>
        <v/>
      </c>
      <c r="B1646" s="692">
        <f t="shared" si="78"/>
        <v>10</v>
      </c>
      <c r="C1646" s="791">
        <f t="shared" si="76"/>
        <v>41552</v>
      </c>
      <c r="D1646" s="791" t="s">
        <v>1261</v>
      </c>
      <c r="E1646" s="806">
        <v>41552</v>
      </c>
      <c r="F1646" s="867" t="s">
        <v>1116</v>
      </c>
      <c r="G1646" s="49" t="s">
        <v>922</v>
      </c>
      <c r="H1646" s="795" t="s">
        <v>1257</v>
      </c>
      <c r="I1646" s="248">
        <v>2658</v>
      </c>
      <c r="J1646" s="248">
        <v>4322.7422613176732</v>
      </c>
      <c r="K1646" s="693">
        <f t="shared" si="77"/>
        <v>11489849</v>
      </c>
      <c r="L1646" s="52" t="s">
        <v>164</v>
      </c>
      <c r="M1646" s="849" t="s">
        <v>162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IF(OR(TH!L1646=TH!$U$7,M1646=TH!$U$7),"x","")</f>
        <v/>
      </c>
      <c r="V1646" s="52" t="str">
        <f>IF(AND(B1646&gt;='IN-NX'!$P$3,B1646&lt;='IN-NX'!$Q$3,'IN-NX'!$D$7=D1646,OR(LEFT(L1646,2)="15",AND(LEFT(M1646,2)&lt;&gt;"15",LEFT(M1646,2)&lt;&gt;"33"))),"x","")</f>
        <v/>
      </c>
      <c r="W1646" s="52" t="str">
        <f>IF(AND(OR(LEFT(TH!L1646,2)="15",LEFT(TH!M1646,2)="15"),'152-CT'!$J$8=TH!F1646),"x","")</f>
        <v/>
      </c>
      <c r="X1646" s="52" t="str">
        <f>IF(AND(OR(LEFT(TH!L1646,2)="15",LEFT(TH!M1646,2)="15"),TK!$E$7=TH!F1646),"x","")</f>
        <v/>
      </c>
      <c r="Y1646" s="52" t="str">
        <f>IF(AND(B1646&lt;=NKC!$N$8,B1646&gt;=NKC!$M$8),"x","")</f>
        <v/>
      </c>
    </row>
    <row r="1647" spans="1:25" s="767" customFormat="1" ht="15.75" customHeight="1">
      <c r="A1647" s="201" t="str">
        <f>IF(B1647&lt;&gt;"",IF(AND(B1647&gt;=_TM1,B1647&lt;=_TM2,OR(TH!L1647="1111",TH!M1647="1111")),TH!D1647,""),"")</f>
        <v/>
      </c>
      <c r="B1647" s="692">
        <f t="shared" si="78"/>
        <v>10</v>
      </c>
      <c r="C1647" s="791">
        <f t="shared" si="76"/>
        <v>41552</v>
      </c>
      <c r="D1647" s="791" t="s">
        <v>1261</v>
      </c>
      <c r="E1647" s="847">
        <v>41552</v>
      </c>
      <c r="F1647" s="867" t="s">
        <v>1103</v>
      </c>
      <c r="G1647" s="868" t="s">
        <v>923</v>
      </c>
      <c r="H1647" s="795" t="s">
        <v>1257</v>
      </c>
      <c r="I1647" s="248">
        <v>2260</v>
      </c>
      <c r="J1647" s="248">
        <v>6517.9901920926932</v>
      </c>
      <c r="K1647" s="693">
        <f t="shared" si="77"/>
        <v>14730658</v>
      </c>
      <c r="L1647" s="52" t="s">
        <v>164</v>
      </c>
      <c r="M1647" s="849" t="s">
        <v>162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IF(OR(TH!L1647=TH!$U$7,M1647=TH!$U$7),"x","")</f>
        <v/>
      </c>
      <c r="V1647" s="52" t="str">
        <f>IF(AND(B1647&gt;='IN-NX'!$P$3,B1647&lt;='IN-NX'!$Q$3,'IN-NX'!$D$7=D1647,OR(LEFT(L1647,2)="15",AND(LEFT(M1647,2)&lt;&gt;"15",LEFT(M1647,2)&lt;&gt;"33"))),"x","")</f>
        <v/>
      </c>
      <c r="W1647" s="52" t="str">
        <f>IF(AND(OR(LEFT(TH!L1647,2)="15",LEFT(TH!M1647,2)="15"),'152-CT'!$J$8=TH!F1647),"x","")</f>
        <v/>
      </c>
      <c r="X1647" s="52" t="str">
        <f>IF(AND(OR(LEFT(TH!L1647,2)="15",LEFT(TH!M1647,2)="15"),TK!$E$7=TH!F1647),"x","")</f>
        <v/>
      </c>
      <c r="Y1647" s="52" t="str">
        <f>IF(AND(B1647&lt;=NKC!$N$8,B1647&gt;=NKC!$M$8),"x","")</f>
        <v/>
      </c>
    </row>
    <row r="1648" spans="1:25" s="767" customFormat="1" ht="15.75" customHeight="1">
      <c r="A1648" s="201" t="str">
        <f>IF(B1648&lt;&gt;"",IF(AND(B1648&gt;=_TM1,B1648&lt;=_TM2,OR(TH!L1648="1111",TH!M1648="1111")),TH!D1648,""),"")</f>
        <v/>
      </c>
      <c r="B1648" s="692">
        <f t="shared" si="78"/>
        <v>10</v>
      </c>
      <c r="C1648" s="791">
        <f t="shared" si="76"/>
        <v>41555</v>
      </c>
      <c r="D1648" s="791" t="s">
        <v>1261</v>
      </c>
      <c r="E1648" s="791">
        <v>41555</v>
      </c>
      <c r="F1648" s="848" t="s">
        <v>834</v>
      </c>
      <c r="G1648" s="792" t="s">
        <v>924</v>
      </c>
      <c r="H1648" s="795" t="s">
        <v>1257</v>
      </c>
      <c r="I1648" s="248">
        <v>516</v>
      </c>
      <c r="J1648" s="248">
        <v>19797.521199844628</v>
      </c>
      <c r="K1648" s="693">
        <f t="shared" si="77"/>
        <v>10215521</v>
      </c>
      <c r="L1648" s="52" t="s">
        <v>164</v>
      </c>
      <c r="M1648" s="849" t="s">
        <v>162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IF(OR(TH!L1648=TH!$U$7,M1648=TH!$U$7),"x","")</f>
        <v/>
      </c>
      <c r="V1648" s="52" t="str">
        <f>IF(AND(B1648&gt;='IN-NX'!$P$3,B1648&lt;='IN-NX'!$Q$3,'IN-NX'!$D$7=D1648,OR(LEFT(L1648,2)="15",AND(LEFT(M1648,2)&lt;&gt;"15",LEFT(M1648,2)&lt;&gt;"33"))),"x","")</f>
        <v/>
      </c>
      <c r="W1648" s="52" t="str">
        <f>IF(AND(OR(LEFT(TH!L1648,2)="15",LEFT(TH!M1648,2)="15"),'152-CT'!$J$8=TH!F1648),"x","")</f>
        <v/>
      </c>
      <c r="X1648" s="52" t="str">
        <f>IF(AND(OR(LEFT(TH!L1648,2)="15",LEFT(TH!M1648,2)="15"),TK!$E$7=TH!F1648),"x","")</f>
        <v/>
      </c>
      <c r="Y1648" s="52" t="str">
        <f>IF(AND(B1648&lt;=NKC!$N$8,B1648&gt;=NKC!$M$8),"x","")</f>
        <v/>
      </c>
    </row>
    <row r="1649" spans="1:25" s="767" customFormat="1" ht="15.75" customHeight="1">
      <c r="A1649" s="201" t="str">
        <f>IF(B1649&lt;&gt;"",IF(AND(B1649&gt;=_TM1,B1649&lt;=_TM2,OR(TH!L1649="1111",TH!M1649="1111")),TH!D1649,""),"")</f>
        <v/>
      </c>
      <c r="B1649" s="692">
        <f t="shared" si="78"/>
        <v>10</v>
      </c>
      <c r="C1649" s="791">
        <f t="shared" si="76"/>
        <v>41557</v>
      </c>
      <c r="D1649" s="791" t="s">
        <v>1261</v>
      </c>
      <c r="E1649" s="791">
        <v>41557</v>
      </c>
      <c r="F1649" s="848" t="s">
        <v>1097</v>
      </c>
      <c r="G1649" s="792" t="s">
        <v>925</v>
      </c>
      <c r="H1649" s="795" t="s">
        <v>1257</v>
      </c>
      <c r="I1649" s="248">
        <v>304</v>
      </c>
      <c r="J1649" s="248">
        <v>6506.4901920926923</v>
      </c>
      <c r="K1649" s="693">
        <f t="shared" si="77"/>
        <v>1977973</v>
      </c>
      <c r="L1649" s="52" t="s">
        <v>164</v>
      </c>
      <c r="M1649" s="849" t="s">
        <v>162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IF(OR(TH!L1649=TH!$U$7,M1649=TH!$U$7),"x","")</f>
        <v/>
      </c>
      <c r="V1649" s="52" t="str">
        <f>IF(AND(B1649&gt;='IN-NX'!$P$3,B1649&lt;='IN-NX'!$Q$3,'IN-NX'!$D$7=D1649,OR(LEFT(L1649,2)="15",AND(LEFT(M1649,2)&lt;&gt;"15",LEFT(M1649,2)&lt;&gt;"33"))),"x","")</f>
        <v/>
      </c>
      <c r="W1649" s="52" t="str">
        <f>IF(AND(OR(LEFT(TH!L1649,2)="15",LEFT(TH!M1649,2)="15"),'152-CT'!$J$8=TH!F1649),"x","")</f>
        <v/>
      </c>
      <c r="X1649" s="52" t="str">
        <f>IF(AND(OR(LEFT(TH!L1649,2)="15",LEFT(TH!M1649,2)="15"),TK!$E$7=TH!F1649),"x","")</f>
        <v/>
      </c>
      <c r="Y1649" s="52" t="str">
        <f>IF(AND(B1649&lt;=NKC!$N$8,B1649&gt;=NKC!$M$8),"x","")</f>
        <v/>
      </c>
    </row>
    <row r="1650" spans="1:25" s="767" customFormat="1" ht="15.75" customHeight="1">
      <c r="A1650" s="201" t="str">
        <f>IF(B1650&lt;&gt;"",IF(AND(B1650&gt;=_TM1,B1650&lt;=_TM2,OR(TH!L1650="1111",TH!M1650="1111")),TH!D1650,""),"")</f>
        <v/>
      </c>
      <c r="B1650" s="692">
        <f t="shared" si="78"/>
        <v>10</v>
      </c>
      <c r="C1650" s="791">
        <f t="shared" si="76"/>
        <v>41563</v>
      </c>
      <c r="D1650" s="791" t="s">
        <v>1261</v>
      </c>
      <c r="E1650" s="791">
        <v>41563</v>
      </c>
      <c r="F1650" s="848" t="s">
        <v>805</v>
      </c>
      <c r="G1650" s="792" t="s">
        <v>926</v>
      </c>
      <c r="H1650" s="795" t="s">
        <v>1257</v>
      </c>
      <c r="I1650" s="248">
        <v>996</v>
      </c>
      <c r="J1650" s="248">
        <v>9477.6267382774313</v>
      </c>
      <c r="K1650" s="693">
        <f t="shared" si="77"/>
        <v>9439716</v>
      </c>
      <c r="L1650" s="52" t="s">
        <v>164</v>
      </c>
      <c r="M1650" s="849" t="s">
        <v>162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IF(OR(TH!L1650=TH!$U$7,M1650=TH!$U$7),"x","")</f>
        <v/>
      </c>
      <c r="V1650" s="52" t="str">
        <f>IF(AND(B1650&gt;='IN-NX'!$P$3,B1650&lt;='IN-NX'!$Q$3,'IN-NX'!$D$7=D1650,OR(LEFT(L1650,2)="15",AND(LEFT(M1650,2)&lt;&gt;"15",LEFT(M1650,2)&lt;&gt;"33"))),"x","")</f>
        <v/>
      </c>
      <c r="W1650" s="52" t="str">
        <f>IF(AND(OR(LEFT(TH!L1650,2)="15",LEFT(TH!M1650,2)="15"),'152-CT'!$J$8=TH!F1650),"x","")</f>
        <v/>
      </c>
      <c r="X1650" s="52" t="str">
        <f>IF(AND(OR(LEFT(TH!L1650,2)="15",LEFT(TH!M1650,2)="15"),TK!$E$7=TH!F1650),"x","")</f>
        <v/>
      </c>
      <c r="Y1650" s="52" t="str">
        <f>IF(AND(B1650&lt;=NKC!$N$8,B1650&gt;=NKC!$M$8),"x","")</f>
        <v/>
      </c>
    </row>
    <row r="1651" spans="1:25" s="767" customFormat="1" ht="15.75" customHeight="1">
      <c r="A1651" s="201" t="str">
        <f>IF(B1651&lt;&gt;"",IF(AND(B1651&gt;=_TM1,B1651&lt;=_TM2,OR(TH!L1651="1111",TH!M1651="1111")),TH!D1651,""),"")</f>
        <v/>
      </c>
      <c r="B1651" s="692">
        <f t="shared" si="78"/>
        <v>10</v>
      </c>
      <c r="C1651" s="791">
        <f t="shared" si="76"/>
        <v>41563</v>
      </c>
      <c r="D1651" s="791" t="s">
        <v>1261</v>
      </c>
      <c r="E1651" s="791">
        <v>41563</v>
      </c>
      <c r="F1651" s="848" t="s">
        <v>1126</v>
      </c>
      <c r="G1651" s="792" t="s">
        <v>927</v>
      </c>
      <c r="H1651" s="795" t="s">
        <v>1257</v>
      </c>
      <c r="I1651" s="248">
        <v>1400</v>
      </c>
      <c r="J1651" s="248">
        <v>4845.6401920926928</v>
      </c>
      <c r="K1651" s="693">
        <f t="shared" si="77"/>
        <v>6783896</v>
      </c>
      <c r="L1651" s="52" t="s">
        <v>164</v>
      </c>
      <c r="M1651" s="849" t="s">
        <v>162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IF(OR(TH!L1651=TH!$U$7,M1651=TH!$U$7),"x","")</f>
        <v/>
      </c>
      <c r="V1651" s="52" t="str">
        <f>IF(AND(B1651&gt;='IN-NX'!$P$3,B1651&lt;='IN-NX'!$Q$3,'IN-NX'!$D$7=D1651,OR(LEFT(L1651,2)="15",AND(LEFT(M1651,2)&lt;&gt;"15",LEFT(M1651,2)&lt;&gt;"33"))),"x","")</f>
        <v/>
      </c>
      <c r="W1651" s="52" t="str">
        <f>IF(AND(OR(LEFT(TH!L1651,2)="15",LEFT(TH!M1651,2)="15"),'152-CT'!$J$8=TH!F1651),"x","")</f>
        <v/>
      </c>
      <c r="X1651" s="52" t="str">
        <f>IF(AND(OR(LEFT(TH!L1651,2)="15",LEFT(TH!M1651,2)="15"),TK!$E$7=TH!F1651),"x","")</f>
        <v/>
      </c>
      <c r="Y1651" s="52" t="str">
        <f>IF(AND(B1651&lt;=NKC!$N$8,B1651&gt;=NKC!$M$8),"x","")</f>
        <v/>
      </c>
    </row>
    <row r="1652" spans="1:25" s="767" customFormat="1" ht="15.75" customHeight="1">
      <c r="A1652" s="201" t="str">
        <f>IF(B1652&lt;&gt;"",IF(AND(B1652&gt;=_TM1,B1652&lt;=_TM2,OR(TH!L1652="1111",TH!M1652="1111")),TH!D1652,""),"")</f>
        <v/>
      </c>
      <c r="B1652" s="692">
        <f t="shared" si="78"/>
        <v>10</v>
      </c>
      <c r="C1652" s="791">
        <f t="shared" si="76"/>
        <v>41563</v>
      </c>
      <c r="D1652" s="791" t="s">
        <v>1261</v>
      </c>
      <c r="E1652" s="791">
        <v>41563</v>
      </c>
      <c r="F1652" s="848" t="s">
        <v>1116</v>
      </c>
      <c r="G1652" s="792" t="s">
        <v>928</v>
      </c>
      <c r="H1652" s="795" t="s">
        <v>1257</v>
      </c>
      <c r="I1652" s="248">
        <v>5391</v>
      </c>
      <c r="J1652" s="248">
        <v>4059.7951447916353</v>
      </c>
      <c r="K1652" s="693">
        <f t="shared" si="77"/>
        <v>21886356</v>
      </c>
      <c r="L1652" s="52" t="s">
        <v>164</v>
      </c>
      <c r="M1652" s="849" t="s">
        <v>162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IF(OR(TH!L1652=TH!$U$7,M1652=TH!$U$7),"x","")</f>
        <v/>
      </c>
      <c r="V1652" s="52" t="str">
        <f>IF(AND(B1652&gt;='IN-NX'!$P$3,B1652&lt;='IN-NX'!$Q$3,'IN-NX'!$D$7=D1652,OR(LEFT(L1652,2)="15",AND(LEFT(M1652,2)&lt;&gt;"15",LEFT(M1652,2)&lt;&gt;"33"))),"x","")</f>
        <v/>
      </c>
      <c r="W1652" s="52" t="str">
        <f>IF(AND(OR(LEFT(TH!L1652,2)="15",LEFT(TH!M1652,2)="15"),'152-CT'!$J$8=TH!F1652),"x","")</f>
        <v/>
      </c>
      <c r="X1652" s="52" t="str">
        <f>IF(AND(OR(LEFT(TH!L1652,2)="15",LEFT(TH!M1652,2)="15"),TK!$E$7=TH!F1652),"x","")</f>
        <v/>
      </c>
      <c r="Y1652" s="52" t="str">
        <f>IF(AND(B1652&lt;=NKC!$N$8,B1652&gt;=NKC!$M$8),"x","")</f>
        <v/>
      </c>
    </row>
    <row r="1653" spans="1:25" s="767" customFormat="1" ht="15.75" customHeight="1">
      <c r="A1653" s="201" t="str">
        <f>IF(B1653&lt;&gt;"",IF(AND(B1653&gt;=_TM1,B1653&lt;=_TM2,OR(TH!L1653="1111",TH!M1653="1111")),TH!D1653,""),"")</f>
        <v/>
      </c>
      <c r="B1653" s="692">
        <f t="shared" si="78"/>
        <v>10</v>
      </c>
      <c r="C1653" s="791">
        <f t="shared" si="76"/>
        <v>41565</v>
      </c>
      <c r="D1653" s="791" t="s">
        <v>1261</v>
      </c>
      <c r="E1653" s="48">
        <v>41565</v>
      </c>
      <c r="F1653" s="49" t="s">
        <v>907</v>
      </c>
      <c r="G1653" s="49" t="s">
        <v>929</v>
      </c>
      <c r="H1653" s="795" t="s">
        <v>1257</v>
      </c>
      <c r="I1653" s="248">
        <v>100</v>
      </c>
      <c r="J1653" s="248">
        <v>17903.490192092693</v>
      </c>
      <c r="K1653" s="693">
        <f t="shared" si="77"/>
        <v>1790349</v>
      </c>
      <c r="L1653" s="52" t="s">
        <v>164</v>
      </c>
      <c r="M1653" s="849" t="s">
        <v>162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IF(OR(TH!L1653=TH!$U$7,M1653=TH!$U$7),"x","")</f>
        <v/>
      </c>
      <c r="V1653" s="52" t="str">
        <f>IF(AND(B1653&gt;='IN-NX'!$P$3,B1653&lt;='IN-NX'!$Q$3,'IN-NX'!$D$7=D1653,OR(LEFT(L1653,2)="15",AND(LEFT(M1653,2)&lt;&gt;"15",LEFT(M1653,2)&lt;&gt;"33"))),"x","")</f>
        <v/>
      </c>
      <c r="W1653" s="52" t="str">
        <f>IF(AND(OR(LEFT(TH!L1653,2)="15",LEFT(TH!M1653,2)="15"),'152-CT'!$J$8=TH!F1653),"x","")</f>
        <v/>
      </c>
      <c r="X1653" s="52" t="str">
        <f>IF(AND(OR(LEFT(TH!L1653,2)="15",LEFT(TH!M1653,2)="15"),TK!$E$7=TH!F1653),"x","")</f>
        <v/>
      </c>
      <c r="Y1653" s="52" t="str">
        <f>IF(AND(B1653&lt;=NKC!$N$8,B1653&gt;=NKC!$M$8),"x","")</f>
        <v/>
      </c>
    </row>
    <row r="1654" spans="1:25" s="767" customFormat="1" ht="15.75" customHeight="1">
      <c r="A1654" s="201" t="str">
        <f>IF(B1654&lt;&gt;"",IF(AND(B1654&gt;=_TM1,B1654&lt;=_TM2,OR(TH!L1654="1111",TH!M1654="1111")),TH!D1654,""),"")</f>
        <v/>
      </c>
      <c r="B1654" s="692">
        <f t="shared" si="78"/>
        <v>10</v>
      </c>
      <c r="C1654" s="791">
        <f t="shared" si="76"/>
        <v>41566</v>
      </c>
      <c r="D1654" s="791" t="s">
        <v>1261</v>
      </c>
      <c r="E1654" s="48">
        <v>41566</v>
      </c>
      <c r="F1654" s="49" t="s">
        <v>1108</v>
      </c>
      <c r="G1654" s="49" t="s">
        <v>930</v>
      </c>
      <c r="H1654" s="795" t="s">
        <v>1257</v>
      </c>
      <c r="I1654" s="248">
        <v>1157</v>
      </c>
      <c r="J1654" s="248">
        <v>4680.8869077365989</v>
      </c>
      <c r="K1654" s="693">
        <f t="shared" si="77"/>
        <v>5415786</v>
      </c>
      <c r="L1654" s="52" t="s">
        <v>164</v>
      </c>
      <c r="M1654" s="849" t="s">
        <v>162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IF(OR(TH!L1654=TH!$U$7,M1654=TH!$U$7),"x","")</f>
        <v/>
      </c>
      <c r="V1654" s="52" t="str">
        <f>IF(AND(B1654&gt;='IN-NX'!$P$3,B1654&lt;='IN-NX'!$Q$3,'IN-NX'!$D$7=D1654,OR(LEFT(L1654,2)="15",AND(LEFT(M1654,2)&lt;&gt;"15",LEFT(M1654,2)&lt;&gt;"33"))),"x","")</f>
        <v/>
      </c>
      <c r="W1654" s="52" t="str">
        <f>IF(AND(OR(LEFT(TH!L1654,2)="15",LEFT(TH!M1654,2)="15"),'152-CT'!$J$8=TH!F1654),"x","")</f>
        <v/>
      </c>
      <c r="X1654" s="52" t="str">
        <f>IF(AND(OR(LEFT(TH!L1654,2)="15",LEFT(TH!M1654,2)="15"),TK!$E$7=TH!F1654),"x","")</f>
        <v/>
      </c>
      <c r="Y1654" s="52" t="str">
        <f>IF(AND(B1654&lt;=NKC!$N$8,B1654&gt;=NKC!$M$8),"x","")</f>
        <v/>
      </c>
    </row>
    <row r="1655" spans="1:25" s="767" customFormat="1" ht="15.75" customHeight="1">
      <c r="A1655" s="201" t="str">
        <f>IF(B1655&lt;&gt;"",IF(AND(B1655&gt;=_TM1,B1655&lt;=_TM2,OR(TH!L1655="1111",TH!M1655="1111")),TH!D1655,""),"")</f>
        <v/>
      </c>
      <c r="B1655" s="692">
        <f t="shared" si="78"/>
        <v>10</v>
      </c>
      <c r="C1655" s="791">
        <f t="shared" si="76"/>
        <v>41566</v>
      </c>
      <c r="D1655" s="791" t="s">
        <v>1261</v>
      </c>
      <c r="E1655" s="847">
        <v>41566</v>
      </c>
      <c r="F1655" s="867" t="s">
        <v>931</v>
      </c>
      <c r="G1655" s="868" t="s">
        <v>930</v>
      </c>
      <c r="H1655" s="795" t="s">
        <v>1257</v>
      </c>
      <c r="I1655" s="248">
        <v>220</v>
      </c>
      <c r="J1655" s="248">
        <v>7902.0356466381472</v>
      </c>
      <c r="K1655" s="693">
        <f t="shared" si="77"/>
        <v>1738448</v>
      </c>
      <c r="L1655" s="52" t="s">
        <v>164</v>
      </c>
      <c r="M1655" s="849" t="s">
        <v>162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IF(OR(TH!L1655=TH!$U$7,M1655=TH!$U$7),"x","")</f>
        <v/>
      </c>
      <c r="V1655" s="52" t="str">
        <f>IF(AND(B1655&gt;='IN-NX'!$P$3,B1655&lt;='IN-NX'!$Q$3,'IN-NX'!$D$7=D1655,OR(LEFT(L1655,2)="15",AND(LEFT(M1655,2)&lt;&gt;"15",LEFT(M1655,2)&lt;&gt;"33"))),"x","")</f>
        <v/>
      </c>
      <c r="W1655" s="52" t="str">
        <f>IF(AND(OR(LEFT(TH!L1655,2)="15",LEFT(TH!M1655,2)="15"),'152-CT'!$J$8=TH!F1655),"x","")</f>
        <v/>
      </c>
      <c r="X1655" s="52" t="str">
        <f>IF(AND(OR(LEFT(TH!L1655,2)="15",LEFT(TH!M1655,2)="15"),TK!$E$7=TH!F1655),"x","")</f>
        <v/>
      </c>
      <c r="Y1655" s="52" t="str">
        <f>IF(AND(B1655&lt;=NKC!$N$8,B1655&gt;=NKC!$M$8),"x","")</f>
        <v/>
      </c>
    </row>
    <row r="1656" spans="1:25" s="767" customFormat="1" ht="15.75" customHeight="1">
      <c r="A1656" s="201" t="str">
        <f>IF(B1656&lt;&gt;"",IF(AND(B1656&gt;=_TM1,B1656&lt;=_TM2,OR(TH!L1656="1111",TH!M1656="1111")),TH!D1656,""),"")</f>
        <v/>
      </c>
      <c r="B1656" s="692">
        <f t="shared" si="78"/>
        <v>10</v>
      </c>
      <c r="C1656" s="791">
        <f t="shared" si="76"/>
        <v>41568</v>
      </c>
      <c r="D1656" s="791" t="s">
        <v>1261</v>
      </c>
      <c r="E1656" s="847">
        <v>41568</v>
      </c>
      <c r="F1656" s="867" t="s">
        <v>698</v>
      </c>
      <c r="G1656" s="868" t="s">
        <v>932</v>
      </c>
      <c r="H1656" s="795" t="s">
        <v>1257</v>
      </c>
      <c r="I1656" s="248">
        <v>529</v>
      </c>
      <c r="J1656" s="248">
        <v>8357.4788499376828</v>
      </c>
      <c r="K1656" s="693">
        <f t="shared" si="77"/>
        <v>4421106</v>
      </c>
      <c r="L1656" s="52" t="s">
        <v>164</v>
      </c>
      <c r="M1656" s="849" t="s">
        <v>162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IF(OR(TH!L1656=TH!$U$7,M1656=TH!$U$7),"x","")</f>
        <v/>
      </c>
      <c r="V1656" s="52" t="str">
        <f>IF(AND(B1656&gt;='IN-NX'!$P$3,B1656&lt;='IN-NX'!$Q$3,'IN-NX'!$D$7=D1656,OR(LEFT(L1656,2)="15",AND(LEFT(M1656,2)&lt;&gt;"15",LEFT(M1656,2)&lt;&gt;"33"))),"x","")</f>
        <v/>
      </c>
      <c r="W1656" s="52" t="str">
        <f>IF(AND(OR(LEFT(TH!L1656,2)="15",LEFT(TH!M1656,2)="15"),'152-CT'!$J$8=TH!F1656),"x","")</f>
        <v/>
      </c>
      <c r="X1656" s="52" t="str">
        <f>IF(AND(OR(LEFT(TH!L1656,2)="15",LEFT(TH!M1656,2)="15"),TK!$E$7=TH!F1656),"x","")</f>
        <v/>
      </c>
      <c r="Y1656" s="52" t="str">
        <f>IF(AND(B1656&lt;=NKC!$N$8,B1656&gt;=NKC!$M$8),"x","")</f>
        <v/>
      </c>
    </row>
    <row r="1657" spans="1:25" s="767" customFormat="1" ht="15.75" customHeight="1">
      <c r="A1657" s="201" t="str">
        <f>IF(B1657&lt;&gt;"",IF(AND(B1657&gt;=_TM1,B1657&lt;=_TM2,OR(TH!L1657="1111",TH!M1657="1111")),TH!D1657,""),"")</f>
        <v/>
      </c>
      <c r="B1657" s="692">
        <f t="shared" si="78"/>
        <v>10</v>
      </c>
      <c r="C1657" s="791">
        <f t="shared" si="76"/>
        <v>41568</v>
      </c>
      <c r="D1657" s="791" t="s">
        <v>1261</v>
      </c>
      <c r="E1657" s="847">
        <v>41568</v>
      </c>
      <c r="F1657" s="867" t="s">
        <v>933</v>
      </c>
      <c r="G1657" s="868" t="s">
        <v>934</v>
      </c>
      <c r="H1657" s="795" t="s">
        <v>1257</v>
      </c>
      <c r="I1657" s="248">
        <v>80</v>
      </c>
      <c r="J1657" s="248">
        <v>3398.4651920926926</v>
      </c>
      <c r="K1657" s="693">
        <f t="shared" si="77"/>
        <v>271877</v>
      </c>
      <c r="L1657" s="52" t="s">
        <v>164</v>
      </c>
      <c r="M1657" s="849" t="s">
        <v>162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IF(OR(TH!L1657=TH!$U$7,M1657=TH!$U$7),"x","")</f>
        <v/>
      </c>
      <c r="V1657" s="52" t="str">
        <f>IF(AND(B1657&gt;='IN-NX'!$P$3,B1657&lt;='IN-NX'!$Q$3,'IN-NX'!$D$7=D1657,OR(LEFT(L1657,2)="15",AND(LEFT(M1657,2)&lt;&gt;"15",LEFT(M1657,2)&lt;&gt;"33"))),"x","")</f>
        <v/>
      </c>
      <c r="W1657" s="52" t="str">
        <f>IF(AND(OR(LEFT(TH!L1657,2)="15",LEFT(TH!M1657,2)="15"),'152-CT'!$J$8=TH!F1657),"x","")</f>
        <v/>
      </c>
      <c r="X1657" s="52" t="str">
        <f>IF(AND(OR(LEFT(TH!L1657,2)="15",LEFT(TH!M1657,2)="15"),TK!$E$7=TH!F1657),"x","")</f>
        <v/>
      </c>
      <c r="Y1657" s="52" t="str">
        <f>IF(AND(B1657&lt;=NKC!$N$8,B1657&gt;=NKC!$M$8),"x","")</f>
        <v/>
      </c>
    </row>
    <row r="1658" spans="1:25" s="767" customFormat="1" ht="15.75" customHeight="1">
      <c r="A1658" s="201" t="str">
        <f>IF(B1658&lt;&gt;"",IF(AND(B1658&gt;=_TM1,B1658&lt;=_TM2,OR(TH!L1658="1111",TH!M1658="1111")),TH!D1658,""),"")</f>
        <v/>
      </c>
      <c r="B1658" s="692">
        <f t="shared" si="78"/>
        <v>10</v>
      </c>
      <c r="C1658" s="791">
        <f t="shared" si="76"/>
        <v>41568</v>
      </c>
      <c r="D1658" s="791" t="s">
        <v>1261</v>
      </c>
      <c r="E1658" s="847">
        <v>41568</v>
      </c>
      <c r="F1658" s="867" t="s">
        <v>935</v>
      </c>
      <c r="G1658" s="868" t="s">
        <v>934</v>
      </c>
      <c r="H1658" s="795" t="s">
        <v>1257</v>
      </c>
      <c r="I1658" s="248">
        <v>80</v>
      </c>
      <c r="J1658" s="248">
        <v>3911.7401920926918</v>
      </c>
      <c r="K1658" s="693">
        <f t="shared" si="77"/>
        <v>312939</v>
      </c>
      <c r="L1658" s="52" t="s">
        <v>164</v>
      </c>
      <c r="M1658" s="849" t="s">
        <v>162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IF(OR(TH!L1658=TH!$U$7,M1658=TH!$U$7),"x","")</f>
        <v/>
      </c>
      <c r="V1658" s="52" t="str">
        <f>IF(AND(B1658&gt;='IN-NX'!$P$3,B1658&lt;='IN-NX'!$Q$3,'IN-NX'!$D$7=D1658,OR(LEFT(L1658,2)="15",AND(LEFT(M1658,2)&lt;&gt;"15",LEFT(M1658,2)&lt;&gt;"33"))),"x","")</f>
        <v/>
      </c>
      <c r="W1658" s="52" t="str">
        <f>IF(AND(OR(LEFT(TH!L1658,2)="15",LEFT(TH!M1658,2)="15"),'152-CT'!$J$8=TH!F1658),"x","")</f>
        <v/>
      </c>
      <c r="X1658" s="52" t="str">
        <f>IF(AND(OR(LEFT(TH!L1658,2)="15",LEFT(TH!M1658,2)="15"),TK!$E$7=TH!F1658),"x","")</f>
        <v/>
      </c>
      <c r="Y1658" s="52" t="str">
        <f>IF(AND(B1658&lt;=NKC!$N$8,B1658&gt;=NKC!$M$8),"x","")</f>
        <v/>
      </c>
    </row>
    <row r="1659" spans="1:25" s="767" customFormat="1" ht="15.75" customHeight="1">
      <c r="A1659" s="201" t="str">
        <f>IF(B1659&lt;&gt;"",IF(AND(B1659&gt;=_TM1,B1659&lt;=_TM2,OR(TH!L1659="1111",TH!M1659="1111")),TH!D1659,""),"")</f>
        <v/>
      </c>
      <c r="B1659" s="692">
        <f t="shared" si="78"/>
        <v>10</v>
      </c>
      <c r="C1659" s="791">
        <f t="shared" si="76"/>
        <v>41568</v>
      </c>
      <c r="D1659" s="791" t="s">
        <v>1261</v>
      </c>
      <c r="E1659" s="847">
        <v>41568</v>
      </c>
      <c r="F1659" s="867" t="s">
        <v>1130</v>
      </c>
      <c r="G1659" s="868" t="s">
        <v>934</v>
      </c>
      <c r="H1659" s="795" t="s">
        <v>1257</v>
      </c>
      <c r="I1659" s="248">
        <v>79</v>
      </c>
      <c r="J1659" s="248">
        <v>4626.5281667762365</v>
      </c>
      <c r="K1659" s="693">
        <f t="shared" si="77"/>
        <v>365496</v>
      </c>
      <c r="L1659" s="52" t="s">
        <v>164</v>
      </c>
      <c r="M1659" s="849" t="s">
        <v>162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IF(OR(TH!L1659=TH!$U$7,M1659=TH!$U$7),"x","")</f>
        <v/>
      </c>
      <c r="V1659" s="52" t="str">
        <f>IF(AND(B1659&gt;='IN-NX'!$P$3,B1659&lt;='IN-NX'!$Q$3,'IN-NX'!$D$7=D1659,OR(LEFT(L1659,2)="15",AND(LEFT(M1659,2)&lt;&gt;"15",LEFT(M1659,2)&lt;&gt;"33"))),"x","")</f>
        <v/>
      </c>
      <c r="W1659" s="52" t="str">
        <f>IF(AND(OR(LEFT(TH!L1659,2)="15",LEFT(TH!M1659,2)="15"),'152-CT'!$J$8=TH!F1659),"x","")</f>
        <v/>
      </c>
      <c r="X1659" s="52" t="str">
        <f>IF(AND(OR(LEFT(TH!L1659,2)="15",LEFT(TH!M1659,2)="15"),TK!$E$7=TH!F1659),"x","")</f>
        <v/>
      </c>
      <c r="Y1659" s="52" t="str">
        <f>IF(AND(B1659&lt;=NKC!$N$8,B1659&gt;=NKC!$M$8),"x","")</f>
        <v/>
      </c>
    </row>
    <row r="1660" spans="1:25" s="767" customFormat="1" ht="15.75" customHeight="1">
      <c r="A1660" s="201" t="str">
        <f>IF(B1660&lt;&gt;"",IF(AND(B1660&gt;=_TM1,B1660&lt;=_TM2,OR(TH!L1660="1111",TH!M1660="1111")),TH!D1660,""),"")</f>
        <v/>
      </c>
      <c r="B1660" s="692">
        <f t="shared" si="78"/>
        <v>10</v>
      </c>
      <c r="C1660" s="791">
        <f t="shared" ref="C1660:C1723" si="79">E1660</f>
        <v>41568</v>
      </c>
      <c r="D1660" s="791" t="s">
        <v>1261</v>
      </c>
      <c r="E1660" s="847">
        <v>41568</v>
      </c>
      <c r="F1660" s="867" t="s">
        <v>1127</v>
      </c>
      <c r="G1660" s="868" t="s">
        <v>934</v>
      </c>
      <c r="H1660" s="795" t="s">
        <v>1257</v>
      </c>
      <c r="I1660" s="248">
        <v>82</v>
      </c>
      <c r="J1660" s="248">
        <v>4038.9779969707411</v>
      </c>
      <c r="K1660" s="693">
        <f t="shared" ref="K1660:K1675" si="80">ROUND(I1660*J1660,0)</f>
        <v>331196</v>
      </c>
      <c r="L1660" s="52" t="s">
        <v>164</v>
      </c>
      <c r="M1660" s="849" t="s">
        <v>162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IF(OR(TH!L1660=TH!$U$7,M1660=TH!$U$7),"x","")</f>
        <v/>
      </c>
      <c r="V1660" s="52" t="str">
        <f>IF(AND(B1660&gt;='IN-NX'!$P$3,B1660&lt;='IN-NX'!$Q$3,'IN-NX'!$D$7=D1660,OR(LEFT(L1660,2)="15",AND(LEFT(M1660,2)&lt;&gt;"15",LEFT(M1660,2)&lt;&gt;"33"))),"x","")</f>
        <v/>
      </c>
      <c r="W1660" s="52" t="str">
        <f>IF(AND(OR(LEFT(TH!L1660,2)="15",LEFT(TH!M1660,2)="15"),'152-CT'!$J$8=TH!F1660),"x","")</f>
        <v/>
      </c>
      <c r="X1660" s="52" t="str">
        <f>IF(AND(OR(LEFT(TH!L1660,2)="15",LEFT(TH!M1660,2)="15"),TK!$E$7=TH!F1660),"x","")</f>
        <v/>
      </c>
      <c r="Y1660" s="52" t="str">
        <f>IF(AND(B1660&lt;=NKC!$N$8,B1660&gt;=NKC!$M$8),"x","")</f>
        <v/>
      </c>
    </row>
    <row r="1661" spans="1:25" s="767" customFormat="1" ht="15.75" customHeight="1">
      <c r="A1661" s="201" t="str">
        <f>IF(B1661&lt;&gt;"",IF(AND(B1661&gt;=_TM1,B1661&lt;=_TM2,OR(TH!L1661="1111",TH!M1661="1111")),TH!D1661,""),"")</f>
        <v/>
      </c>
      <c r="B1661" s="692">
        <f t="shared" si="78"/>
        <v>10</v>
      </c>
      <c r="C1661" s="791">
        <f t="shared" si="79"/>
        <v>41568</v>
      </c>
      <c r="D1661" s="791" t="s">
        <v>1261</v>
      </c>
      <c r="E1661" s="847">
        <v>41568</v>
      </c>
      <c r="F1661" s="867" t="s">
        <v>936</v>
      </c>
      <c r="G1661" s="868" t="s">
        <v>934</v>
      </c>
      <c r="H1661" s="795" t="s">
        <v>1257</v>
      </c>
      <c r="I1661" s="248">
        <v>81</v>
      </c>
      <c r="J1661" s="248">
        <v>6437.8111797470137</v>
      </c>
      <c r="K1661" s="693">
        <f t="shared" si="80"/>
        <v>521463</v>
      </c>
      <c r="L1661" s="52" t="s">
        <v>164</v>
      </c>
      <c r="M1661" s="849" t="s">
        <v>162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IF(OR(TH!L1661=TH!$U$7,M1661=TH!$U$7),"x","")</f>
        <v/>
      </c>
      <c r="V1661" s="52" t="str">
        <f>IF(AND(B1661&gt;='IN-NX'!$P$3,B1661&lt;='IN-NX'!$Q$3,'IN-NX'!$D$7=D1661,OR(LEFT(L1661,2)="15",AND(LEFT(M1661,2)&lt;&gt;"15",LEFT(M1661,2)&lt;&gt;"33"))),"x","")</f>
        <v/>
      </c>
      <c r="W1661" s="52" t="str">
        <f>IF(AND(OR(LEFT(TH!L1661,2)="15",LEFT(TH!M1661,2)="15"),'152-CT'!$J$8=TH!F1661),"x","")</f>
        <v/>
      </c>
      <c r="X1661" s="52" t="str">
        <f>IF(AND(OR(LEFT(TH!L1661,2)="15",LEFT(TH!M1661,2)="15"),TK!$E$7=TH!F1661),"x","")</f>
        <v/>
      </c>
      <c r="Y1661" s="52" t="str">
        <f>IF(AND(B1661&lt;=NKC!$N$8,B1661&gt;=NKC!$M$8),"x","")</f>
        <v/>
      </c>
    </row>
    <row r="1662" spans="1:25" s="767" customFormat="1" ht="15.75" customHeight="1">
      <c r="A1662" s="201" t="str">
        <f>IF(B1662&lt;&gt;"",IF(AND(B1662&gt;=_TM1,B1662&lt;=_TM2,OR(TH!L1662="1111",TH!M1662="1111")),TH!D1662,""),"")</f>
        <v/>
      </c>
      <c r="B1662" s="692">
        <f t="shared" si="78"/>
        <v>10</v>
      </c>
      <c r="C1662" s="791">
        <f t="shared" si="79"/>
        <v>41568</v>
      </c>
      <c r="D1662" s="791" t="s">
        <v>1261</v>
      </c>
      <c r="E1662" s="791">
        <v>41568</v>
      </c>
      <c r="F1662" s="848" t="s">
        <v>937</v>
      </c>
      <c r="G1662" s="792" t="s">
        <v>934</v>
      </c>
      <c r="H1662" s="795" t="s">
        <v>1257</v>
      </c>
      <c r="I1662" s="248">
        <v>81</v>
      </c>
      <c r="J1662" s="248">
        <v>6411.3914266605943</v>
      </c>
      <c r="K1662" s="693">
        <f t="shared" si="80"/>
        <v>519323</v>
      </c>
      <c r="L1662" s="52" t="s">
        <v>164</v>
      </c>
      <c r="M1662" s="849" t="s">
        <v>162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IF(OR(TH!L1662=TH!$U$7,M1662=TH!$U$7),"x","")</f>
        <v/>
      </c>
      <c r="V1662" s="52" t="str">
        <f>IF(AND(B1662&gt;='IN-NX'!$P$3,B1662&lt;='IN-NX'!$Q$3,'IN-NX'!$D$7=D1662,OR(LEFT(L1662,2)="15",AND(LEFT(M1662,2)&lt;&gt;"15",LEFT(M1662,2)&lt;&gt;"33"))),"x","")</f>
        <v/>
      </c>
      <c r="W1662" s="52" t="str">
        <f>IF(AND(OR(LEFT(TH!L1662,2)="15",LEFT(TH!M1662,2)="15"),'152-CT'!$J$8=TH!F1662),"x","")</f>
        <v/>
      </c>
      <c r="X1662" s="52" t="str">
        <f>IF(AND(OR(LEFT(TH!L1662,2)="15",LEFT(TH!M1662,2)="15"),TK!$E$7=TH!F1662),"x","")</f>
        <v/>
      </c>
      <c r="Y1662" s="52" t="str">
        <f>IF(AND(B1662&lt;=NKC!$N$8,B1662&gt;=NKC!$M$8),"x","")</f>
        <v/>
      </c>
    </row>
    <row r="1663" spans="1:25" s="767" customFormat="1" ht="15.75" customHeight="1">
      <c r="A1663" s="201" t="str">
        <f>IF(B1663&lt;&gt;"",IF(AND(B1663&gt;=_TM1,B1663&lt;=_TM2,OR(TH!L1663="1111",TH!M1663="1111")),TH!D1663,""),"")</f>
        <v/>
      </c>
      <c r="B1663" s="692">
        <f t="shared" si="78"/>
        <v>10</v>
      </c>
      <c r="C1663" s="791">
        <f t="shared" si="79"/>
        <v>41568</v>
      </c>
      <c r="D1663" s="791" t="s">
        <v>1261</v>
      </c>
      <c r="E1663" s="791">
        <v>41568</v>
      </c>
      <c r="F1663" s="848" t="s">
        <v>938</v>
      </c>
      <c r="G1663" s="792" t="s">
        <v>939</v>
      </c>
      <c r="H1663" s="795" t="s">
        <v>1257</v>
      </c>
      <c r="I1663" s="248">
        <v>80</v>
      </c>
      <c r="J1663" s="248">
        <v>4676.6276920926921</v>
      </c>
      <c r="K1663" s="693">
        <f t="shared" si="80"/>
        <v>374130</v>
      </c>
      <c r="L1663" s="52" t="s">
        <v>164</v>
      </c>
      <c r="M1663" s="849" t="s">
        <v>162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IF(OR(TH!L1663=TH!$U$7,M1663=TH!$U$7),"x","")</f>
        <v/>
      </c>
      <c r="V1663" s="52" t="str">
        <f>IF(AND(B1663&gt;='IN-NX'!$P$3,B1663&lt;='IN-NX'!$Q$3,'IN-NX'!$D$7=D1663,OR(LEFT(L1663,2)="15",AND(LEFT(M1663,2)&lt;&gt;"15",LEFT(M1663,2)&lt;&gt;"33"))),"x","")</f>
        <v/>
      </c>
      <c r="W1663" s="52" t="str">
        <f>IF(AND(OR(LEFT(TH!L1663,2)="15",LEFT(TH!M1663,2)="15"),'152-CT'!$J$8=TH!F1663),"x","")</f>
        <v/>
      </c>
      <c r="X1663" s="52" t="str">
        <f>IF(AND(OR(LEFT(TH!L1663,2)="15",LEFT(TH!M1663,2)="15"),TK!$E$7=TH!F1663),"x","")</f>
        <v/>
      </c>
      <c r="Y1663" s="52" t="str">
        <f>IF(AND(B1663&lt;=NKC!$N$8,B1663&gt;=NKC!$M$8),"x","")</f>
        <v/>
      </c>
    </row>
    <row r="1664" spans="1:25" s="767" customFormat="1" ht="15.75" customHeight="1">
      <c r="A1664" s="201" t="str">
        <f>IF(B1664&lt;&gt;"",IF(AND(B1664&gt;=_TM1,B1664&lt;=_TM2,OR(TH!L1664="1111",TH!M1664="1111")),TH!D1664,""),"")</f>
        <v/>
      </c>
      <c r="B1664" s="692">
        <f t="shared" si="78"/>
        <v>10</v>
      </c>
      <c r="C1664" s="791">
        <f t="shared" si="79"/>
        <v>41568</v>
      </c>
      <c r="D1664" s="791" t="s">
        <v>1261</v>
      </c>
      <c r="E1664" s="806">
        <v>41568</v>
      </c>
      <c r="F1664" s="867" t="s">
        <v>940</v>
      </c>
      <c r="G1664" s="49" t="s">
        <v>939</v>
      </c>
      <c r="H1664" s="795" t="s">
        <v>1257</v>
      </c>
      <c r="I1664" s="248">
        <v>59</v>
      </c>
      <c r="J1664" s="248">
        <v>4642.1342598893016</v>
      </c>
      <c r="K1664" s="693">
        <f t="shared" si="80"/>
        <v>273886</v>
      </c>
      <c r="L1664" s="52" t="s">
        <v>164</v>
      </c>
      <c r="M1664" s="849" t="s">
        <v>162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IF(OR(TH!L1664=TH!$U$7,M1664=TH!$U$7),"x","")</f>
        <v/>
      </c>
      <c r="V1664" s="52" t="str">
        <f>IF(AND(B1664&gt;='IN-NX'!$P$3,B1664&lt;='IN-NX'!$Q$3,'IN-NX'!$D$7=D1664,OR(LEFT(L1664,2)="15",AND(LEFT(M1664,2)&lt;&gt;"15",LEFT(M1664,2)&lt;&gt;"33"))),"x","")</f>
        <v/>
      </c>
      <c r="W1664" s="52" t="str">
        <f>IF(AND(OR(LEFT(TH!L1664,2)="15",LEFT(TH!M1664,2)="15"),'152-CT'!$J$8=TH!F1664),"x","")</f>
        <v/>
      </c>
      <c r="X1664" s="52" t="str">
        <f>IF(AND(OR(LEFT(TH!L1664,2)="15",LEFT(TH!M1664,2)="15"),TK!$E$7=TH!F1664),"x","")</f>
        <v/>
      </c>
      <c r="Y1664" s="52" t="str">
        <f>IF(AND(B1664&lt;=NKC!$N$8,B1664&gt;=NKC!$M$8),"x","")</f>
        <v/>
      </c>
    </row>
    <row r="1665" spans="1:25" s="767" customFormat="1" ht="15.75" customHeight="1">
      <c r="A1665" s="201" t="str">
        <f>IF(B1665&lt;&gt;"",IF(AND(B1665&gt;=_TM1,B1665&lt;=_TM2,OR(TH!L1665="1111",TH!M1665="1111")),TH!D1665,""),"")</f>
        <v/>
      </c>
      <c r="B1665" s="692">
        <f t="shared" si="78"/>
        <v>10</v>
      </c>
      <c r="C1665" s="791">
        <f t="shared" si="79"/>
        <v>41568</v>
      </c>
      <c r="D1665" s="791" t="s">
        <v>1261</v>
      </c>
      <c r="E1665" s="806">
        <v>41568</v>
      </c>
      <c r="F1665" s="794" t="s">
        <v>941</v>
      </c>
      <c r="G1665" s="49" t="s">
        <v>939</v>
      </c>
      <c r="H1665" s="795" t="s">
        <v>1257</v>
      </c>
      <c r="I1665" s="248">
        <v>80</v>
      </c>
      <c r="J1665" s="248">
        <v>6479.7401920926914</v>
      </c>
      <c r="K1665" s="693">
        <f t="shared" si="80"/>
        <v>518379</v>
      </c>
      <c r="L1665" s="52" t="s">
        <v>164</v>
      </c>
      <c r="M1665" s="849" t="s">
        <v>162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IF(OR(TH!L1665=TH!$U$7,M1665=TH!$U$7),"x","")</f>
        <v/>
      </c>
      <c r="V1665" s="52" t="str">
        <f>IF(AND(B1665&gt;='IN-NX'!$P$3,B1665&lt;='IN-NX'!$Q$3,'IN-NX'!$D$7=D1665,OR(LEFT(L1665,2)="15",AND(LEFT(M1665,2)&lt;&gt;"15",LEFT(M1665,2)&lt;&gt;"33"))),"x","")</f>
        <v/>
      </c>
      <c r="W1665" s="52" t="str">
        <f>IF(AND(OR(LEFT(TH!L1665,2)="15",LEFT(TH!M1665,2)="15"),'152-CT'!$J$8=TH!F1665),"x","")</f>
        <v/>
      </c>
      <c r="X1665" s="52" t="str">
        <f>IF(AND(OR(LEFT(TH!L1665,2)="15",LEFT(TH!M1665,2)="15"),TK!$E$7=TH!F1665),"x","")</f>
        <v/>
      </c>
      <c r="Y1665" s="52" t="str">
        <f>IF(AND(B1665&lt;=NKC!$N$8,B1665&gt;=NKC!$M$8),"x","")</f>
        <v/>
      </c>
    </row>
    <row r="1666" spans="1:25" s="767" customFormat="1" ht="15.75" customHeight="1">
      <c r="A1666" s="201" t="str">
        <f>IF(B1666&lt;&gt;"",IF(AND(B1666&gt;=_TM1,B1666&lt;=_TM2,OR(TH!L1666="1111",TH!M1666="1111")),TH!D1666,""),"")</f>
        <v/>
      </c>
      <c r="B1666" s="692">
        <f t="shared" si="78"/>
        <v>10</v>
      </c>
      <c r="C1666" s="791">
        <f t="shared" si="79"/>
        <v>41568</v>
      </c>
      <c r="D1666" s="791" t="s">
        <v>1261</v>
      </c>
      <c r="E1666" s="806">
        <v>41568</v>
      </c>
      <c r="F1666" s="867" t="s">
        <v>942</v>
      </c>
      <c r="G1666" s="49" t="s">
        <v>939</v>
      </c>
      <c r="H1666" s="795" t="s">
        <v>1257</v>
      </c>
      <c r="I1666" s="870">
        <v>15</v>
      </c>
      <c r="J1666" s="248">
        <v>9328.4901920926932</v>
      </c>
      <c r="K1666" s="693">
        <f t="shared" si="80"/>
        <v>139927</v>
      </c>
      <c r="L1666" s="52" t="s">
        <v>164</v>
      </c>
      <c r="M1666" s="849" t="s">
        <v>162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IF(OR(TH!L1666=TH!$U$7,M1666=TH!$U$7),"x","")</f>
        <v/>
      </c>
      <c r="V1666" s="52" t="str">
        <f>IF(AND(B1666&gt;='IN-NX'!$P$3,B1666&lt;='IN-NX'!$Q$3,'IN-NX'!$D$7=D1666,OR(LEFT(L1666,2)="15",AND(LEFT(M1666,2)&lt;&gt;"15",LEFT(M1666,2)&lt;&gt;"33"))),"x","")</f>
        <v/>
      </c>
      <c r="W1666" s="52" t="str">
        <f>IF(AND(OR(LEFT(TH!L1666,2)="15",LEFT(TH!M1666,2)="15"),'152-CT'!$J$8=TH!F1666),"x","")</f>
        <v/>
      </c>
      <c r="X1666" s="52" t="str">
        <f>IF(AND(OR(LEFT(TH!L1666,2)="15",LEFT(TH!M1666,2)="15"),TK!$E$7=TH!F1666),"x","")</f>
        <v/>
      </c>
      <c r="Y1666" s="52" t="str">
        <f>IF(AND(B1666&lt;=NKC!$N$8,B1666&gt;=NKC!$M$8),"x","")</f>
        <v/>
      </c>
    </row>
    <row r="1667" spans="1:25" s="767" customFormat="1" ht="15.75" customHeight="1">
      <c r="A1667" s="201" t="str">
        <f>IF(B1667&lt;&gt;"",IF(AND(B1667&gt;=_TM1,B1667&lt;=_TM2,OR(TH!L1667="1111",TH!M1667="1111")),TH!D1667,""),"")</f>
        <v/>
      </c>
      <c r="B1667" s="692">
        <f t="shared" si="78"/>
        <v>10</v>
      </c>
      <c r="C1667" s="791">
        <f t="shared" si="79"/>
        <v>41568</v>
      </c>
      <c r="D1667" s="791" t="s">
        <v>1261</v>
      </c>
      <c r="E1667" s="806">
        <v>41568</v>
      </c>
      <c r="F1667" s="49" t="s">
        <v>943</v>
      </c>
      <c r="G1667" s="49" t="s">
        <v>939</v>
      </c>
      <c r="H1667" s="795" t="s">
        <v>1257</v>
      </c>
      <c r="I1667" s="248">
        <v>21</v>
      </c>
      <c r="J1667" s="248">
        <v>10823.490192092693</v>
      </c>
      <c r="K1667" s="693">
        <f t="shared" si="80"/>
        <v>227293</v>
      </c>
      <c r="L1667" s="52" t="s">
        <v>164</v>
      </c>
      <c r="M1667" s="849" t="s">
        <v>162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IF(OR(TH!L1667=TH!$U$7,M1667=TH!$U$7),"x","")</f>
        <v/>
      </c>
      <c r="V1667" s="52" t="str">
        <f>IF(AND(B1667&gt;='IN-NX'!$P$3,B1667&lt;='IN-NX'!$Q$3,'IN-NX'!$D$7=D1667,OR(LEFT(L1667,2)="15",AND(LEFT(M1667,2)&lt;&gt;"15",LEFT(M1667,2)&lt;&gt;"33"))),"x","")</f>
        <v/>
      </c>
      <c r="W1667" s="52" t="str">
        <f>IF(AND(OR(LEFT(TH!L1667,2)="15",LEFT(TH!M1667,2)="15"),'152-CT'!$J$8=TH!F1667),"x","")</f>
        <v/>
      </c>
      <c r="X1667" s="52" t="str">
        <f>IF(AND(OR(LEFT(TH!L1667,2)="15",LEFT(TH!M1667,2)="15"),TK!$E$7=TH!F1667),"x","")</f>
        <v/>
      </c>
      <c r="Y1667" s="52" t="str">
        <f>IF(AND(B1667&lt;=NKC!$N$8,B1667&gt;=NKC!$M$8),"x","")</f>
        <v/>
      </c>
    </row>
    <row r="1668" spans="1:25" s="767" customFormat="1" ht="15.75" customHeight="1">
      <c r="A1668" s="201" t="str">
        <f>IF(B1668&lt;&gt;"",IF(AND(B1668&gt;=_TM1,B1668&lt;=_TM2,OR(TH!L1668="1111",TH!M1668="1111")),TH!D1668,""),"")</f>
        <v/>
      </c>
      <c r="B1668" s="692">
        <f t="shared" si="78"/>
        <v>10</v>
      </c>
      <c r="C1668" s="791">
        <f t="shared" si="79"/>
        <v>41568</v>
      </c>
      <c r="D1668" s="791" t="s">
        <v>1261</v>
      </c>
      <c r="E1668" s="806">
        <v>41568</v>
      </c>
      <c r="F1668" s="867" t="s">
        <v>944</v>
      </c>
      <c r="G1668" s="49" t="s">
        <v>939</v>
      </c>
      <c r="H1668" s="795" t="s">
        <v>1257</v>
      </c>
      <c r="I1668" s="248">
        <v>8</v>
      </c>
      <c r="J1668" s="248">
        <v>9328.4901920926932</v>
      </c>
      <c r="K1668" s="693">
        <f t="shared" si="80"/>
        <v>74628</v>
      </c>
      <c r="L1668" s="52" t="s">
        <v>164</v>
      </c>
      <c r="M1668" s="849" t="s">
        <v>162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IF(OR(TH!L1668=TH!$U$7,M1668=TH!$U$7),"x","")</f>
        <v/>
      </c>
      <c r="V1668" s="52" t="str">
        <f>IF(AND(B1668&gt;='IN-NX'!$P$3,B1668&lt;='IN-NX'!$Q$3,'IN-NX'!$D$7=D1668,OR(LEFT(L1668,2)="15",AND(LEFT(M1668,2)&lt;&gt;"15",LEFT(M1668,2)&lt;&gt;"33"))),"x","")</f>
        <v/>
      </c>
      <c r="W1668" s="52" t="str">
        <f>IF(AND(OR(LEFT(TH!L1668,2)="15",LEFT(TH!M1668,2)="15"),'152-CT'!$J$8=TH!F1668),"x","")</f>
        <v/>
      </c>
      <c r="X1668" s="52" t="str">
        <f>IF(AND(OR(LEFT(TH!L1668,2)="15",LEFT(TH!M1668,2)="15"),TK!$E$7=TH!F1668),"x","")</f>
        <v/>
      </c>
      <c r="Y1668" s="52" t="str">
        <f>IF(AND(B1668&lt;=NKC!$N$8,B1668&gt;=NKC!$M$8),"x","")</f>
        <v/>
      </c>
    </row>
    <row r="1669" spans="1:25" s="767" customFormat="1" ht="15.75" customHeight="1">
      <c r="A1669" s="201" t="str">
        <f>IF(B1669&lt;&gt;"",IF(AND(B1669&gt;=_TM1,B1669&lt;=_TM2,OR(TH!L1669="1111",TH!M1669="1111")),TH!D1669,""),"")</f>
        <v/>
      </c>
      <c r="B1669" s="692">
        <f t="shared" si="78"/>
        <v>10</v>
      </c>
      <c r="C1669" s="791">
        <f t="shared" si="79"/>
        <v>41568</v>
      </c>
      <c r="D1669" s="791" t="s">
        <v>1261</v>
      </c>
      <c r="E1669" s="806">
        <v>41568</v>
      </c>
      <c r="F1669" s="867" t="s">
        <v>945</v>
      </c>
      <c r="G1669" s="49" t="s">
        <v>939</v>
      </c>
      <c r="H1669" s="795" t="s">
        <v>1257</v>
      </c>
      <c r="I1669" s="870">
        <v>10</v>
      </c>
      <c r="J1669" s="248">
        <v>10898.490192092691</v>
      </c>
      <c r="K1669" s="693">
        <f t="shared" si="80"/>
        <v>108985</v>
      </c>
      <c r="L1669" s="52" t="s">
        <v>164</v>
      </c>
      <c r="M1669" s="849" t="s">
        <v>162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IF(OR(TH!L1669=TH!$U$7,M1669=TH!$U$7),"x","")</f>
        <v/>
      </c>
      <c r="V1669" s="52" t="str">
        <f>IF(AND(B1669&gt;='IN-NX'!$P$3,B1669&lt;='IN-NX'!$Q$3,'IN-NX'!$D$7=D1669,OR(LEFT(L1669,2)="15",AND(LEFT(M1669,2)&lt;&gt;"15",LEFT(M1669,2)&lt;&gt;"33"))),"x","")</f>
        <v/>
      </c>
      <c r="W1669" s="52" t="str">
        <f>IF(AND(OR(LEFT(TH!L1669,2)="15",LEFT(TH!M1669,2)="15"),'152-CT'!$J$8=TH!F1669),"x","")</f>
        <v/>
      </c>
      <c r="X1669" s="52" t="str">
        <f>IF(AND(OR(LEFT(TH!L1669,2)="15",LEFT(TH!M1669,2)="15"),TK!$E$7=TH!F1669),"x","")</f>
        <v/>
      </c>
      <c r="Y1669" s="52" t="str">
        <f>IF(AND(B1669&lt;=NKC!$N$8,B1669&gt;=NKC!$M$8),"x","")</f>
        <v/>
      </c>
    </row>
    <row r="1670" spans="1:25" s="767" customFormat="1" ht="15.75" customHeight="1">
      <c r="A1670" s="201" t="str">
        <f>IF(B1670&lt;&gt;"",IF(AND(B1670&gt;=_TM1,B1670&lt;=_TM2,OR(TH!L1670="1111",TH!M1670="1111")),TH!D1670,""),"")</f>
        <v/>
      </c>
      <c r="B1670" s="692">
        <f t="shared" si="78"/>
        <v>10</v>
      </c>
      <c r="C1670" s="791">
        <f t="shared" si="79"/>
        <v>41568</v>
      </c>
      <c r="D1670" s="791" t="s">
        <v>1261</v>
      </c>
      <c r="E1670" s="806">
        <v>41568</v>
      </c>
      <c r="F1670" s="867" t="s">
        <v>946</v>
      </c>
      <c r="G1670" s="49" t="s">
        <v>939</v>
      </c>
      <c r="H1670" s="795" t="s">
        <v>1257</v>
      </c>
      <c r="I1670" s="870">
        <v>10</v>
      </c>
      <c r="J1670" s="248">
        <v>15308.99019209269</v>
      </c>
      <c r="K1670" s="693">
        <f t="shared" si="80"/>
        <v>153090</v>
      </c>
      <c r="L1670" s="52" t="s">
        <v>164</v>
      </c>
      <c r="M1670" s="849" t="s">
        <v>162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IF(OR(TH!L1670=TH!$U$7,M1670=TH!$U$7),"x","")</f>
        <v/>
      </c>
      <c r="V1670" s="52" t="str">
        <f>IF(AND(B1670&gt;='IN-NX'!$P$3,B1670&lt;='IN-NX'!$Q$3,'IN-NX'!$D$7=D1670,OR(LEFT(L1670,2)="15",AND(LEFT(M1670,2)&lt;&gt;"15",LEFT(M1670,2)&lt;&gt;"33"))),"x","")</f>
        <v/>
      </c>
      <c r="W1670" s="52" t="str">
        <f>IF(AND(OR(LEFT(TH!L1670,2)="15",LEFT(TH!M1670,2)="15"),'152-CT'!$J$8=TH!F1670),"x","")</f>
        <v/>
      </c>
      <c r="X1670" s="52" t="str">
        <f>IF(AND(OR(LEFT(TH!L1670,2)="15",LEFT(TH!M1670,2)="15"),TK!$E$7=TH!F1670),"x","")</f>
        <v/>
      </c>
      <c r="Y1670" s="52" t="str">
        <f>IF(AND(B1670&lt;=NKC!$N$8,B1670&gt;=NKC!$M$8),"x","")</f>
        <v/>
      </c>
    </row>
    <row r="1671" spans="1:25" s="767" customFormat="1" ht="15.75" customHeight="1">
      <c r="A1671" s="201" t="str">
        <f>IF(B1671&lt;&gt;"",IF(AND(B1671&gt;=_TM1,B1671&lt;=_TM2,OR(TH!L1671="1111",TH!M1671="1111")),TH!D1671,""),"")</f>
        <v/>
      </c>
      <c r="B1671" s="692">
        <f t="shared" si="78"/>
        <v>10</v>
      </c>
      <c r="C1671" s="791">
        <f t="shared" si="79"/>
        <v>41568</v>
      </c>
      <c r="D1671" s="791" t="s">
        <v>1261</v>
      </c>
      <c r="E1671" s="806">
        <v>41568</v>
      </c>
      <c r="F1671" s="867" t="s">
        <v>947</v>
      </c>
      <c r="G1671" s="49" t="s">
        <v>948</v>
      </c>
      <c r="H1671" s="795" t="s">
        <v>1257</v>
      </c>
      <c r="I1671" s="870">
        <v>62</v>
      </c>
      <c r="J1671" s="248">
        <v>6978.6514824152728</v>
      </c>
      <c r="K1671" s="693">
        <f t="shared" si="80"/>
        <v>432676</v>
      </c>
      <c r="L1671" s="52" t="s">
        <v>164</v>
      </c>
      <c r="M1671" s="849" t="s">
        <v>162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IF(OR(TH!L1671=TH!$U$7,M1671=TH!$U$7),"x","")</f>
        <v/>
      </c>
      <c r="V1671" s="52" t="str">
        <f>IF(AND(B1671&gt;='IN-NX'!$P$3,B1671&lt;='IN-NX'!$Q$3,'IN-NX'!$D$7=D1671,OR(LEFT(L1671,2)="15",AND(LEFT(M1671,2)&lt;&gt;"15",LEFT(M1671,2)&lt;&gt;"33"))),"x","")</f>
        <v/>
      </c>
      <c r="W1671" s="52" t="str">
        <f>IF(AND(OR(LEFT(TH!L1671,2)="15",LEFT(TH!M1671,2)="15"),'152-CT'!$J$8=TH!F1671),"x","")</f>
        <v/>
      </c>
      <c r="X1671" s="52" t="str">
        <f>IF(AND(OR(LEFT(TH!L1671,2)="15",LEFT(TH!M1671,2)="15"),TK!$E$7=TH!F1671),"x","")</f>
        <v/>
      </c>
      <c r="Y1671" s="52" t="str">
        <f>IF(AND(B1671&lt;=NKC!$N$8,B1671&gt;=NKC!$M$8),"x","")</f>
        <v/>
      </c>
    </row>
    <row r="1672" spans="1:25" s="767" customFormat="1" ht="15.75" customHeight="1">
      <c r="A1672" s="201" t="str">
        <f>IF(B1672&lt;&gt;"",IF(AND(B1672&gt;=_TM1,B1672&lt;=_TM2,OR(TH!L1672="1111",TH!M1672="1111")),TH!D1672,""),"")</f>
        <v/>
      </c>
      <c r="B1672" s="692">
        <f t="shared" si="78"/>
        <v>10</v>
      </c>
      <c r="C1672" s="791">
        <f t="shared" si="79"/>
        <v>41568</v>
      </c>
      <c r="D1672" s="791" t="s">
        <v>1261</v>
      </c>
      <c r="E1672" s="791">
        <v>41568</v>
      </c>
      <c r="F1672" s="848" t="s">
        <v>949</v>
      </c>
      <c r="G1672" s="792" t="s">
        <v>950</v>
      </c>
      <c r="H1672" s="795" t="s">
        <v>1257</v>
      </c>
      <c r="I1672" s="248">
        <v>50</v>
      </c>
      <c r="J1672" s="248">
        <v>12435.890192092693</v>
      </c>
      <c r="K1672" s="693">
        <f t="shared" si="80"/>
        <v>621795</v>
      </c>
      <c r="L1672" s="52" t="s">
        <v>164</v>
      </c>
      <c r="M1672" s="849" t="s">
        <v>162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IF(OR(TH!L1672=TH!$U$7,M1672=TH!$U$7),"x","")</f>
        <v/>
      </c>
      <c r="V1672" s="52" t="str">
        <f>IF(AND(B1672&gt;='IN-NX'!$P$3,B1672&lt;='IN-NX'!$Q$3,'IN-NX'!$D$7=D1672,OR(LEFT(L1672,2)="15",AND(LEFT(M1672,2)&lt;&gt;"15",LEFT(M1672,2)&lt;&gt;"33"))),"x","")</f>
        <v/>
      </c>
      <c r="W1672" s="52" t="str">
        <f>IF(AND(OR(LEFT(TH!L1672,2)="15",LEFT(TH!M1672,2)="15"),'152-CT'!$J$8=TH!F1672),"x","")</f>
        <v/>
      </c>
      <c r="X1672" s="52" t="str">
        <f>IF(AND(OR(LEFT(TH!L1672,2)="15",LEFT(TH!M1672,2)="15"),TK!$E$7=TH!F1672),"x","")</f>
        <v/>
      </c>
      <c r="Y1672" s="52" t="str">
        <f>IF(AND(B1672&lt;=NKC!$N$8,B1672&gt;=NKC!$M$8),"x","")</f>
        <v/>
      </c>
    </row>
    <row r="1673" spans="1:25" s="767" customFormat="1" ht="15.75" customHeight="1">
      <c r="A1673" s="201" t="str">
        <f>IF(B1673&lt;&gt;"",IF(AND(B1673&gt;=_TM1,B1673&lt;=_TM2,OR(TH!L1673="1111",TH!M1673="1111")),TH!D1673,""),"")</f>
        <v/>
      </c>
      <c r="B1673" s="692">
        <f t="shared" si="78"/>
        <v>10</v>
      </c>
      <c r="C1673" s="791">
        <f t="shared" si="79"/>
        <v>41568</v>
      </c>
      <c r="D1673" s="791" t="s">
        <v>1261</v>
      </c>
      <c r="E1673" s="791">
        <v>41568</v>
      </c>
      <c r="F1673" s="848" t="s">
        <v>951</v>
      </c>
      <c r="G1673" s="792" t="s">
        <v>952</v>
      </c>
      <c r="H1673" s="795" t="s">
        <v>1257</v>
      </c>
      <c r="I1673" s="248">
        <v>51</v>
      </c>
      <c r="J1673" s="248">
        <v>11744.490192092693</v>
      </c>
      <c r="K1673" s="693">
        <f t="shared" si="80"/>
        <v>598969</v>
      </c>
      <c r="L1673" s="52" t="s">
        <v>164</v>
      </c>
      <c r="M1673" s="849" t="s">
        <v>162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IF(OR(TH!L1673=TH!$U$7,M1673=TH!$U$7),"x","")</f>
        <v/>
      </c>
      <c r="V1673" s="52" t="str">
        <f>IF(AND(B1673&gt;='IN-NX'!$P$3,B1673&lt;='IN-NX'!$Q$3,'IN-NX'!$D$7=D1673,OR(LEFT(L1673,2)="15",AND(LEFT(M1673,2)&lt;&gt;"15",LEFT(M1673,2)&lt;&gt;"33"))),"x","")</f>
        <v/>
      </c>
      <c r="W1673" s="52" t="str">
        <f>IF(AND(OR(LEFT(TH!L1673,2)="15",LEFT(TH!M1673,2)="15"),'152-CT'!$J$8=TH!F1673),"x","")</f>
        <v/>
      </c>
      <c r="X1673" s="52" t="str">
        <f>IF(AND(OR(LEFT(TH!L1673,2)="15",LEFT(TH!M1673,2)="15"),TK!$E$7=TH!F1673),"x","")</f>
        <v/>
      </c>
      <c r="Y1673" s="52" t="str">
        <f>IF(AND(B1673&lt;=NKC!$N$8,B1673&gt;=NKC!$M$8),"x","")</f>
        <v/>
      </c>
    </row>
    <row r="1674" spans="1:25" s="767" customFormat="1" ht="15.75" customHeight="1">
      <c r="A1674" s="201" t="str">
        <f>IF(B1674&lt;&gt;"",IF(AND(B1674&gt;=_TM1,B1674&lt;=_TM2,OR(TH!L1674="1111",TH!M1674="1111")),TH!D1674,""),"")</f>
        <v/>
      </c>
      <c r="B1674" s="692">
        <f t="shared" si="78"/>
        <v>10</v>
      </c>
      <c r="C1674" s="791">
        <f t="shared" si="79"/>
        <v>41568</v>
      </c>
      <c r="D1674" s="791" t="s">
        <v>1261</v>
      </c>
      <c r="E1674" s="791">
        <v>41568</v>
      </c>
      <c r="F1674" s="848" t="s">
        <v>1124</v>
      </c>
      <c r="G1674" s="792" t="s">
        <v>953</v>
      </c>
      <c r="H1674" s="795" t="s">
        <v>1257</v>
      </c>
      <c r="I1674" s="248">
        <v>66</v>
      </c>
      <c r="J1674" s="248">
        <v>4580.4901920926914</v>
      </c>
      <c r="K1674" s="693">
        <f t="shared" si="80"/>
        <v>302312</v>
      </c>
      <c r="L1674" s="52" t="s">
        <v>164</v>
      </c>
      <c r="M1674" s="849" t="s">
        <v>162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IF(OR(TH!L1674=TH!$U$7,M1674=TH!$U$7),"x","")</f>
        <v/>
      </c>
      <c r="V1674" s="52" t="str">
        <f>IF(AND(B1674&gt;='IN-NX'!$P$3,B1674&lt;='IN-NX'!$Q$3,'IN-NX'!$D$7=D1674,OR(LEFT(L1674,2)="15",AND(LEFT(M1674,2)&lt;&gt;"15",LEFT(M1674,2)&lt;&gt;"33"))),"x","")</f>
        <v/>
      </c>
      <c r="W1674" s="52" t="str">
        <f>IF(AND(OR(LEFT(TH!L1674,2)="15",LEFT(TH!M1674,2)="15"),'152-CT'!$J$8=TH!F1674),"x","")</f>
        <v/>
      </c>
      <c r="X1674" s="52" t="str">
        <f>IF(AND(OR(LEFT(TH!L1674,2)="15",LEFT(TH!M1674,2)="15"),TK!$E$7=TH!F1674),"x","")</f>
        <v/>
      </c>
      <c r="Y1674" s="52" t="str">
        <f>IF(AND(B1674&lt;=NKC!$N$8,B1674&gt;=NKC!$M$8),"x","")</f>
        <v/>
      </c>
    </row>
    <row r="1675" spans="1:25" s="767" customFormat="1" ht="15.75" customHeight="1">
      <c r="A1675" s="201" t="str">
        <f>IF(B1675&lt;&gt;"",IF(AND(B1675&gt;=_TM1,B1675&lt;=_TM2,OR(TH!L1675="1111",TH!M1675="1111")),TH!D1675,""),"")</f>
        <v/>
      </c>
      <c r="B1675" s="692">
        <f t="shared" si="78"/>
        <v>10</v>
      </c>
      <c r="C1675" s="791">
        <f t="shared" si="79"/>
        <v>41568</v>
      </c>
      <c r="D1675" s="791" t="s">
        <v>1261</v>
      </c>
      <c r="E1675" s="791">
        <v>41568</v>
      </c>
      <c r="F1675" s="848" t="s">
        <v>1125</v>
      </c>
      <c r="G1675" s="792" t="s">
        <v>611</v>
      </c>
      <c r="H1675" s="795" t="s">
        <v>1257</v>
      </c>
      <c r="I1675" s="248">
        <v>62</v>
      </c>
      <c r="J1675" s="248">
        <v>4895.7482566088211</v>
      </c>
      <c r="K1675" s="693">
        <f t="shared" si="80"/>
        <v>303536</v>
      </c>
      <c r="L1675" s="52" t="s">
        <v>164</v>
      </c>
      <c r="M1675" s="849" t="s">
        <v>162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IF(OR(TH!L1675=TH!$U$7,M1675=TH!$U$7),"x","")</f>
        <v/>
      </c>
      <c r="V1675" s="52" t="str">
        <f>IF(AND(B1675&gt;='IN-NX'!$P$3,B1675&lt;='IN-NX'!$Q$3,'IN-NX'!$D$7=D1675,OR(LEFT(L1675,2)="15",AND(LEFT(M1675,2)&lt;&gt;"15",LEFT(M1675,2)&lt;&gt;"33"))),"x","")</f>
        <v/>
      </c>
      <c r="W1675" s="52" t="str">
        <f>IF(AND(OR(LEFT(TH!L1675,2)="15",LEFT(TH!M1675,2)="15"),'152-CT'!$J$8=TH!F1675),"x","")</f>
        <v/>
      </c>
      <c r="X1675" s="52" t="str">
        <f>IF(AND(OR(LEFT(TH!L1675,2)="15",LEFT(TH!M1675,2)="15"),TK!$E$7=TH!F1675),"x","")</f>
        <v/>
      </c>
      <c r="Y1675" s="52" t="str">
        <f>IF(AND(B1675&lt;=NKC!$N$8,B1675&gt;=NKC!$M$8),"x","")</f>
        <v/>
      </c>
    </row>
    <row r="1676" spans="1:25" s="767" customFormat="1" ht="15.75" customHeight="1">
      <c r="A1676" s="201" t="str">
        <f>IF(B1676&lt;&gt;"",IF(AND(B1676&gt;=_TM1,B1676&lt;=_TM2,OR(TH!L1676="1111",TH!M1676="1111")),TH!D1676,""),"")</f>
        <v/>
      </c>
      <c r="B1676" s="692">
        <f t="shared" si="78"/>
        <v>10</v>
      </c>
      <c r="C1676" s="791">
        <f t="shared" si="79"/>
        <v>41568</v>
      </c>
      <c r="D1676" s="791" t="s">
        <v>1261</v>
      </c>
      <c r="E1676" s="791">
        <v>41568</v>
      </c>
      <c r="F1676" s="848" t="s">
        <v>954</v>
      </c>
      <c r="G1676" s="792" t="s">
        <v>955</v>
      </c>
      <c r="H1676" s="795" t="s">
        <v>1257</v>
      </c>
      <c r="I1676" s="248">
        <v>16</v>
      </c>
      <c r="J1676" s="248">
        <v>15943.490192092693</v>
      </c>
      <c r="K1676" s="693">
        <f t="shared" ref="K1676:K1739" si="81">ROUND(I1676*J1676,0)</f>
        <v>255096</v>
      </c>
      <c r="L1676" s="52" t="s">
        <v>164</v>
      </c>
      <c r="M1676" s="849" t="s">
        <v>162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IF(OR(TH!L1676=TH!$U$7,M1676=TH!$U$7),"x","")</f>
        <v/>
      </c>
      <c r="V1676" s="52" t="str">
        <f>IF(AND(B1676&gt;='IN-NX'!$P$3,B1676&lt;='IN-NX'!$Q$3,'IN-NX'!$D$7=D1676,OR(LEFT(L1676,2)="15",AND(LEFT(M1676,2)&lt;&gt;"15",LEFT(M1676,2)&lt;&gt;"33"))),"x","")</f>
        <v/>
      </c>
      <c r="W1676" s="52" t="str">
        <f>IF(AND(OR(LEFT(TH!L1676,2)="15",LEFT(TH!M1676,2)="15"),'152-CT'!$J$8=TH!F1676),"x","")</f>
        <v/>
      </c>
      <c r="X1676" s="52" t="str">
        <f>IF(AND(OR(LEFT(TH!L1676,2)="15",LEFT(TH!M1676,2)="15"),TK!$E$7=TH!F1676),"x","")</f>
        <v/>
      </c>
      <c r="Y1676" s="52" t="str">
        <f>IF(AND(B1676&lt;=NKC!$N$8,B1676&gt;=NKC!$M$8),"x","")</f>
        <v/>
      </c>
    </row>
    <row r="1677" spans="1:25" s="767" customFormat="1" ht="15.75" customHeight="1">
      <c r="A1677" s="201" t="str">
        <f>IF(B1677&lt;&gt;"",IF(AND(B1677&gt;=_TM1,B1677&lt;=_TM2,OR(TH!L1677="1111",TH!M1677="1111")),TH!D1677,""),"")</f>
        <v/>
      </c>
      <c r="B1677" s="692">
        <f t="shared" si="78"/>
        <v>10</v>
      </c>
      <c r="C1677" s="791">
        <f t="shared" si="79"/>
        <v>41568</v>
      </c>
      <c r="D1677" s="791" t="s">
        <v>1261</v>
      </c>
      <c r="E1677" s="791">
        <v>41568</v>
      </c>
      <c r="F1677" s="848" t="s">
        <v>956</v>
      </c>
      <c r="G1677" s="792" t="s">
        <v>957</v>
      </c>
      <c r="H1677" s="795" t="s">
        <v>1257</v>
      </c>
      <c r="I1677" s="248">
        <v>13</v>
      </c>
      <c r="J1677" s="248">
        <v>15943.490192092691</v>
      </c>
      <c r="K1677" s="693">
        <f t="shared" si="81"/>
        <v>207265</v>
      </c>
      <c r="L1677" s="52" t="s">
        <v>164</v>
      </c>
      <c r="M1677" s="849" t="s">
        <v>162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IF(OR(TH!L1677=TH!$U$7,M1677=TH!$U$7),"x","")</f>
        <v/>
      </c>
      <c r="V1677" s="52" t="str">
        <f>IF(AND(B1677&gt;='IN-NX'!$P$3,B1677&lt;='IN-NX'!$Q$3,'IN-NX'!$D$7=D1677,OR(LEFT(L1677,2)="15",AND(LEFT(M1677,2)&lt;&gt;"15",LEFT(M1677,2)&lt;&gt;"33"))),"x","")</f>
        <v/>
      </c>
      <c r="W1677" s="52" t="str">
        <f>IF(AND(OR(LEFT(TH!L1677,2)="15",LEFT(TH!M1677,2)="15"),'152-CT'!$J$8=TH!F1677),"x","")</f>
        <v/>
      </c>
      <c r="X1677" s="52" t="str">
        <f>IF(AND(OR(LEFT(TH!L1677,2)="15",LEFT(TH!M1677,2)="15"),TK!$E$7=TH!F1677),"x","")</f>
        <v/>
      </c>
      <c r="Y1677" s="52" t="str">
        <f>IF(AND(B1677&lt;=NKC!$N$8,B1677&gt;=NKC!$M$8),"x","")</f>
        <v/>
      </c>
    </row>
    <row r="1678" spans="1:25" s="767" customFormat="1" ht="15.75" customHeight="1">
      <c r="A1678" s="201" t="str">
        <f>IF(B1678&lt;&gt;"",IF(AND(B1678&gt;=_TM1,B1678&lt;=_TM2,OR(TH!L1678="1111",TH!M1678="1111")),TH!D1678,""),"")</f>
        <v/>
      </c>
      <c r="B1678" s="692">
        <f t="shared" si="78"/>
        <v>10</v>
      </c>
      <c r="C1678" s="791">
        <f t="shared" si="79"/>
        <v>41568</v>
      </c>
      <c r="D1678" s="791" t="s">
        <v>1261</v>
      </c>
      <c r="E1678" s="791">
        <v>41568</v>
      </c>
      <c r="F1678" s="848" t="s">
        <v>958</v>
      </c>
      <c r="G1678" s="792" t="s">
        <v>959</v>
      </c>
      <c r="H1678" s="795" t="s">
        <v>1257</v>
      </c>
      <c r="I1678" s="248">
        <v>13</v>
      </c>
      <c r="J1678" s="248">
        <v>23971.490192092697</v>
      </c>
      <c r="K1678" s="693">
        <f t="shared" si="81"/>
        <v>311629</v>
      </c>
      <c r="L1678" s="52" t="s">
        <v>164</v>
      </c>
      <c r="M1678" s="849" t="s">
        <v>162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IF(OR(TH!L1678=TH!$U$7,M1678=TH!$U$7),"x","")</f>
        <v/>
      </c>
      <c r="V1678" s="52" t="str">
        <f>IF(AND(B1678&gt;='IN-NX'!$P$3,B1678&lt;='IN-NX'!$Q$3,'IN-NX'!$D$7=D1678,OR(LEFT(L1678,2)="15",AND(LEFT(M1678,2)&lt;&gt;"15",LEFT(M1678,2)&lt;&gt;"33"))),"x","")</f>
        <v/>
      </c>
      <c r="W1678" s="52" t="str">
        <f>IF(AND(OR(LEFT(TH!L1678,2)="15",LEFT(TH!M1678,2)="15"),'152-CT'!$J$8=TH!F1678),"x","")</f>
        <v/>
      </c>
      <c r="X1678" s="52" t="str">
        <f>IF(AND(OR(LEFT(TH!L1678,2)="15",LEFT(TH!M1678,2)="15"),TK!$E$7=TH!F1678),"x","")</f>
        <v/>
      </c>
      <c r="Y1678" s="52" t="str">
        <f>IF(AND(B1678&lt;=NKC!$N$8,B1678&gt;=NKC!$M$8),"x","")</f>
        <v/>
      </c>
    </row>
    <row r="1679" spans="1:25" s="767" customFormat="1" ht="15.75" customHeight="1">
      <c r="A1679" s="201" t="str">
        <f>IF(B1679&lt;&gt;"",IF(AND(B1679&gt;=_TM1,B1679&lt;=_TM2,OR(TH!L1679="1111",TH!M1679="1111")),TH!D1679,""),"")</f>
        <v/>
      </c>
      <c r="B1679" s="692">
        <f t="shared" si="78"/>
        <v>10</v>
      </c>
      <c r="C1679" s="791">
        <f t="shared" si="79"/>
        <v>41568</v>
      </c>
      <c r="D1679" s="791" t="s">
        <v>1261</v>
      </c>
      <c r="E1679" s="791">
        <v>41568</v>
      </c>
      <c r="F1679" s="848" t="s">
        <v>1121</v>
      </c>
      <c r="G1679" s="792" t="s">
        <v>950</v>
      </c>
      <c r="H1679" s="795" t="s">
        <v>1257</v>
      </c>
      <c r="I1679" s="248">
        <v>200</v>
      </c>
      <c r="J1679" s="248">
        <v>4408.4901920926932</v>
      </c>
      <c r="K1679" s="693">
        <f t="shared" si="81"/>
        <v>881698</v>
      </c>
      <c r="L1679" s="52" t="s">
        <v>164</v>
      </c>
      <c r="M1679" s="849" t="s">
        <v>162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IF(OR(TH!L1679=TH!$U$7,M1679=TH!$U$7),"x","")</f>
        <v/>
      </c>
      <c r="V1679" s="52" t="str">
        <f>IF(AND(B1679&gt;='IN-NX'!$P$3,B1679&lt;='IN-NX'!$Q$3,'IN-NX'!$D$7=D1679,OR(LEFT(L1679,2)="15",AND(LEFT(M1679,2)&lt;&gt;"15",LEFT(M1679,2)&lt;&gt;"33"))),"x","")</f>
        <v/>
      </c>
      <c r="W1679" s="52" t="str">
        <f>IF(AND(OR(LEFT(TH!L1679,2)="15",LEFT(TH!M1679,2)="15"),'152-CT'!$J$8=TH!F1679),"x","")</f>
        <v/>
      </c>
      <c r="X1679" s="52" t="str">
        <f>IF(AND(OR(LEFT(TH!L1679,2)="15",LEFT(TH!M1679,2)="15"),TK!$E$7=TH!F1679),"x","")</f>
        <v/>
      </c>
      <c r="Y1679" s="52" t="str">
        <f>IF(AND(B1679&lt;=NKC!$N$8,B1679&gt;=NKC!$M$8),"x","")</f>
        <v/>
      </c>
    </row>
    <row r="1680" spans="1:25" s="767" customFormat="1" ht="15.75" customHeight="1">
      <c r="A1680" s="201" t="str">
        <f>IF(B1680&lt;&gt;"",IF(AND(B1680&gt;=_TM1,B1680&lt;=_TM2,OR(TH!L1680="1111",TH!M1680="1111")),TH!D1680,""),"")</f>
        <v/>
      </c>
      <c r="B1680" s="692">
        <f t="shared" si="78"/>
        <v>10</v>
      </c>
      <c r="C1680" s="791">
        <f t="shared" si="79"/>
        <v>41568</v>
      </c>
      <c r="D1680" s="791" t="s">
        <v>1261</v>
      </c>
      <c r="E1680" s="791">
        <v>41568</v>
      </c>
      <c r="F1680" s="848" t="s">
        <v>960</v>
      </c>
      <c r="G1680" s="792" t="s">
        <v>955</v>
      </c>
      <c r="H1680" s="795" t="s">
        <v>1257</v>
      </c>
      <c r="I1680" s="248">
        <v>50</v>
      </c>
      <c r="J1680" s="248">
        <v>33775.490192092693</v>
      </c>
      <c r="K1680" s="693">
        <f t="shared" si="81"/>
        <v>1688775</v>
      </c>
      <c r="L1680" s="52" t="s">
        <v>164</v>
      </c>
      <c r="M1680" s="849" t="s">
        <v>162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IF(OR(TH!L1680=TH!$U$7,M1680=TH!$U$7),"x","")</f>
        <v/>
      </c>
      <c r="V1680" s="52" t="str">
        <f>IF(AND(B1680&gt;='IN-NX'!$P$3,B1680&lt;='IN-NX'!$Q$3,'IN-NX'!$D$7=D1680,OR(LEFT(L1680,2)="15",AND(LEFT(M1680,2)&lt;&gt;"15",LEFT(M1680,2)&lt;&gt;"33"))),"x","")</f>
        <v/>
      </c>
      <c r="W1680" s="52" t="str">
        <f>IF(AND(OR(LEFT(TH!L1680,2)="15",LEFT(TH!M1680,2)="15"),'152-CT'!$J$8=TH!F1680),"x","")</f>
        <v/>
      </c>
      <c r="X1680" s="52" t="str">
        <f>IF(AND(OR(LEFT(TH!L1680,2)="15",LEFT(TH!M1680,2)="15"),TK!$E$7=TH!F1680),"x","")</f>
        <v/>
      </c>
      <c r="Y1680" s="52" t="str">
        <f>IF(AND(B1680&lt;=NKC!$N$8,B1680&gt;=NKC!$M$8),"x","")</f>
        <v/>
      </c>
    </row>
    <row r="1681" spans="1:25" s="767" customFormat="1" ht="15.75" customHeight="1">
      <c r="A1681" s="201" t="str">
        <f>IF(B1681&lt;&gt;"",IF(AND(B1681&gt;=_TM1,B1681&lt;=_TM2,OR(TH!L1681="1111",TH!M1681="1111")),TH!D1681,""),"")</f>
        <v/>
      </c>
      <c r="B1681" s="692">
        <f t="shared" si="78"/>
        <v>10</v>
      </c>
      <c r="C1681" s="791">
        <f t="shared" si="79"/>
        <v>41568</v>
      </c>
      <c r="D1681" s="791" t="s">
        <v>1261</v>
      </c>
      <c r="E1681" s="48">
        <v>41568</v>
      </c>
      <c r="F1681" s="49" t="s">
        <v>961</v>
      </c>
      <c r="G1681" s="49" t="s">
        <v>955</v>
      </c>
      <c r="H1681" s="795" t="s">
        <v>1257</v>
      </c>
      <c r="I1681" s="248">
        <v>50</v>
      </c>
      <c r="J1681" s="248">
        <v>62541.290192092696</v>
      </c>
      <c r="K1681" s="693">
        <f t="shared" si="81"/>
        <v>3127065</v>
      </c>
      <c r="L1681" s="52" t="s">
        <v>164</v>
      </c>
      <c r="M1681" s="849" t="s">
        <v>162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IF(OR(TH!L1681=TH!$U$7,M1681=TH!$U$7),"x","")</f>
        <v/>
      </c>
      <c r="V1681" s="52" t="str">
        <f>IF(AND(B1681&gt;='IN-NX'!$P$3,B1681&lt;='IN-NX'!$Q$3,'IN-NX'!$D$7=D1681,OR(LEFT(L1681,2)="15",AND(LEFT(M1681,2)&lt;&gt;"15",LEFT(M1681,2)&lt;&gt;"33"))),"x","")</f>
        <v/>
      </c>
      <c r="W1681" s="52" t="str">
        <f>IF(AND(OR(LEFT(TH!L1681,2)="15",LEFT(TH!M1681,2)="15"),'152-CT'!$J$8=TH!F1681),"x","")</f>
        <v/>
      </c>
      <c r="X1681" s="52" t="str">
        <f>IF(AND(OR(LEFT(TH!L1681,2)="15",LEFT(TH!M1681,2)="15"),TK!$E$7=TH!F1681),"x","")</f>
        <v/>
      </c>
      <c r="Y1681" s="52" t="str">
        <f>IF(AND(B1681&lt;=NKC!$N$8,B1681&gt;=NKC!$M$8),"x","")</f>
        <v/>
      </c>
    </row>
    <row r="1682" spans="1:25" s="767" customFormat="1" ht="15.75" customHeight="1">
      <c r="A1682" s="201" t="str">
        <f>IF(B1682&lt;&gt;"",IF(AND(B1682&gt;=_TM1,B1682&lt;=_TM2,OR(TH!L1682="1111",TH!M1682="1111")),TH!D1682,""),"")</f>
        <v/>
      </c>
      <c r="B1682" s="692">
        <f t="shared" si="78"/>
        <v>10</v>
      </c>
      <c r="C1682" s="791">
        <f t="shared" si="79"/>
        <v>41569</v>
      </c>
      <c r="D1682" s="791" t="s">
        <v>1261</v>
      </c>
      <c r="E1682" s="48">
        <v>41569</v>
      </c>
      <c r="F1682" s="49" t="s">
        <v>1120</v>
      </c>
      <c r="G1682" s="49" t="s">
        <v>957</v>
      </c>
      <c r="H1682" s="795" t="s">
        <v>1257</v>
      </c>
      <c r="I1682" s="248">
        <v>1980</v>
      </c>
      <c r="J1682" s="248">
        <v>4431.2720102745106</v>
      </c>
      <c r="K1682" s="693">
        <f t="shared" si="81"/>
        <v>8773919</v>
      </c>
      <c r="L1682" s="52" t="s">
        <v>164</v>
      </c>
      <c r="M1682" s="849" t="s">
        <v>162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IF(OR(TH!L1682=TH!$U$7,M1682=TH!$U$7),"x","")</f>
        <v/>
      </c>
      <c r="V1682" s="52" t="str">
        <f>IF(AND(B1682&gt;='IN-NX'!$P$3,B1682&lt;='IN-NX'!$Q$3,'IN-NX'!$D$7=D1682,OR(LEFT(L1682,2)="15",AND(LEFT(M1682,2)&lt;&gt;"15",LEFT(M1682,2)&lt;&gt;"33"))),"x","")</f>
        <v/>
      </c>
      <c r="W1682" s="52" t="str">
        <f>IF(AND(OR(LEFT(TH!L1682,2)="15",LEFT(TH!M1682,2)="15"),'152-CT'!$J$8=TH!F1682),"x","")</f>
        <v/>
      </c>
      <c r="X1682" s="52" t="str">
        <f>IF(AND(OR(LEFT(TH!L1682,2)="15",LEFT(TH!M1682,2)="15"),TK!$E$7=TH!F1682),"x","")</f>
        <v/>
      </c>
      <c r="Y1682" s="52" t="str">
        <f>IF(AND(B1682&lt;=NKC!$N$8,B1682&gt;=NKC!$M$8),"x","")</f>
        <v/>
      </c>
    </row>
    <row r="1683" spans="1:25" s="767" customFormat="1" ht="15.75" customHeight="1">
      <c r="A1683" s="201" t="str">
        <f>IF(B1683&lt;&gt;"",IF(AND(B1683&gt;=_TM1,B1683&lt;=_TM2,OR(TH!L1683="1111",TH!M1683="1111")),TH!D1683,""),"")</f>
        <v/>
      </c>
      <c r="B1683" s="692">
        <f t="shared" si="78"/>
        <v>10</v>
      </c>
      <c r="C1683" s="791">
        <f t="shared" si="79"/>
        <v>41571</v>
      </c>
      <c r="D1683" s="791" t="s">
        <v>1261</v>
      </c>
      <c r="E1683" s="48">
        <v>41571</v>
      </c>
      <c r="F1683" s="848" t="s">
        <v>1097</v>
      </c>
      <c r="G1683" s="49" t="s">
        <v>959</v>
      </c>
      <c r="H1683" s="795" t="s">
        <v>1257</v>
      </c>
      <c r="I1683" s="248">
        <v>100</v>
      </c>
      <c r="J1683" s="248">
        <v>5921.0001920926916</v>
      </c>
      <c r="K1683" s="693">
        <f t="shared" si="81"/>
        <v>592100</v>
      </c>
      <c r="L1683" s="52" t="s">
        <v>164</v>
      </c>
      <c r="M1683" s="849" t="s">
        <v>162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IF(OR(TH!L1683=TH!$U$7,M1683=TH!$U$7),"x","")</f>
        <v/>
      </c>
      <c r="V1683" s="52" t="str">
        <f>IF(AND(B1683&gt;='IN-NX'!$P$3,B1683&lt;='IN-NX'!$Q$3,'IN-NX'!$D$7=D1683,OR(LEFT(L1683,2)="15",AND(LEFT(M1683,2)&lt;&gt;"15",LEFT(M1683,2)&lt;&gt;"33"))),"x","")</f>
        <v/>
      </c>
      <c r="W1683" s="52" t="str">
        <f>IF(AND(OR(LEFT(TH!L1683,2)="15",LEFT(TH!M1683,2)="15"),'152-CT'!$J$8=TH!F1683),"x","")</f>
        <v/>
      </c>
      <c r="X1683" s="52" t="str">
        <f>IF(AND(OR(LEFT(TH!L1683,2)="15",LEFT(TH!M1683,2)="15"),TK!$E$7=TH!F1683),"x","")</f>
        <v/>
      </c>
      <c r="Y1683" s="52" t="str">
        <f>IF(AND(B1683&lt;=NKC!$N$8,B1683&gt;=NKC!$M$8),"x","")</f>
        <v/>
      </c>
    </row>
    <row r="1684" spans="1:25" s="767" customFormat="1" ht="15.75" customHeight="1">
      <c r="A1684" s="201" t="str">
        <f>IF(B1684&lt;&gt;"",IF(AND(B1684&gt;=_TM1,B1684&lt;=_TM2,OR(TH!L1684="1111",TH!M1684="1111")),TH!D1684,""),"")</f>
        <v/>
      </c>
      <c r="B1684" s="692">
        <f t="shared" si="78"/>
        <v>10</v>
      </c>
      <c r="C1684" s="791">
        <f t="shared" si="79"/>
        <v>41571</v>
      </c>
      <c r="D1684" s="791" t="s">
        <v>1261</v>
      </c>
      <c r="E1684" s="48">
        <v>41571</v>
      </c>
      <c r="F1684" s="49" t="s">
        <v>781</v>
      </c>
      <c r="G1684" s="49" t="s">
        <v>959</v>
      </c>
      <c r="H1684" s="795" t="s">
        <v>1257</v>
      </c>
      <c r="I1684" s="248">
        <v>200</v>
      </c>
      <c r="J1684" s="248">
        <v>9108.4901920926914</v>
      </c>
      <c r="K1684" s="693">
        <f t="shared" si="81"/>
        <v>1821698</v>
      </c>
      <c r="L1684" s="52" t="s">
        <v>164</v>
      </c>
      <c r="M1684" s="849" t="s">
        <v>162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IF(OR(TH!L1684=TH!$U$7,M1684=TH!$U$7),"x","")</f>
        <v/>
      </c>
      <c r="V1684" s="52" t="str">
        <f>IF(AND(B1684&gt;='IN-NX'!$P$3,B1684&lt;='IN-NX'!$Q$3,'IN-NX'!$D$7=D1684,OR(LEFT(L1684,2)="15",AND(LEFT(M1684,2)&lt;&gt;"15",LEFT(M1684,2)&lt;&gt;"33"))),"x","")</f>
        <v/>
      </c>
      <c r="W1684" s="52" t="str">
        <f>IF(AND(OR(LEFT(TH!L1684,2)="15",LEFT(TH!M1684,2)="15"),'152-CT'!$J$8=TH!F1684),"x","")</f>
        <v/>
      </c>
      <c r="X1684" s="52" t="str">
        <f>IF(AND(OR(LEFT(TH!L1684,2)="15",LEFT(TH!M1684,2)="15"),TK!$E$7=TH!F1684),"x","")</f>
        <v/>
      </c>
      <c r="Y1684" s="52" t="str">
        <f>IF(AND(B1684&lt;=NKC!$N$8,B1684&gt;=NKC!$M$8),"x","")</f>
        <v/>
      </c>
    </row>
    <row r="1685" spans="1:25" s="767" customFormat="1" ht="15.75" customHeight="1">
      <c r="A1685" s="201" t="str">
        <f>IF(B1685&lt;&gt;"",IF(AND(B1685&gt;=_TM1,B1685&lt;=_TM2,OR(TH!L1685="1111",TH!M1685="1111")),TH!D1685,""),"")</f>
        <v/>
      </c>
      <c r="B1685" s="692">
        <f t="shared" si="78"/>
        <v>10</v>
      </c>
      <c r="C1685" s="791">
        <f t="shared" si="79"/>
        <v>41571</v>
      </c>
      <c r="D1685" s="791" t="s">
        <v>1261</v>
      </c>
      <c r="E1685" s="48">
        <v>41571</v>
      </c>
      <c r="F1685" s="848" t="s">
        <v>1097</v>
      </c>
      <c r="G1685" s="49" t="s">
        <v>959</v>
      </c>
      <c r="H1685" s="795" t="s">
        <v>1257</v>
      </c>
      <c r="I1685" s="248">
        <v>200</v>
      </c>
      <c r="J1685" s="248">
        <v>6562.4901920926923</v>
      </c>
      <c r="K1685" s="693">
        <f t="shared" si="81"/>
        <v>1312498</v>
      </c>
      <c r="L1685" s="52" t="s">
        <v>164</v>
      </c>
      <c r="M1685" s="849" t="s">
        <v>162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IF(OR(TH!L1685=TH!$U$7,M1685=TH!$U$7),"x","")</f>
        <v/>
      </c>
      <c r="V1685" s="52" t="str">
        <f>IF(AND(B1685&gt;='IN-NX'!$P$3,B1685&lt;='IN-NX'!$Q$3,'IN-NX'!$D$7=D1685,OR(LEFT(L1685,2)="15",AND(LEFT(M1685,2)&lt;&gt;"15",LEFT(M1685,2)&lt;&gt;"33"))),"x","")</f>
        <v/>
      </c>
      <c r="W1685" s="52" t="str">
        <f>IF(AND(OR(LEFT(TH!L1685,2)="15",LEFT(TH!M1685,2)="15"),'152-CT'!$J$8=TH!F1685),"x","")</f>
        <v/>
      </c>
      <c r="X1685" s="52" t="str">
        <f>IF(AND(OR(LEFT(TH!L1685,2)="15",LEFT(TH!M1685,2)="15"),TK!$E$7=TH!F1685),"x","")</f>
        <v/>
      </c>
      <c r="Y1685" s="52" t="str">
        <f>IF(AND(B1685&lt;=NKC!$N$8,B1685&gt;=NKC!$M$8),"x","")</f>
        <v/>
      </c>
    </row>
    <row r="1686" spans="1:25" s="767" customFormat="1" ht="15.75" customHeight="1">
      <c r="A1686" s="201" t="str">
        <f>IF(B1686&lt;&gt;"",IF(AND(B1686&gt;=_TM1,B1686&lt;=_TM2,OR(TH!L1686="1111",TH!M1686="1111")),TH!D1686,""),"")</f>
        <v/>
      </c>
      <c r="B1686" s="692">
        <f t="shared" ref="B1686:B1749" si="82">IF(C1686&lt;&gt;"",MONTH(C1686),"")</f>
        <v>10</v>
      </c>
      <c r="C1686" s="791">
        <f t="shared" si="79"/>
        <v>41571</v>
      </c>
      <c r="D1686" s="791" t="s">
        <v>1261</v>
      </c>
      <c r="E1686" s="48">
        <v>41571</v>
      </c>
      <c r="F1686" s="49" t="s">
        <v>907</v>
      </c>
      <c r="G1686" s="49" t="s">
        <v>962</v>
      </c>
      <c r="H1686" s="795" t="s">
        <v>1257</v>
      </c>
      <c r="I1686" s="248">
        <v>585</v>
      </c>
      <c r="J1686" s="248">
        <v>17353.7466023491</v>
      </c>
      <c r="K1686" s="693">
        <f t="shared" si="81"/>
        <v>10151942</v>
      </c>
      <c r="L1686" s="52" t="s">
        <v>164</v>
      </c>
      <c r="M1686" s="849" t="s">
        <v>162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IF(OR(TH!L1686=TH!$U$7,M1686=TH!$U$7),"x","")</f>
        <v/>
      </c>
      <c r="V1686" s="52" t="str">
        <f>IF(AND(B1686&gt;='IN-NX'!$P$3,B1686&lt;='IN-NX'!$Q$3,'IN-NX'!$D$7=D1686,OR(LEFT(L1686,2)="15",AND(LEFT(M1686,2)&lt;&gt;"15",LEFT(M1686,2)&lt;&gt;"33"))),"x","")</f>
        <v/>
      </c>
      <c r="W1686" s="52" t="str">
        <f>IF(AND(OR(LEFT(TH!L1686,2)="15",LEFT(TH!M1686,2)="15"),'152-CT'!$J$8=TH!F1686),"x","")</f>
        <v/>
      </c>
      <c r="X1686" s="52" t="str">
        <f>IF(AND(OR(LEFT(TH!L1686,2)="15",LEFT(TH!M1686,2)="15"),TK!$E$7=TH!F1686),"x","")</f>
        <v/>
      </c>
      <c r="Y1686" s="52" t="str">
        <f>IF(AND(B1686&lt;=NKC!$N$8,B1686&gt;=NKC!$M$8),"x","")</f>
        <v/>
      </c>
    </row>
    <row r="1687" spans="1:25" s="767" customFormat="1" ht="15.75" customHeight="1">
      <c r="A1687" s="201" t="str">
        <f>IF(B1687&lt;&gt;"",IF(AND(B1687&gt;=_TM1,B1687&lt;=_TM2,OR(TH!L1687="1111",TH!M1687="1111")),TH!D1687,""),"")</f>
        <v/>
      </c>
      <c r="B1687" s="692">
        <f t="shared" si="82"/>
        <v>10</v>
      </c>
      <c r="C1687" s="791">
        <f t="shared" si="79"/>
        <v>41573</v>
      </c>
      <c r="D1687" s="791" t="s">
        <v>1261</v>
      </c>
      <c r="E1687" s="48">
        <v>41573</v>
      </c>
      <c r="F1687" s="49" t="s">
        <v>1116</v>
      </c>
      <c r="G1687" s="49" t="s">
        <v>963</v>
      </c>
      <c r="H1687" s="795" t="s">
        <v>1257</v>
      </c>
      <c r="I1687" s="248">
        <v>49</v>
      </c>
      <c r="J1687" s="248">
        <v>5006.7554982151414</v>
      </c>
      <c r="K1687" s="693">
        <f t="shared" si="81"/>
        <v>245331</v>
      </c>
      <c r="L1687" s="52" t="s">
        <v>164</v>
      </c>
      <c r="M1687" s="849" t="s">
        <v>162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IF(OR(TH!L1687=TH!$U$7,M1687=TH!$U$7),"x","")</f>
        <v/>
      </c>
      <c r="V1687" s="52" t="str">
        <f>IF(AND(B1687&gt;='IN-NX'!$P$3,B1687&lt;='IN-NX'!$Q$3,'IN-NX'!$D$7=D1687,OR(LEFT(L1687,2)="15",AND(LEFT(M1687,2)&lt;&gt;"15",LEFT(M1687,2)&lt;&gt;"33"))),"x","")</f>
        <v/>
      </c>
      <c r="W1687" s="52" t="str">
        <f>IF(AND(OR(LEFT(TH!L1687,2)="15",LEFT(TH!M1687,2)="15"),'152-CT'!$J$8=TH!F1687),"x","")</f>
        <v/>
      </c>
      <c r="X1687" s="52" t="str">
        <f>IF(AND(OR(LEFT(TH!L1687,2)="15",LEFT(TH!M1687,2)="15"),TK!$E$7=TH!F1687),"x","")</f>
        <v/>
      </c>
      <c r="Y1687" s="52" t="str">
        <f>IF(AND(B1687&lt;=NKC!$N$8,B1687&gt;=NKC!$M$8),"x","")</f>
        <v/>
      </c>
    </row>
    <row r="1688" spans="1:25" s="767" customFormat="1" ht="15.75" customHeight="1">
      <c r="A1688" s="201" t="str">
        <f>IF(B1688&lt;&gt;"",IF(AND(B1688&gt;=_TM1,B1688&lt;=_TM2,OR(TH!L1688="1111",TH!M1688="1111")),TH!D1688,""),"")</f>
        <v/>
      </c>
      <c r="B1688" s="692">
        <f t="shared" si="82"/>
        <v>10</v>
      </c>
      <c r="C1688" s="791">
        <f t="shared" si="79"/>
        <v>41573</v>
      </c>
      <c r="D1688" s="791" t="s">
        <v>1261</v>
      </c>
      <c r="E1688" s="48">
        <v>41573</v>
      </c>
      <c r="F1688" s="49" t="s">
        <v>1115</v>
      </c>
      <c r="G1688" s="49" t="s">
        <v>963</v>
      </c>
      <c r="H1688" s="795" t="s">
        <v>1257</v>
      </c>
      <c r="I1688" s="248">
        <v>3191</v>
      </c>
      <c r="J1688" s="248">
        <v>3920.6133509770548</v>
      </c>
      <c r="K1688" s="693">
        <f t="shared" si="81"/>
        <v>12510677</v>
      </c>
      <c r="L1688" s="52" t="s">
        <v>164</v>
      </c>
      <c r="M1688" s="849" t="s">
        <v>162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IF(OR(TH!L1688=TH!$U$7,M1688=TH!$U$7),"x","")</f>
        <v/>
      </c>
      <c r="V1688" s="52" t="str">
        <f>IF(AND(B1688&gt;='IN-NX'!$P$3,B1688&lt;='IN-NX'!$Q$3,'IN-NX'!$D$7=D1688,OR(LEFT(L1688,2)="15",AND(LEFT(M1688,2)&lt;&gt;"15",LEFT(M1688,2)&lt;&gt;"33"))),"x","")</f>
        <v/>
      </c>
      <c r="W1688" s="52" t="str">
        <f>IF(AND(OR(LEFT(TH!L1688,2)="15",LEFT(TH!M1688,2)="15"),'152-CT'!$J$8=TH!F1688),"x","")</f>
        <v/>
      </c>
      <c r="X1688" s="52" t="str">
        <f>IF(AND(OR(LEFT(TH!L1688,2)="15",LEFT(TH!M1688,2)="15"),TK!$E$7=TH!F1688),"x","")</f>
        <v/>
      </c>
      <c r="Y1688" s="52" t="str">
        <f>IF(AND(B1688&lt;=NKC!$N$8,B1688&gt;=NKC!$M$8),"x","")</f>
        <v/>
      </c>
    </row>
    <row r="1689" spans="1:25" s="767" customFormat="1" ht="15.75" customHeight="1">
      <c r="A1689" s="201" t="str">
        <f>IF(B1689&lt;&gt;"",IF(AND(B1689&gt;=_TM1,B1689&lt;=_TM2,OR(TH!L1689="1111",TH!M1689="1111")),TH!D1689,""),"")</f>
        <v/>
      </c>
      <c r="B1689" s="692">
        <f t="shared" si="82"/>
        <v>10</v>
      </c>
      <c r="C1689" s="791">
        <f t="shared" si="79"/>
        <v>41577</v>
      </c>
      <c r="D1689" s="791" t="s">
        <v>1261</v>
      </c>
      <c r="E1689" s="48">
        <v>41577</v>
      </c>
      <c r="F1689" s="49" t="s">
        <v>909</v>
      </c>
      <c r="G1689" s="49" t="s">
        <v>964</v>
      </c>
      <c r="H1689" s="795" t="s">
        <v>1257</v>
      </c>
      <c r="I1689" s="248">
        <v>371</v>
      </c>
      <c r="J1689" s="248">
        <v>15727.490192092691</v>
      </c>
      <c r="K1689" s="693">
        <f t="shared" si="81"/>
        <v>5834899</v>
      </c>
      <c r="L1689" s="52" t="s">
        <v>164</v>
      </c>
      <c r="M1689" s="849" t="s">
        <v>162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IF(OR(TH!L1689=TH!$U$7,M1689=TH!$U$7),"x","")</f>
        <v/>
      </c>
      <c r="V1689" s="52" t="str">
        <f>IF(AND(B1689&gt;='IN-NX'!$P$3,B1689&lt;='IN-NX'!$Q$3,'IN-NX'!$D$7=D1689,OR(LEFT(L1689,2)="15",AND(LEFT(M1689,2)&lt;&gt;"15",LEFT(M1689,2)&lt;&gt;"33"))),"x","")</f>
        <v/>
      </c>
      <c r="W1689" s="52" t="str">
        <f>IF(AND(OR(LEFT(TH!L1689,2)="15",LEFT(TH!M1689,2)="15"),'152-CT'!$J$8=TH!F1689),"x","")</f>
        <v/>
      </c>
      <c r="X1689" s="52" t="str">
        <f>IF(AND(OR(LEFT(TH!L1689,2)="15",LEFT(TH!M1689,2)="15"),TK!$E$7=TH!F1689),"x","")</f>
        <v/>
      </c>
      <c r="Y1689" s="52" t="str">
        <f>IF(AND(B1689&lt;=NKC!$N$8,B1689&gt;=NKC!$M$8),"x","")</f>
        <v/>
      </c>
    </row>
    <row r="1690" spans="1:25" s="767" customFormat="1" ht="15.75" customHeight="1">
      <c r="A1690" s="201" t="str">
        <f>IF(B1690&lt;&gt;"",IF(AND(B1690&gt;=_TM1,B1690&lt;=_TM2,OR(TH!L1690="1111",TH!M1690="1111")),TH!D1690,""),"")</f>
        <v/>
      </c>
      <c r="B1690" s="692">
        <f t="shared" si="82"/>
        <v>10</v>
      </c>
      <c r="C1690" s="791">
        <f t="shared" si="79"/>
        <v>41578</v>
      </c>
      <c r="D1690" s="791" t="s">
        <v>1261</v>
      </c>
      <c r="E1690" s="48">
        <v>41578</v>
      </c>
      <c r="F1690" s="49" t="s">
        <v>698</v>
      </c>
      <c r="G1690" s="49" t="s">
        <v>965</v>
      </c>
      <c r="H1690" s="795" t="s">
        <v>1257</v>
      </c>
      <c r="I1690" s="248">
        <v>999</v>
      </c>
      <c r="J1690" s="248">
        <v>7710.2569588594579</v>
      </c>
      <c r="K1690" s="693">
        <f t="shared" si="81"/>
        <v>7702547</v>
      </c>
      <c r="L1690" s="52" t="s">
        <v>164</v>
      </c>
      <c r="M1690" s="849" t="s">
        <v>162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IF(OR(TH!L1690=TH!$U$7,M1690=TH!$U$7),"x","")</f>
        <v/>
      </c>
      <c r="V1690" s="52" t="str">
        <f>IF(AND(B1690&gt;='IN-NX'!$P$3,B1690&lt;='IN-NX'!$Q$3,'IN-NX'!$D$7=D1690,OR(LEFT(L1690,2)="15",AND(LEFT(M1690,2)&lt;&gt;"15",LEFT(M1690,2)&lt;&gt;"33"))),"x","")</f>
        <v/>
      </c>
      <c r="W1690" s="52" t="str">
        <f>IF(AND(OR(LEFT(TH!L1690,2)="15",LEFT(TH!M1690,2)="15"),'152-CT'!$J$8=TH!F1690),"x","")</f>
        <v/>
      </c>
      <c r="X1690" s="52" t="str">
        <f>IF(AND(OR(LEFT(TH!L1690,2)="15",LEFT(TH!M1690,2)="15"),TK!$E$7=TH!F1690),"x","")</f>
        <v/>
      </c>
      <c r="Y1690" s="52" t="str">
        <f>IF(AND(B1690&lt;=NKC!$N$8,B1690&gt;=NKC!$M$8),"x","")</f>
        <v/>
      </c>
    </row>
    <row r="1691" spans="1:25" s="767" customFormat="1" ht="15.75" customHeight="1">
      <c r="A1691" s="201" t="str">
        <f>IF(B1691&lt;&gt;"",IF(AND(B1691&gt;=_TM1,B1691&lt;=_TM2,OR(TH!L1691="1111",TH!M1691="1111")),TH!D1691,""),"")</f>
        <v/>
      </c>
      <c r="B1691" s="692">
        <f t="shared" si="82"/>
        <v>10</v>
      </c>
      <c r="C1691" s="791">
        <f t="shared" si="79"/>
        <v>41578</v>
      </c>
      <c r="D1691" s="791" t="s">
        <v>1261</v>
      </c>
      <c r="E1691" s="48">
        <v>41578</v>
      </c>
      <c r="F1691" s="848" t="s">
        <v>805</v>
      </c>
      <c r="G1691" s="49" t="s">
        <v>966</v>
      </c>
      <c r="H1691" s="795" t="s">
        <v>1257</v>
      </c>
      <c r="I1691" s="248">
        <v>397</v>
      </c>
      <c r="J1691" s="248">
        <v>9507.7219301279565</v>
      </c>
      <c r="K1691" s="693">
        <f t="shared" si="81"/>
        <v>3774566</v>
      </c>
      <c r="L1691" s="52" t="s">
        <v>164</v>
      </c>
      <c r="M1691" s="849" t="s">
        <v>162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IF(OR(TH!L1691=TH!$U$7,M1691=TH!$U$7),"x","")</f>
        <v/>
      </c>
      <c r="V1691" s="52" t="str">
        <f>IF(AND(B1691&gt;='IN-NX'!$P$3,B1691&lt;='IN-NX'!$Q$3,'IN-NX'!$D$7=D1691,OR(LEFT(L1691,2)="15",AND(LEFT(M1691,2)&lt;&gt;"15",LEFT(M1691,2)&lt;&gt;"33"))),"x","")</f>
        <v/>
      </c>
      <c r="W1691" s="52" t="str">
        <f>IF(AND(OR(LEFT(TH!L1691,2)="15",LEFT(TH!M1691,2)="15"),'152-CT'!$J$8=TH!F1691),"x","")</f>
        <v/>
      </c>
      <c r="X1691" s="52" t="str">
        <f>IF(AND(OR(LEFT(TH!L1691,2)="15",LEFT(TH!M1691,2)="15"),TK!$E$7=TH!F1691),"x","")</f>
        <v/>
      </c>
      <c r="Y1691" s="52" t="str">
        <f>IF(AND(B1691&lt;=NKC!$N$8,B1691&gt;=NKC!$M$8),"x","")</f>
        <v/>
      </c>
    </row>
    <row r="1692" spans="1:25" s="767" customFormat="1" ht="15.75" customHeight="1">
      <c r="A1692" s="201" t="str">
        <f>IF(B1692&lt;&gt;"",IF(AND(B1692&gt;=_TM1,B1692&lt;=_TM2,OR(TH!L1692="1111",TH!M1692="1111")),TH!D1692,""),"")</f>
        <v/>
      </c>
      <c r="B1692" s="692">
        <f t="shared" si="82"/>
        <v>10</v>
      </c>
      <c r="C1692" s="791">
        <f t="shared" si="79"/>
        <v>41578</v>
      </c>
      <c r="D1692" s="791" t="s">
        <v>1261</v>
      </c>
      <c r="E1692" s="48">
        <v>41578</v>
      </c>
      <c r="F1692" s="49" t="s">
        <v>852</v>
      </c>
      <c r="G1692" s="49" t="s">
        <v>967</v>
      </c>
      <c r="H1692" s="795" t="s">
        <v>1257</v>
      </c>
      <c r="I1692" s="248">
        <v>497</v>
      </c>
      <c r="J1692" s="248">
        <v>8971.6592061771989</v>
      </c>
      <c r="K1692" s="693">
        <f t="shared" si="81"/>
        <v>4458915</v>
      </c>
      <c r="L1692" s="52" t="s">
        <v>164</v>
      </c>
      <c r="M1692" s="849" t="s">
        <v>162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IF(OR(TH!L1692=TH!$U$7,M1692=TH!$U$7),"x","")</f>
        <v/>
      </c>
      <c r="V1692" s="52" t="str">
        <f>IF(AND(B1692&gt;='IN-NX'!$P$3,B1692&lt;='IN-NX'!$Q$3,'IN-NX'!$D$7=D1692,OR(LEFT(L1692,2)="15",AND(LEFT(M1692,2)&lt;&gt;"15",LEFT(M1692,2)&lt;&gt;"33"))),"x","")</f>
        <v/>
      </c>
      <c r="W1692" s="52" t="str">
        <f>IF(AND(OR(LEFT(TH!L1692,2)="15",LEFT(TH!M1692,2)="15"),'152-CT'!$J$8=TH!F1692),"x","")</f>
        <v/>
      </c>
      <c r="X1692" s="52" t="str">
        <f>IF(AND(OR(LEFT(TH!L1692,2)="15",LEFT(TH!M1692,2)="15"),TK!$E$7=TH!F1692),"x","")</f>
        <v/>
      </c>
      <c r="Y1692" s="52" t="str">
        <f>IF(AND(B1692&lt;=NKC!$N$8,B1692&gt;=NKC!$M$8),"x","")</f>
        <v/>
      </c>
    </row>
    <row r="1693" spans="1:25" s="767" customFormat="1" ht="15.75" customHeight="1">
      <c r="A1693" s="201" t="str">
        <f>IF(B1693&lt;&gt;"",IF(AND(B1693&gt;=_TM1,B1693&lt;=_TM2,OR(TH!L1693="1111",TH!M1693="1111")),TH!D1693,""),"")</f>
        <v/>
      </c>
      <c r="B1693" s="692">
        <f t="shared" si="82"/>
        <v>10</v>
      </c>
      <c r="C1693" s="791">
        <f t="shared" si="79"/>
        <v>41578</v>
      </c>
      <c r="D1693" s="791" t="s">
        <v>1261</v>
      </c>
      <c r="E1693" s="48">
        <v>41578</v>
      </c>
      <c r="F1693" s="848" t="s">
        <v>775</v>
      </c>
      <c r="G1693" s="49" t="s">
        <v>968</v>
      </c>
      <c r="H1693" s="795" t="s">
        <v>1257</v>
      </c>
      <c r="I1693" s="248">
        <v>292</v>
      </c>
      <c r="J1693" s="248">
        <v>9328.4901920926914</v>
      </c>
      <c r="K1693" s="693">
        <f t="shared" si="81"/>
        <v>2723919</v>
      </c>
      <c r="L1693" s="52" t="s">
        <v>164</v>
      </c>
      <c r="M1693" s="849" t="s">
        <v>162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IF(OR(TH!L1693=TH!$U$7,M1693=TH!$U$7),"x","")</f>
        <v/>
      </c>
      <c r="V1693" s="52" t="str">
        <f>IF(AND(B1693&gt;='IN-NX'!$P$3,B1693&lt;='IN-NX'!$Q$3,'IN-NX'!$D$7=D1693,OR(LEFT(L1693,2)="15",AND(LEFT(M1693,2)&lt;&gt;"15",LEFT(M1693,2)&lt;&gt;"33"))),"x","")</f>
        <v/>
      </c>
      <c r="W1693" s="52" t="str">
        <f>IF(AND(OR(LEFT(TH!L1693,2)="15",LEFT(TH!M1693,2)="15"),'152-CT'!$J$8=TH!F1693),"x","")</f>
        <v/>
      </c>
      <c r="X1693" s="52" t="str">
        <f>IF(AND(OR(LEFT(TH!L1693,2)="15",LEFT(TH!M1693,2)="15"),TK!$E$7=TH!F1693),"x","")</f>
        <v/>
      </c>
      <c r="Y1693" s="52" t="str">
        <f>IF(AND(B1693&lt;=NKC!$N$8,B1693&gt;=NKC!$M$8),"x","")</f>
        <v/>
      </c>
    </row>
    <row r="1694" spans="1:25" s="767" customFormat="1" ht="15.75" customHeight="1">
      <c r="A1694" s="201" t="str">
        <f>IF(B1694&lt;&gt;"",IF(AND(B1694&gt;=_TM1,B1694&lt;=_TM2,OR(TH!L1694="1111",TH!M1694="1111")),TH!D1694,""),"")</f>
        <v/>
      </c>
      <c r="B1694" s="692">
        <f t="shared" si="82"/>
        <v>11</v>
      </c>
      <c r="C1694" s="791">
        <f t="shared" si="79"/>
        <v>41582</v>
      </c>
      <c r="D1694" s="791" t="s">
        <v>1261</v>
      </c>
      <c r="E1694" s="48">
        <v>41582</v>
      </c>
      <c r="F1694" s="49" t="s">
        <v>784</v>
      </c>
      <c r="G1694" s="49" t="s">
        <v>969</v>
      </c>
      <c r="H1694" s="795" t="s">
        <v>1257</v>
      </c>
      <c r="I1694" s="248">
        <v>500</v>
      </c>
      <c r="J1694" s="248">
        <v>16943.49019209269</v>
      </c>
      <c r="K1694" s="693">
        <f t="shared" si="81"/>
        <v>8471745</v>
      </c>
      <c r="L1694" s="52" t="s">
        <v>164</v>
      </c>
      <c r="M1694" s="849" t="s">
        <v>162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IF(OR(TH!L1694=TH!$U$7,M1694=TH!$U$7),"x","")</f>
        <v/>
      </c>
      <c r="V1694" s="52" t="str">
        <f>IF(AND(B1694&gt;='IN-NX'!$P$3,B1694&lt;='IN-NX'!$Q$3,'IN-NX'!$D$7=D1694,OR(LEFT(L1694,2)="15",AND(LEFT(M1694,2)&lt;&gt;"15",LEFT(M1694,2)&lt;&gt;"33"))),"x","")</f>
        <v/>
      </c>
      <c r="W1694" s="52" t="str">
        <f>IF(AND(OR(LEFT(TH!L1694,2)="15",LEFT(TH!M1694,2)="15"),'152-CT'!$J$8=TH!F1694),"x","")</f>
        <v/>
      </c>
      <c r="X1694" s="52" t="str">
        <f>IF(AND(OR(LEFT(TH!L1694,2)="15",LEFT(TH!M1694,2)="15"),TK!$E$7=TH!F1694),"x","")</f>
        <v/>
      </c>
      <c r="Y1694" s="52" t="str">
        <f>IF(AND(B1694&lt;=NKC!$N$8,B1694&gt;=NKC!$M$8),"x","")</f>
        <v/>
      </c>
    </row>
    <row r="1695" spans="1:25" s="767" customFormat="1" ht="15.75" customHeight="1">
      <c r="A1695" s="201" t="str">
        <f>IF(B1695&lt;&gt;"",IF(AND(B1695&gt;=_TM1,B1695&lt;=_TM2,OR(TH!L1695="1111",TH!M1695="1111")),TH!D1695,""),"")</f>
        <v/>
      </c>
      <c r="B1695" s="692">
        <f t="shared" si="82"/>
        <v>11</v>
      </c>
      <c r="C1695" s="791">
        <f t="shared" si="79"/>
        <v>41582</v>
      </c>
      <c r="D1695" s="791" t="s">
        <v>1261</v>
      </c>
      <c r="E1695" s="48">
        <v>41582</v>
      </c>
      <c r="F1695" s="49" t="s">
        <v>786</v>
      </c>
      <c r="G1695" s="49" t="s">
        <v>969</v>
      </c>
      <c r="H1695" s="795" t="s">
        <v>1257</v>
      </c>
      <c r="I1695" s="248">
        <v>1000</v>
      </c>
      <c r="J1695" s="248">
        <v>1362.7401920926923</v>
      </c>
      <c r="K1695" s="693">
        <f t="shared" si="81"/>
        <v>1362740</v>
      </c>
      <c r="L1695" s="52" t="s">
        <v>164</v>
      </c>
      <c r="M1695" s="849" t="s">
        <v>162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IF(OR(TH!L1695=TH!$U$7,M1695=TH!$U$7),"x","")</f>
        <v/>
      </c>
      <c r="V1695" s="52" t="str">
        <f>IF(AND(B1695&gt;='IN-NX'!$P$3,B1695&lt;='IN-NX'!$Q$3,'IN-NX'!$D$7=D1695,OR(LEFT(L1695,2)="15",AND(LEFT(M1695,2)&lt;&gt;"15",LEFT(M1695,2)&lt;&gt;"33"))),"x","")</f>
        <v/>
      </c>
      <c r="W1695" s="52" t="str">
        <f>IF(AND(OR(LEFT(TH!L1695,2)="15",LEFT(TH!M1695,2)="15"),'152-CT'!$J$8=TH!F1695),"x","")</f>
        <v/>
      </c>
      <c r="X1695" s="52" t="str">
        <f>IF(AND(OR(LEFT(TH!L1695,2)="15",LEFT(TH!M1695,2)="15"),TK!$E$7=TH!F1695),"x","")</f>
        <v/>
      </c>
      <c r="Y1695" s="52" t="str">
        <f>IF(AND(B1695&lt;=NKC!$N$8,B1695&gt;=NKC!$M$8),"x","")</f>
        <v/>
      </c>
    </row>
    <row r="1696" spans="1:25" s="767" customFormat="1" ht="15.75" customHeight="1">
      <c r="A1696" s="201" t="str">
        <f>IF(B1696&lt;&gt;"",IF(AND(B1696&gt;=_TM1,B1696&lt;=_TM2,OR(TH!L1696="1111",TH!M1696="1111")),TH!D1696,""),"")</f>
        <v/>
      </c>
      <c r="B1696" s="692">
        <f t="shared" si="82"/>
        <v>11</v>
      </c>
      <c r="C1696" s="791">
        <f t="shared" si="79"/>
        <v>41583</v>
      </c>
      <c r="D1696" s="791" t="s">
        <v>1261</v>
      </c>
      <c r="E1696" s="48">
        <v>41583</v>
      </c>
      <c r="F1696" s="49" t="s">
        <v>970</v>
      </c>
      <c r="G1696" s="49" t="s">
        <v>971</v>
      </c>
      <c r="H1696" s="795" t="s">
        <v>1257</v>
      </c>
      <c r="I1696" s="248">
        <v>1005</v>
      </c>
      <c r="J1696" s="248">
        <v>5520.6046199533885</v>
      </c>
      <c r="K1696" s="693">
        <f t="shared" si="81"/>
        <v>5548208</v>
      </c>
      <c r="L1696" s="52" t="s">
        <v>164</v>
      </c>
      <c r="M1696" s="849" t="s">
        <v>162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IF(OR(TH!L1696=TH!$U$7,M1696=TH!$U$7),"x","")</f>
        <v/>
      </c>
      <c r="V1696" s="52" t="str">
        <f>IF(AND(B1696&gt;='IN-NX'!$P$3,B1696&lt;='IN-NX'!$Q$3,'IN-NX'!$D$7=D1696,OR(LEFT(L1696,2)="15",AND(LEFT(M1696,2)&lt;&gt;"15",LEFT(M1696,2)&lt;&gt;"33"))),"x","")</f>
        <v/>
      </c>
      <c r="W1696" s="52" t="str">
        <f>IF(AND(OR(LEFT(TH!L1696,2)="15",LEFT(TH!M1696,2)="15"),'152-CT'!$J$8=TH!F1696),"x","")</f>
        <v/>
      </c>
      <c r="X1696" s="52" t="str">
        <f>IF(AND(OR(LEFT(TH!L1696,2)="15",LEFT(TH!M1696,2)="15"),TK!$E$7=TH!F1696),"x","")</f>
        <v/>
      </c>
      <c r="Y1696" s="52" t="str">
        <f>IF(AND(B1696&lt;=NKC!$N$8,B1696&gt;=NKC!$M$8),"x","")</f>
        <v/>
      </c>
    </row>
    <row r="1697" spans="1:25" s="767" customFormat="1" ht="15.75" customHeight="1">
      <c r="A1697" s="201" t="str">
        <f>IF(B1697&lt;&gt;"",IF(AND(B1697&gt;=_TM1,B1697&lt;=_TM2,OR(TH!L1697="1111",TH!M1697="1111")),TH!D1697,""),"")</f>
        <v/>
      </c>
      <c r="B1697" s="692">
        <f t="shared" si="82"/>
        <v>11</v>
      </c>
      <c r="C1697" s="791">
        <f t="shared" si="79"/>
        <v>41584</v>
      </c>
      <c r="D1697" s="791" t="s">
        <v>1261</v>
      </c>
      <c r="E1697" s="791">
        <v>41584</v>
      </c>
      <c r="F1697" s="848" t="s">
        <v>828</v>
      </c>
      <c r="G1697" s="792" t="s">
        <v>972</v>
      </c>
      <c r="H1697" s="795" t="s">
        <v>1257</v>
      </c>
      <c r="I1697" s="248">
        <v>995</v>
      </c>
      <c r="J1697" s="248">
        <v>18631.93240314797</v>
      </c>
      <c r="K1697" s="693">
        <f t="shared" si="81"/>
        <v>18538773</v>
      </c>
      <c r="L1697" s="52" t="s">
        <v>164</v>
      </c>
      <c r="M1697" s="849" t="s">
        <v>162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IF(OR(TH!L1697=TH!$U$7,M1697=TH!$U$7),"x","")</f>
        <v/>
      </c>
      <c r="V1697" s="52" t="str">
        <f>IF(AND(B1697&gt;='IN-NX'!$P$3,B1697&lt;='IN-NX'!$Q$3,'IN-NX'!$D$7=D1697,OR(LEFT(L1697,2)="15",AND(LEFT(M1697,2)&lt;&gt;"15",LEFT(M1697,2)&lt;&gt;"33"))),"x","")</f>
        <v/>
      </c>
      <c r="W1697" s="52" t="str">
        <f>IF(AND(OR(LEFT(TH!L1697,2)="15",LEFT(TH!M1697,2)="15"),'152-CT'!$J$8=TH!F1697),"x","")</f>
        <v/>
      </c>
      <c r="X1697" s="52" t="str">
        <f>IF(AND(OR(LEFT(TH!L1697,2)="15",LEFT(TH!M1697,2)="15"),TK!$E$7=TH!F1697),"x","")</f>
        <v/>
      </c>
      <c r="Y1697" s="52" t="str">
        <f>IF(AND(B1697&lt;=NKC!$N$8,B1697&gt;=NKC!$M$8),"x","")</f>
        <v/>
      </c>
    </row>
    <row r="1698" spans="1:25" s="767" customFormat="1" ht="15.75" customHeight="1">
      <c r="A1698" s="201" t="str">
        <f>IF(B1698&lt;&gt;"",IF(AND(B1698&gt;=_TM1,B1698&lt;=_TM2,OR(TH!L1698="1111",TH!M1698="1111")),TH!D1698,""),"")</f>
        <v/>
      </c>
      <c r="B1698" s="692">
        <f t="shared" si="82"/>
        <v>11</v>
      </c>
      <c r="C1698" s="791">
        <f t="shared" si="79"/>
        <v>41586</v>
      </c>
      <c r="D1698" s="791" t="s">
        <v>1261</v>
      </c>
      <c r="E1698" s="791">
        <v>41586</v>
      </c>
      <c r="F1698" s="848" t="s">
        <v>1101</v>
      </c>
      <c r="G1698" s="792" t="s">
        <v>616</v>
      </c>
      <c r="H1698" s="795" t="s">
        <v>1257</v>
      </c>
      <c r="I1698" s="248">
        <v>200</v>
      </c>
      <c r="J1698" s="248">
        <v>6518.7401920926923</v>
      </c>
      <c r="K1698" s="693">
        <f t="shared" si="81"/>
        <v>1303748</v>
      </c>
      <c r="L1698" s="52" t="s">
        <v>164</v>
      </c>
      <c r="M1698" s="849" t="s">
        <v>162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IF(OR(TH!L1698=TH!$U$7,M1698=TH!$U$7),"x","")</f>
        <v/>
      </c>
      <c r="V1698" s="52" t="str">
        <f>IF(AND(B1698&gt;='IN-NX'!$P$3,B1698&lt;='IN-NX'!$Q$3,'IN-NX'!$D$7=D1698,OR(LEFT(L1698,2)="15",AND(LEFT(M1698,2)&lt;&gt;"15",LEFT(M1698,2)&lt;&gt;"33"))),"x","")</f>
        <v/>
      </c>
      <c r="W1698" s="52" t="str">
        <f>IF(AND(OR(LEFT(TH!L1698,2)="15",LEFT(TH!M1698,2)="15"),'152-CT'!$J$8=TH!F1698),"x","")</f>
        <v/>
      </c>
      <c r="X1698" s="52" t="str">
        <f>IF(AND(OR(LEFT(TH!L1698,2)="15",LEFT(TH!M1698,2)="15"),TK!$E$7=TH!F1698),"x","")</f>
        <v/>
      </c>
      <c r="Y1698" s="52" t="str">
        <f>IF(AND(B1698&lt;=NKC!$N$8,B1698&gt;=NKC!$M$8),"x","")</f>
        <v/>
      </c>
    </row>
    <row r="1699" spans="1:25" s="767" customFormat="1" ht="15.75" customHeight="1">
      <c r="A1699" s="201" t="str">
        <f>IF(B1699&lt;&gt;"",IF(AND(B1699&gt;=_TM1,B1699&lt;=_TM2,OR(TH!L1699="1111",TH!M1699="1111")),TH!D1699,""),"")</f>
        <v/>
      </c>
      <c r="B1699" s="692">
        <f t="shared" si="82"/>
        <v>11</v>
      </c>
      <c r="C1699" s="791">
        <f t="shared" si="79"/>
        <v>41586</v>
      </c>
      <c r="D1699" s="791" t="s">
        <v>1261</v>
      </c>
      <c r="E1699" s="791">
        <v>41586</v>
      </c>
      <c r="F1699" s="848" t="s">
        <v>1102</v>
      </c>
      <c r="G1699" s="871" t="s">
        <v>616</v>
      </c>
      <c r="H1699" s="795" t="s">
        <v>1257</v>
      </c>
      <c r="I1699" s="866">
        <v>157</v>
      </c>
      <c r="J1699" s="248">
        <v>20009.987007379314</v>
      </c>
      <c r="K1699" s="693">
        <f t="shared" si="81"/>
        <v>3141568</v>
      </c>
      <c r="L1699" s="52" t="s">
        <v>164</v>
      </c>
      <c r="M1699" s="849" t="s">
        <v>162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IF(OR(TH!L1699=TH!$U$7,M1699=TH!$U$7),"x","")</f>
        <v/>
      </c>
      <c r="V1699" s="52" t="str">
        <f>IF(AND(B1699&gt;='IN-NX'!$P$3,B1699&lt;='IN-NX'!$Q$3,'IN-NX'!$D$7=D1699,OR(LEFT(L1699,2)="15",AND(LEFT(M1699,2)&lt;&gt;"15",LEFT(M1699,2)&lt;&gt;"33"))),"x","")</f>
        <v/>
      </c>
      <c r="W1699" s="52" t="str">
        <f>IF(AND(OR(LEFT(TH!L1699,2)="15",LEFT(TH!M1699,2)="15"),'152-CT'!$J$8=TH!F1699),"x","")</f>
        <v/>
      </c>
      <c r="X1699" s="52" t="str">
        <f>IF(AND(OR(LEFT(TH!L1699,2)="15",LEFT(TH!M1699,2)="15"),TK!$E$7=TH!F1699),"x","")</f>
        <v/>
      </c>
      <c r="Y1699" s="52" t="str">
        <f>IF(AND(B1699&lt;=NKC!$N$8,B1699&gt;=NKC!$M$8),"x","")</f>
        <v/>
      </c>
    </row>
    <row r="1700" spans="1:25" s="767" customFormat="1" ht="15.75" customHeight="1">
      <c r="A1700" s="201" t="str">
        <f>IF(B1700&lt;&gt;"",IF(AND(B1700&gt;=_TM1,B1700&lt;=_TM2,OR(TH!L1700="1111",TH!M1700="1111")),TH!D1700,""),"")</f>
        <v/>
      </c>
      <c r="B1700" s="692">
        <f t="shared" si="82"/>
        <v>11</v>
      </c>
      <c r="C1700" s="791">
        <f t="shared" si="79"/>
        <v>41586</v>
      </c>
      <c r="D1700" s="791" t="s">
        <v>1261</v>
      </c>
      <c r="E1700" s="791">
        <v>41586</v>
      </c>
      <c r="F1700" s="848" t="s">
        <v>973</v>
      </c>
      <c r="G1700" s="871" t="s">
        <v>974</v>
      </c>
      <c r="H1700" s="795" t="s">
        <v>1257</v>
      </c>
      <c r="I1700" s="866">
        <v>200</v>
      </c>
      <c r="J1700" s="248">
        <v>6967.9901920926923</v>
      </c>
      <c r="K1700" s="693">
        <f t="shared" si="81"/>
        <v>1393598</v>
      </c>
      <c r="L1700" s="52" t="s">
        <v>164</v>
      </c>
      <c r="M1700" s="849" t="s">
        <v>162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IF(OR(TH!L1700=TH!$U$7,M1700=TH!$U$7),"x","")</f>
        <v/>
      </c>
      <c r="V1700" s="52" t="str">
        <f>IF(AND(B1700&gt;='IN-NX'!$P$3,B1700&lt;='IN-NX'!$Q$3,'IN-NX'!$D$7=D1700,OR(LEFT(L1700,2)="15",AND(LEFT(M1700,2)&lt;&gt;"15",LEFT(M1700,2)&lt;&gt;"33"))),"x","")</f>
        <v/>
      </c>
      <c r="W1700" s="52" t="str">
        <f>IF(AND(OR(LEFT(TH!L1700,2)="15",LEFT(TH!M1700,2)="15"),'152-CT'!$J$8=TH!F1700),"x","")</f>
        <v/>
      </c>
      <c r="X1700" s="52" t="str">
        <f>IF(AND(OR(LEFT(TH!L1700,2)="15",LEFT(TH!M1700,2)="15"),TK!$E$7=TH!F1700),"x","")</f>
        <v/>
      </c>
      <c r="Y1700" s="52" t="str">
        <f>IF(AND(B1700&lt;=NKC!$N$8,B1700&gt;=NKC!$M$8),"x","")</f>
        <v/>
      </c>
    </row>
    <row r="1701" spans="1:25" s="767" customFormat="1" ht="15.75" customHeight="1">
      <c r="A1701" s="201" t="str">
        <f>IF(B1701&lt;&gt;"",IF(AND(B1701&gt;=_TM1,B1701&lt;=_TM2,OR(TH!L1701="1111",TH!M1701="1111")),TH!D1701,""),"")</f>
        <v/>
      </c>
      <c r="B1701" s="692">
        <f t="shared" si="82"/>
        <v>11</v>
      </c>
      <c r="C1701" s="791">
        <f t="shared" si="79"/>
        <v>41586</v>
      </c>
      <c r="D1701" s="791" t="s">
        <v>1261</v>
      </c>
      <c r="E1701" s="806">
        <v>41586</v>
      </c>
      <c r="F1701" s="867" t="s">
        <v>976</v>
      </c>
      <c r="G1701" s="49" t="s">
        <v>974</v>
      </c>
      <c r="H1701" s="795" t="s">
        <v>1257</v>
      </c>
      <c r="I1701" s="248">
        <v>100</v>
      </c>
      <c r="J1701" s="248">
        <v>13572.490192092691</v>
      </c>
      <c r="K1701" s="693">
        <f t="shared" si="81"/>
        <v>1357249</v>
      </c>
      <c r="L1701" s="52" t="s">
        <v>164</v>
      </c>
      <c r="M1701" s="849" t="s">
        <v>162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IF(OR(TH!L1701=TH!$U$7,M1701=TH!$U$7),"x","")</f>
        <v/>
      </c>
      <c r="V1701" s="52" t="str">
        <f>IF(AND(B1701&gt;='IN-NX'!$P$3,B1701&lt;='IN-NX'!$Q$3,'IN-NX'!$D$7=D1701,OR(LEFT(L1701,2)="15",AND(LEFT(M1701,2)&lt;&gt;"15",LEFT(M1701,2)&lt;&gt;"33"))),"x","")</f>
        <v/>
      </c>
      <c r="W1701" s="52" t="str">
        <f>IF(AND(OR(LEFT(TH!L1701,2)="15",LEFT(TH!M1701,2)="15"),'152-CT'!$J$8=TH!F1701),"x","")</f>
        <v/>
      </c>
      <c r="X1701" s="52" t="str">
        <f>IF(AND(OR(LEFT(TH!L1701,2)="15",LEFT(TH!M1701,2)="15"),TK!$E$7=TH!F1701),"x","")</f>
        <v/>
      </c>
      <c r="Y1701" s="52" t="str">
        <f>IF(AND(B1701&lt;=NKC!$N$8,B1701&gt;=NKC!$M$8),"x","")</f>
        <v/>
      </c>
    </row>
    <row r="1702" spans="1:25" s="767" customFormat="1" ht="15.75" customHeight="1">
      <c r="A1702" s="201" t="str">
        <f>IF(B1702&lt;&gt;"",IF(AND(B1702&gt;=_TM1,B1702&lt;=_TM2,OR(TH!L1702="1111",TH!M1702="1111")),TH!D1702,""),"")</f>
        <v/>
      </c>
      <c r="B1702" s="692">
        <f t="shared" si="82"/>
        <v>11</v>
      </c>
      <c r="C1702" s="791">
        <f t="shared" si="79"/>
        <v>41586</v>
      </c>
      <c r="D1702" s="791" t="s">
        <v>1261</v>
      </c>
      <c r="E1702" s="806">
        <v>41586</v>
      </c>
      <c r="F1702" s="49" t="s">
        <v>977</v>
      </c>
      <c r="G1702" s="49" t="s">
        <v>974</v>
      </c>
      <c r="H1702" s="795" t="s">
        <v>1257</v>
      </c>
      <c r="I1702" s="248">
        <v>150</v>
      </c>
      <c r="J1702" s="248">
        <v>12873.423525426026</v>
      </c>
      <c r="K1702" s="693">
        <f t="shared" si="81"/>
        <v>1931014</v>
      </c>
      <c r="L1702" s="52" t="s">
        <v>164</v>
      </c>
      <c r="M1702" s="849" t="s">
        <v>162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IF(OR(TH!L1702=TH!$U$7,M1702=TH!$U$7),"x","")</f>
        <v/>
      </c>
      <c r="V1702" s="52" t="str">
        <f>IF(AND(B1702&gt;='IN-NX'!$P$3,B1702&lt;='IN-NX'!$Q$3,'IN-NX'!$D$7=D1702,OR(LEFT(L1702,2)="15",AND(LEFT(M1702,2)&lt;&gt;"15",LEFT(M1702,2)&lt;&gt;"33"))),"x","")</f>
        <v/>
      </c>
      <c r="W1702" s="52" t="str">
        <f>IF(AND(OR(LEFT(TH!L1702,2)="15",LEFT(TH!M1702,2)="15"),'152-CT'!$J$8=TH!F1702),"x","")</f>
        <v/>
      </c>
      <c r="X1702" s="52" t="str">
        <f>IF(AND(OR(LEFT(TH!L1702,2)="15",LEFT(TH!M1702,2)="15"),TK!$E$7=TH!F1702),"x","")</f>
        <v/>
      </c>
      <c r="Y1702" s="52" t="str">
        <f>IF(AND(B1702&lt;=NKC!$N$8,B1702&gt;=NKC!$M$8),"x","")</f>
        <v/>
      </c>
    </row>
    <row r="1703" spans="1:25" s="767" customFormat="1" ht="15.75" customHeight="1">
      <c r="A1703" s="201" t="str">
        <f>IF(B1703&lt;&gt;"",IF(AND(B1703&gt;=_TM1,B1703&lt;=_TM2,OR(TH!L1703="1111",TH!M1703="1111")),TH!D1703,""),"")</f>
        <v/>
      </c>
      <c r="B1703" s="692">
        <f t="shared" si="82"/>
        <v>11</v>
      </c>
      <c r="C1703" s="791">
        <f t="shared" si="79"/>
        <v>41591</v>
      </c>
      <c r="D1703" s="791" t="s">
        <v>1261</v>
      </c>
      <c r="E1703" s="806">
        <v>41591</v>
      </c>
      <c r="F1703" s="867" t="s">
        <v>805</v>
      </c>
      <c r="G1703" s="49" t="s">
        <v>978</v>
      </c>
      <c r="H1703" s="795" t="s">
        <v>1257</v>
      </c>
      <c r="I1703" s="248">
        <v>395</v>
      </c>
      <c r="J1703" s="248">
        <v>9551.0851288015529</v>
      </c>
      <c r="K1703" s="693">
        <f t="shared" si="81"/>
        <v>3772679</v>
      </c>
      <c r="L1703" s="52" t="s">
        <v>164</v>
      </c>
      <c r="M1703" s="849" t="s">
        <v>162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IF(OR(TH!L1703=TH!$U$7,M1703=TH!$U$7),"x","")</f>
        <v/>
      </c>
      <c r="V1703" s="52" t="str">
        <f>IF(AND(B1703&gt;='IN-NX'!$P$3,B1703&lt;='IN-NX'!$Q$3,'IN-NX'!$D$7=D1703,OR(LEFT(L1703,2)="15",AND(LEFT(M1703,2)&lt;&gt;"15",LEFT(M1703,2)&lt;&gt;"33"))),"x","")</f>
        <v/>
      </c>
      <c r="W1703" s="52" t="str">
        <f>IF(AND(OR(LEFT(TH!L1703,2)="15",LEFT(TH!M1703,2)="15"),'152-CT'!$J$8=TH!F1703),"x","")</f>
        <v/>
      </c>
      <c r="X1703" s="52" t="str">
        <f>IF(AND(OR(LEFT(TH!L1703,2)="15",LEFT(TH!M1703,2)="15"),TK!$E$7=TH!F1703),"x","")</f>
        <v/>
      </c>
      <c r="Y1703" s="52" t="str">
        <f>IF(AND(B1703&lt;=NKC!$N$8,B1703&gt;=NKC!$M$8),"x","")</f>
        <v/>
      </c>
    </row>
    <row r="1704" spans="1:25" s="767" customFormat="1" ht="15.75" customHeight="1">
      <c r="A1704" s="201" t="str">
        <f>IF(B1704&lt;&gt;"",IF(AND(B1704&gt;=_TM1,B1704&lt;=_TM2,OR(TH!L1704="1111",TH!M1704="1111")),TH!D1704,""),"")</f>
        <v/>
      </c>
      <c r="B1704" s="692">
        <f t="shared" si="82"/>
        <v>11</v>
      </c>
      <c r="C1704" s="791">
        <f t="shared" si="79"/>
        <v>41592</v>
      </c>
      <c r="D1704" s="791" t="s">
        <v>1261</v>
      </c>
      <c r="E1704" s="806">
        <v>41592</v>
      </c>
      <c r="F1704" s="794" t="s">
        <v>1095</v>
      </c>
      <c r="G1704" s="49" t="s">
        <v>979</v>
      </c>
      <c r="H1704" s="795" t="s">
        <v>1257</v>
      </c>
      <c r="I1704" s="248">
        <v>500</v>
      </c>
      <c r="J1704" s="248">
        <v>15943.490192092693</v>
      </c>
      <c r="K1704" s="693">
        <f t="shared" si="81"/>
        <v>7971745</v>
      </c>
      <c r="L1704" s="52" t="s">
        <v>164</v>
      </c>
      <c r="M1704" s="849" t="s">
        <v>162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IF(OR(TH!L1704=TH!$U$7,M1704=TH!$U$7),"x","")</f>
        <v/>
      </c>
      <c r="V1704" s="52" t="str">
        <f>IF(AND(B1704&gt;='IN-NX'!$P$3,B1704&lt;='IN-NX'!$Q$3,'IN-NX'!$D$7=D1704,OR(LEFT(L1704,2)="15",AND(LEFT(M1704,2)&lt;&gt;"15",LEFT(M1704,2)&lt;&gt;"33"))),"x","")</f>
        <v/>
      </c>
      <c r="W1704" s="52" t="str">
        <f>IF(AND(OR(LEFT(TH!L1704,2)="15",LEFT(TH!M1704,2)="15"),'152-CT'!$J$8=TH!F1704),"x","")</f>
        <v/>
      </c>
      <c r="X1704" s="52" t="str">
        <f>IF(AND(OR(LEFT(TH!L1704,2)="15",LEFT(TH!M1704,2)="15"),TK!$E$7=TH!F1704),"x","")</f>
        <v/>
      </c>
      <c r="Y1704" s="52" t="str">
        <f>IF(AND(B1704&lt;=NKC!$N$8,B1704&gt;=NKC!$M$8),"x","")</f>
        <v/>
      </c>
    </row>
    <row r="1705" spans="1:25" s="767" customFormat="1" ht="15.75" customHeight="1">
      <c r="A1705" s="201" t="str">
        <f>IF(B1705&lt;&gt;"",IF(AND(B1705&gt;=_TM1,B1705&lt;=_TM2,OR(TH!L1705="1111",TH!M1705="1111")),TH!D1705,""),"")</f>
        <v/>
      </c>
      <c r="B1705" s="692">
        <f t="shared" si="82"/>
        <v>11</v>
      </c>
      <c r="C1705" s="791">
        <f t="shared" si="79"/>
        <v>41592</v>
      </c>
      <c r="D1705" s="791" t="s">
        <v>1261</v>
      </c>
      <c r="E1705" s="806">
        <v>41592</v>
      </c>
      <c r="F1705" s="794" t="s">
        <v>805</v>
      </c>
      <c r="G1705" s="49" t="s">
        <v>980</v>
      </c>
      <c r="H1705" s="795" t="s">
        <v>1257</v>
      </c>
      <c r="I1705" s="248">
        <v>500</v>
      </c>
      <c r="J1705" s="248">
        <v>9443.4901920926932</v>
      </c>
      <c r="K1705" s="693">
        <f t="shared" si="81"/>
        <v>4721745</v>
      </c>
      <c r="L1705" s="52" t="s">
        <v>164</v>
      </c>
      <c r="M1705" s="849" t="s">
        <v>162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IF(OR(TH!L1705=TH!$U$7,M1705=TH!$U$7),"x","")</f>
        <v/>
      </c>
      <c r="V1705" s="52" t="str">
        <f>IF(AND(B1705&gt;='IN-NX'!$P$3,B1705&lt;='IN-NX'!$Q$3,'IN-NX'!$D$7=D1705,OR(LEFT(L1705,2)="15",AND(LEFT(M1705,2)&lt;&gt;"15",LEFT(M1705,2)&lt;&gt;"33"))),"x","")</f>
        <v/>
      </c>
      <c r="W1705" s="52" t="str">
        <f>IF(AND(OR(LEFT(TH!L1705,2)="15",LEFT(TH!M1705,2)="15"),'152-CT'!$J$8=TH!F1705),"x","")</f>
        <v/>
      </c>
      <c r="X1705" s="52" t="str">
        <f>IF(AND(OR(LEFT(TH!L1705,2)="15",LEFT(TH!M1705,2)="15"),TK!$E$7=TH!F1705),"x","")</f>
        <v/>
      </c>
      <c r="Y1705" s="52" t="str">
        <f>IF(AND(B1705&lt;=NKC!$N$8,B1705&gt;=NKC!$M$8),"x","")</f>
        <v/>
      </c>
    </row>
    <row r="1706" spans="1:25" s="767" customFormat="1" ht="15.75" customHeight="1">
      <c r="A1706" s="201" t="str">
        <f>IF(B1706&lt;&gt;"",IF(AND(B1706&gt;=_TM1,B1706&lt;=_TM2,OR(TH!L1706="1111",TH!M1706="1111")),TH!D1706,""),"")</f>
        <v/>
      </c>
      <c r="B1706" s="692">
        <f t="shared" si="82"/>
        <v>11</v>
      </c>
      <c r="C1706" s="791">
        <f t="shared" si="79"/>
        <v>41592</v>
      </c>
      <c r="D1706" s="791" t="s">
        <v>1261</v>
      </c>
      <c r="E1706" s="806">
        <v>41592</v>
      </c>
      <c r="F1706" s="867" t="s">
        <v>1116</v>
      </c>
      <c r="G1706" s="49" t="s">
        <v>981</v>
      </c>
      <c r="H1706" s="795" t="s">
        <v>1257</v>
      </c>
      <c r="I1706" s="870">
        <v>2642</v>
      </c>
      <c r="J1706" s="248">
        <v>4177.3671792236537</v>
      </c>
      <c r="K1706" s="693">
        <f t="shared" si="81"/>
        <v>11036604</v>
      </c>
      <c r="L1706" s="52" t="s">
        <v>164</v>
      </c>
      <c r="M1706" s="849" t="s">
        <v>162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IF(OR(TH!L1706=TH!$U$7,M1706=TH!$U$7),"x","")</f>
        <v/>
      </c>
      <c r="V1706" s="52" t="str">
        <f>IF(AND(B1706&gt;='IN-NX'!$P$3,B1706&lt;='IN-NX'!$Q$3,'IN-NX'!$D$7=D1706,OR(LEFT(L1706,2)="15",AND(LEFT(M1706,2)&lt;&gt;"15",LEFT(M1706,2)&lt;&gt;"33"))),"x","")</f>
        <v/>
      </c>
      <c r="W1706" s="52" t="str">
        <f>IF(AND(OR(LEFT(TH!L1706,2)="15",LEFT(TH!M1706,2)="15"),'152-CT'!$J$8=TH!F1706),"x","")</f>
        <v/>
      </c>
      <c r="X1706" s="52" t="str">
        <f>IF(AND(OR(LEFT(TH!L1706,2)="15",LEFT(TH!M1706,2)="15"),TK!$E$7=TH!F1706),"x","")</f>
        <v/>
      </c>
      <c r="Y1706" s="52" t="str">
        <f>IF(AND(B1706&lt;=NKC!$N$8,B1706&gt;=NKC!$M$8),"x","")</f>
        <v/>
      </c>
    </row>
    <row r="1707" spans="1:25" s="767" customFormat="1" ht="15.75" customHeight="1">
      <c r="A1707" s="201" t="str">
        <f>IF(B1707&lt;&gt;"",IF(AND(B1707&gt;=_TM1,B1707&lt;=_TM2,OR(TH!L1707="1111",TH!M1707="1111")),TH!D1707,""),"")</f>
        <v/>
      </c>
      <c r="B1707" s="692">
        <f t="shared" si="82"/>
        <v>11</v>
      </c>
      <c r="C1707" s="791">
        <f t="shared" si="79"/>
        <v>41593</v>
      </c>
      <c r="D1707" s="791" t="s">
        <v>1261</v>
      </c>
      <c r="E1707" s="806">
        <v>41593</v>
      </c>
      <c r="F1707" s="867" t="s">
        <v>1128</v>
      </c>
      <c r="G1707" s="49" t="s">
        <v>982</v>
      </c>
      <c r="H1707" s="795" t="s">
        <v>1257</v>
      </c>
      <c r="I1707" s="248">
        <v>2330</v>
      </c>
      <c r="J1707" s="248">
        <v>5903.8850418781003</v>
      </c>
      <c r="K1707" s="693">
        <f t="shared" si="81"/>
        <v>13756052</v>
      </c>
      <c r="L1707" s="52" t="s">
        <v>164</v>
      </c>
      <c r="M1707" s="849" t="s">
        <v>162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IF(OR(TH!L1707=TH!$U$7,M1707=TH!$U$7),"x","")</f>
        <v/>
      </c>
      <c r="V1707" s="52" t="str">
        <f>IF(AND(B1707&gt;='IN-NX'!$P$3,B1707&lt;='IN-NX'!$Q$3,'IN-NX'!$D$7=D1707,OR(LEFT(L1707,2)="15",AND(LEFT(M1707,2)&lt;&gt;"15",LEFT(M1707,2)&lt;&gt;"33"))),"x","")</f>
        <v/>
      </c>
      <c r="W1707" s="52" t="str">
        <f>IF(AND(OR(LEFT(TH!L1707,2)="15",LEFT(TH!M1707,2)="15"),'152-CT'!$J$8=TH!F1707),"x","")</f>
        <v/>
      </c>
      <c r="X1707" s="52" t="str">
        <f>IF(AND(OR(LEFT(TH!L1707,2)="15",LEFT(TH!M1707,2)="15"),TK!$E$7=TH!F1707),"x","")</f>
        <v/>
      </c>
      <c r="Y1707" s="52" t="str">
        <f>IF(AND(B1707&lt;=NKC!$N$8,B1707&gt;=NKC!$M$8),"x","")</f>
        <v/>
      </c>
    </row>
    <row r="1708" spans="1:25" s="767" customFormat="1" ht="15.75" customHeight="1">
      <c r="A1708" s="201" t="str">
        <f>IF(B1708&lt;&gt;"",IF(AND(B1708&gt;=_TM1,B1708&lt;=_TM2,OR(TH!L1708="1111",TH!M1708="1111")),TH!D1708,""),"")</f>
        <v/>
      </c>
      <c r="B1708" s="692">
        <f t="shared" si="82"/>
        <v>11</v>
      </c>
      <c r="C1708" s="791">
        <f t="shared" si="79"/>
        <v>41594</v>
      </c>
      <c r="D1708" s="791" t="s">
        <v>1261</v>
      </c>
      <c r="E1708" s="806">
        <v>41594</v>
      </c>
      <c r="F1708" s="867" t="s">
        <v>805</v>
      </c>
      <c r="G1708" s="49" t="s">
        <v>983</v>
      </c>
      <c r="H1708" s="795" t="s">
        <v>1257</v>
      </c>
      <c r="I1708" s="870">
        <v>428</v>
      </c>
      <c r="J1708" s="248">
        <v>9354.7051453637214</v>
      </c>
      <c r="K1708" s="693">
        <f t="shared" si="81"/>
        <v>4003814</v>
      </c>
      <c r="L1708" s="52" t="s">
        <v>164</v>
      </c>
      <c r="M1708" s="849" t="s">
        <v>162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IF(OR(TH!L1708=TH!$U$7,M1708=TH!$U$7),"x","")</f>
        <v/>
      </c>
      <c r="V1708" s="52" t="str">
        <f>IF(AND(B1708&gt;='IN-NX'!$P$3,B1708&lt;='IN-NX'!$Q$3,'IN-NX'!$D$7=D1708,OR(LEFT(L1708,2)="15",AND(LEFT(M1708,2)&lt;&gt;"15",LEFT(M1708,2)&lt;&gt;"33"))),"x","")</f>
        <v/>
      </c>
      <c r="W1708" s="52" t="str">
        <f>IF(AND(OR(LEFT(TH!L1708,2)="15",LEFT(TH!M1708,2)="15"),'152-CT'!$J$8=TH!F1708),"x","")</f>
        <v/>
      </c>
      <c r="X1708" s="52" t="str">
        <f>IF(AND(OR(LEFT(TH!L1708,2)="15",LEFT(TH!M1708,2)="15"),TK!$E$7=TH!F1708),"x","")</f>
        <v/>
      </c>
      <c r="Y1708" s="52" t="str">
        <f>IF(AND(B1708&lt;=NKC!$N$8,B1708&gt;=NKC!$M$8),"x","")</f>
        <v/>
      </c>
    </row>
    <row r="1709" spans="1:25" s="767" customFormat="1" ht="15.75" customHeight="1">
      <c r="A1709" s="201" t="str">
        <f>IF(B1709&lt;&gt;"",IF(AND(B1709&gt;=_TM1,B1709&lt;=_TM2,OR(TH!L1709="1111",TH!M1709="1111")),TH!D1709,""),"")</f>
        <v/>
      </c>
      <c r="B1709" s="692">
        <f t="shared" si="82"/>
        <v>11</v>
      </c>
      <c r="C1709" s="791">
        <f t="shared" si="79"/>
        <v>41596</v>
      </c>
      <c r="D1709" s="791" t="s">
        <v>1261</v>
      </c>
      <c r="E1709" s="791">
        <v>41596</v>
      </c>
      <c r="F1709" s="848" t="s">
        <v>843</v>
      </c>
      <c r="G1709" s="792" t="s">
        <v>984</v>
      </c>
      <c r="H1709" s="795" t="s">
        <v>1257</v>
      </c>
      <c r="I1709" s="866">
        <v>1017</v>
      </c>
      <c r="J1709" s="866">
        <v>11840.074262889153</v>
      </c>
      <c r="K1709" s="693">
        <f t="shared" si="81"/>
        <v>12041356</v>
      </c>
      <c r="L1709" s="52" t="s">
        <v>164</v>
      </c>
      <c r="M1709" s="849" t="s">
        <v>162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IF(OR(TH!L1709=TH!$U$7,M1709=TH!$U$7),"x","")</f>
        <v/>
      </c>
      <c r="V1709" s="52" t="str">
        <f>IF(AND(B1709&gt;='IN-NX'!$P$3,B1709&lt;='IN-NX'!$Q$3,'IN-NX'!$D$7=D1709,OR(LEFT(L1709,2)="15",AND(LEFT(M1709,2)&lt;&gt;"15",LEFT(M1709,2)&lt;&gt;"33"))),"x","")</f>
        <v/>
      </c>
      <c r="W1709" s="52" t="str">
        <f>IF(AND(OR(LEFT(TH!L1709,2)="15",LEFT(TH!M1709,2)="15"),'152-CT'!$J$8=TH!F1709),"x","")</f>
        <v/>
      </c>
      <c r="X1709" s="52" t="str">
        <f>IF(AND(OR(LEFT(TH!L1709,2)="15",LEFT(TH!M1709,2)="15"),TK!$E$7=TH!F1709),"x","")</f>
        <v/>
      </c>
      <c r="Y1709" s="52" t="str">
        <f>IF(AND(B1709&lt;=NKC!$N$8,B1709&gt;=NKC!$M$8),"x","")</f>
        <v/>
      </c>
    </row>
    <row r="1710" spans="1:25" s="767" customFormat="1" ht="15.75" customHeight="1">
      <c r="A1710" s="201" t="str">
        <f>IF(B1710&lt;&gt;"",IF(AND(B1710&gt;=_TM1,B1710&lt;=_TM2,OR(TH!L1710="1111",TH!M1710="1111")),TH!D1710,""),"")</f>
        <v/>
      </c>
      <c r="B1710" s="692">
        <f t="shared" si="82"/>
        <v>11</v>
      </c>
      <c r="C1710" s="791">
        <f t="shared" si="79"/>
        <v>41597</v>
      </c>
      <c r="D1710" s="791" t="s">
        <v>1261</v>
      </c>
      <c r="E1710" s="791">
        <v>41597</v>
      </c>
      <c r="F1710" s="848" t="s">
        <v>985</v>
      </c>
      <c r="G1710" s="792" t="s">
        <v>986</v>
      </c>
      <c r="H1710" s="795" t="s">
        <v>1257</v>
      </c>
      <c r="I1710" s="248">
        <v>70</v>
      </c>
      <c r="J1710" s="248">
        <v>41170.918763521266</v>
      </c>
      <c r="K1710" s="693">
        <f t="shared" si="81"/>
        <v>2881964</v>
      </c>
      <c r="L1710" s="52" t="s">
        <v>164</v>
      </c>
      <c r="M1710" s="849" t="s">
        <v>162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IF(OR(TH!L1710=TH!$U$7,M1710=TH!$U$7),"x","")</f>
        <v/>
      </c>
      <c r="V1710" s="52" t="str">
        <f>IF(AND(B1710&gt;='IN-NX'!$P$3,B1710&lt;='IN-NX'!$Q$3,'IN-NX'!$D$7=D1710,OR(LEFT(L1710,2)="15",AND(LEFT(M1710,2)&lt;&gt;"15",LEFT(M1710,2)&lt;&gt;"33"))),"x","")</f>
        <v/>
      </c>
      <c r="W1710" s="52" t="str">
        <f>IF(AND(OR(LEFT(TH!L1710,2)="15",LEFT(TH!M1710,2)="15"),'152-CT'!$J$8=TH!F1710),"x","")</f>
        <v/>
      </c>
      <c r="X1710" s="52" t="str">
        <f>IF(AND(OR(LEFT(TH!L1710,2)="15",LEFT(TH!M1710,2)="15"),TK!$E$7=TH!F1710),"x","")</f>
        <v/>
      </c>
      <c r="Y1710" s="52" t="str">
        <f>IF(AND(B1710&lt;=NKC!$N$8,B1710&gt;=NKC!$M$8),"x","")</f>
        <v/>
      </c>
    </row>
    <row r="1711" spans="1:25" s="767" customFormat="1" ht="15.75" customHeight="1">
      <c r="A1711" s="201" t="str">
        <f>IF(B1711&lt;&gt;"",IF(AND(B1711&gt;=_TM1,B1711&lt;=_TM2,OR(TH!L1711="1111",TH!M1711="1111")),TH!D1711,""),"")</f>
        <v/>
      </c>
      <c r="B1711" s="692">
        <f t="shared" si="82"/>
        <v>11</v>
      </c>
      <c r="C1711" s="791">
        <f t="shared" si="79"/>
        <v>41597</v>
      </c>
      <c r="D1711" s="791" t="s">
        <v>1261</v>
      </c>
      <c r="E1711" s="791">
        <v>41597</v>
      </c>
      <c r="F1711" s="867" t="s">
        <v>847</v>
      </c>
      <c r="G1711" s="792" t="s">
        <v>986</v>
      </c>
      <c r="H1711" s="795" t="s">
        <v>1257</v>
      </c>
      <c r="I1711" s="248">
        <v>70</v>
      </c>
      <c r="J1711" s="248">
        <v>42499.675906378412</v>
      </c>
      <c r="K1711" s="693">
        <f t="shared" si="81"/>
        <v>2974977</v>
      </c>
      <c r="L1711" s="52" t="s">
        <v>164</v>
      </c>
      <c r="M1711" s="849" t="s">
        <v>162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IF(OR(TH!L1711=TH!$U$7,M1711=TH!$U$7),"x","")</f>
        <v/>
      </c>
      <c r="V1711" s="52" t="str">
        <f>IF(AND(B1711&gt;='IN-NX'!$P$3,B1711&lt;='IN-NX'!$Q$3,'IN-NX'!$D$7=D1711,OR(LEFT(L1711,2)="15",AND(LEFT(M1711,2)&lt;&gt;"15",LEFT(M1711,2)&lt;&gt;"33"))),"x","")</f>
        <v/>
      </c>
      <c r="W1711" s="52" t="str">
        <f>IF(AND(OR(LEFT(TH!L1711,2)="15",LEFT(TH!M1711,2)="15"),'152-CT'!$J$8=TH!F1711),"x","")</f>
        <v/>
      </c>
      <c r="X1711" s="52" t="str">
        <f>IF(AND(OR(LEFT(TH!L1711,2)="15",LEFT(TH!M1711,2)="15"),TK!$E$7=TH!F1711),"x","")</f>
        <v/>
      </c>
      <c r="Y1711" s="52" t="str">
        <f>IF(AND(B1711&lt;=NKC!$N$8,B1711&gt;=NKC!$M$8),"x","")</f>
        <v/>
      </c>
    </row>
    <row r="1712" spans="1:25" s="767" customFormat="1" ht="15.75" customHeight="1">
      <c r="A1712" s="201" t="str">
        <f>IF(B1712&lt;&gt;"",IF(AND(B1712&gt;=_TM1,B1712&lt;=_TM2,OR(TH!L1712="1111",TH!M1712="1111")),TH!D1712,""),"")</f>
        <v/>
      </c>
      <c r="B1712" s="692">
        <f t="shared" si="82"/>
        <v>11</v>
      </c>
      <c r="C1712" s="791">
        <f t="shared" si="79"/>
        <v>41597</v>
      </c>
      <c r="D1712" s="791" t="s">
        <v>1261</v>
      </c>
      <c r="E1712" s="791">
        <v>41597</v>
      </c>
      <c r="F1712" s="867" t="s">
        <v>987</v>
      </c>
      <c r="G1712" s="792" t="s">
        <v>986</v>
      </c>
      <c r="H1712" s="795" t="s">
        <v>1257</v>
      </c>
      <c r="I1712" s="248">
        <v>50</v>
      </c>
      <c r="J1712" s="248">
        <v>37177.490192092693</v>
      </c>
      <c r="K1712" s="693">
        <f t="shared" si="81"/>
        <v>1858875</v>
      </c>
      <c r="L1712" s="52" t="s">
        <v>164</v>
      </c>
      <c r="M1712" s="849" t="s">
        <v>162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IF(OR(TH!L1712=TH!$U$7,M1712=TH!$U$7),"x","")</f>
        <v/>
      </c>
      <c r="V1712" s="52" t="str">
        <f>IF(AND(B1712&gt;='IN-NX'!$P$3,B1712&lt;='IN-NX'!$Q$3,'IN-NX'!$D$7=D1712,OR(LEFT(L1712,2)="15",AND(LEFT(M1712,2)&lt;&gt;"15",LEFT(M1712,2)&lt;&gt;"33"))),"x","")</f>
        <v/>
      </c>
      <c r="W1712" s="52" t="str">
        <f>IF(AND(OR(LEFT(TH!L1712,2)="15",LEFT(TH!M1712,2)="15"),'152-CT'!$J$8=TH!F1712),"x","")</f>
        <v/>
      </c>
      <c r="X1712" s="52" t="str">
        <f>IF(AND(OR(LEFT(TH!L1712,2)="15",LEFT(TH!M1712,2)="15"),TK!$E$7=TH!F1712),"x","")</f>
        <v/>
      </c>
      <c r="Y1712" s="52" t="str">
        <f>IF(AND(B1712&lt;=NKC!$N$8,B1712&gt;=NKC!$M$8),"x","")</f>
        <v/>
      </c>
    </row>
    <row r="1713" spans="1:25" s="767" customFormat="1" ht="15.75" customHeight="1">
      <c r="A1713" s="201" t="str">
        <f>IF(B1713&lt;&gt;"",IF(AND(B1713&gt;=_TM1,B1713&lt;=_TM2,OR(TH!L1713="1111",TH!M1713="1111")),TH!D1713,""),"")</f>
        <v/>
      </c>
      <c r="B1713" s="692">
        <f t="shared" si="82"/>
        <v>11</v>
      </c>
      <c r="C1713" s="791">
        <f t="shared" si="79"/>
        <v>41597</v>
      </c>
      <c r="D1713" s="791" t="s">
        <v>1261</v>
      </c>
      <c r="E1713" s="791">
        <v>41597</v>
      </c>
      <c r="F1713" s="848" t="s">
        <v>848</v>
      </c>
      <c r="G1713" s="792" t="s">
        <v>986</v>
      </c>
      <c r="H1713" s="795" t="s">
        <v>1257</v>
      </c>
      <c r="I1713" s="248">
        <v>50</v>
      </c>
      <c r="J1713" s="248">
        <v>37177.490192092693</v>
      </c>
      <c r="K1713" s="693">
        <f t="shared" si="81"/>
        <v>1858875</v>
      </c>
      <c r="L1713" s="52" t="s">
        <v>164</v>
      </c>
      <c r="M1713" s="849" t="s">
        <v>162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IF(OR(TH!L1713=TH!$U$7,M1713=TH!$U$7),"x","")</f>
        <v/>
      </c>
      <c r="V1713" s="52" t="str">
        <f>IF(AND(B1713&gt;='IN-NX'!$P$3,B1713&lt;='IN-NX'!$Q$3,'IN-NX'!$D$7=D1713,OR(LEFT(L1713,2)="15",AND(LEFT(M1713,2)&lt;&gt;"15",LEFT(M1713,2)&lt;&gt;"33"))),"x","")</f>
        <v/>
      </c>
      <c r="W1713" s="52" t="str">
        <f>IF(AND(OR(LEFT(TH!L1713,2)="15",LEFT(TH!M1713,2)="15"),'152-CT'!$J$8=TH!F1713),"x","")</f>
        <v/>
      </c>
      <c r="X1713" s="52" t="str">
        <f>IF(AND(OR(LEFT(TH!L1713,2)="15",LEFT(TH!M1713,2)="15"),TK!$E$7=TH!F1713),"x","")</f>
        <v/>
      </c>
      <c r="Y1713" s="52" t="str">
        <f>IF(AND(B1713&lt;=NKC!$N$8,B1713&gt;=NKC!$M$8),"x","")</f>
        <v/>
      </c>
    </row>
    <row r="1714" spans="1:25" s="767" customFormat="1" ht="15.75" customHeight="1">
      <c r="A1714" s="201" t="str">
        <f>IF(B1714&lt;&gt;"",IF(AND(B1714&gt;=_TM1,B1714&lt;=_TM2,OR(TH!L1714="1111",TH!M1714="1111")),TH!D1714,""),"")</f>
        <v/>
      </c>
      <c r="B1714" s="692">
        <f t="shared" si="82"/>
        <v>11</v>
      </c>
      <c r="C1714" s="791">
        <f t="shared" si="79"/>
        <v>41598</v>
      </c>
      <c r="D1714" s="791" t="s">
        <v>1261</v>
      </c>
      <c r="E1714" s="791">
        <v>41598</v>
      </c>
      <c r="F1714" s="848" t="s">
        <v>849</v>
      </c>
      <c r="G1714" s="792" t="s">
        <v>988</v>
      </c>
      <c r="H1714" s="795" t="s">
        <v>1257</v>
      </c>
      <c r="I1714" s="248">
        <v>50</v>
      </c>
      <c r="J1714" s="248">
        <v>46193.570192092695</v>
      </c>
      <c r="K1714" s="693">
        <f t="shared" si="81"/>
        <v>2309679</v>
      </c>
      <c r="L1714" s="52" t="s">
        <v>164</v>
      </c>
      <c r="M1714" s="849" t="s">
        <v>162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IF(OR(TH!L1714=TH!$U$7,M1714=TH!$U$7),"x","")</f>
        <v/>
      </c>
      <c r="V1714" s="52" t="str">
        <f>IF(AND(B1714&gt;='IN-NX'!$P$3,B1714&lt;='IN-NX'!$Q$3,'IN-NX'!$D$7=D1714,OR(LEFT(L1714,2)="15",AND(LEFT(M1714,2)&lt;&gt;"15",LEFT(M1714,2)&lt;&gt;"33"))),"x","")</f>
        <v/>
      </c>
      <c r="W1714" s="52" t="str">
        <f>IF(AND(OR(LEFT(TH!L1714,2)="15",LEFT(TH!M1714,2)="15"),'152-CT'!$J$8=TH!F1714),"x","")</f>
        <v/>
      </c>
      <c r="X1714" s="52" t="str">
        <f>IF(AND(OR(LEFT(TH!L1714,2)="15",LEFT(TH!M1714,2)="15"),TK!$E$7=TH!F1714),"x","")</f>
        <v/>
      </c>
      <c r="Y1714" s="52" t="str">
        <f>IF(AND(B1714&lt;=NKC!$N$8,B1714&gt;=NKC!$M$8),"x","")</f>
        <v/>
      </c>
    </row>
    <row r="1715" spans="1:25" s="767" customFormat="1" ht="15.75" customHeight="1">
      <c r="A1715" s="201" t="str">
        <f>IF(B1715&lt;&gt;"",IF(AND(B1715&gt;=_TM1,B1715&lt;=_TM2,OR(TH!L1715="1111",TH!M1715="1111")),TH!D1715,""),"")</f>
        <v/>
      </c>
      <c r="B1715" s="692">
        <f t="shared" si="82"/>
        <v>11</v>
      </c>
      <c r="C1715" s="791">
        <f t="shared" si="79"/>
        <v>41598</v>
      </c>
      <c r="D1715" s="791" t="s">
        <v>1261</v>
      </c>
      <c r="E1715" s="791">
        <v>41598</v>
      </c>
      <c r="F1715" s="848" t="s">
        <v>989</v>
      </c>
      <c r="G1715" s="792" t="s">
        <v>988</v>
      </c>
      <c r="H1715" s="795" t="s">
        <v>1257</v>
      </c>
      <c r="I1715" s="248">
        <v>50</v>
      </c>
      <c r="J1715" s="248">
        <v>45547.130192092693</v>
      </c>
      <c r="K1715" s="693">
        <f t="shared" si="81"/>
        <v>2277357</v>
      </c>
      <c r="L1715" s="52" t="s">
        <v>164</v>
      </c>
      <c r="M1715" s="849" t="s">
        <v>162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IF(OR(TH!L1715=TH!$U$7,M1715=TH!$U$7),"x","")</f>
        <v/>
      </c>
      <c r="V1715" s="52" t="str">
        <f>IF(AND(B1715&gt;='IN-NX'!$P$3,B1715&lt;='IN-NX'!$Q$3,'IN-NX'!$D$7=D1715,OR(LEFT(L1715,2)="15",AND(LEFT(M1715,2)&lt;&gt;"15",LEFT(M1715,2)&lt;&gt;"33"))),"x","")</f>
        <v/>
      </c>
      <c r="W1715" s="52" t="str">
        <f>IF(AND(OR(LEFT(TH!L1715,2)="15",LEFT(TH!M1715,2)="15"),'152-CT'!$J$8=TH!F1715),"x","")</f>
        <v/>
      </c>
      <c r="X1715" s="52" t="str">
        <f>IF(AND(OR(LEFT(TH!L1715,2)="15",LEFT(TH!M1715,2)="15"),TK!$E$7=TH!F1715),"x","")</f>
        <v/>
      </c>
      <c r="Y1715" s="52" t="str">
        <f>IF(AND(B1715&lt;=NKC!$N$8,B1715&gt;=NKC!$M$8),"x","")</f>
        <v/>
      </c>
    </row>
    <row r="1716" spans="1:25" s="767" customFormat="1" ht="15.75" customHeight="1">
      <c r="A1716" s="201" t="str">
        <f>IF(B1716&lt;&gt;"",IF(AND(B1716&gt;=_TM1,B1716&lt;=_TM2,OR(TH!L1716="1111",TH!M1716="1111")),TH!D1716,""),"")</f>
        <v/>
      </c>
      <c r="B1716" s="692">
        <f t="shared" si="82"/>
        <v>11</v>
      </c>
      <c r="C1716" s="791">
        <f t="shared" si="79"/>
        <v>41598</v>
      </c>
      <c r="D1716" s="791" t="s">
        <v>1261</v>
      </c>
      <c r="E1716" s="806">
        <v>41598</v>
      </c>
      <c r="F1716" s="49" t="s">
        <v>990</v>
      </c>
      <c r="G1716" s="49" t="s">
        <v>988</v>
      </c>
      <c r="H1716" s="795" t="s">
        <v>1257</v>
      </c>
      <c r="I1716" s="248">
        <v>50</v>
      </c>
      <c r="J1716" s="248">
        <v>62354.310192092693</v>
      </c>
      <c r="K1716" s="693">
        <f t="shared" si="81"/>
        <v>3117716</v>
      </c>
      <c r="L1716" s="52" t="s">
        <v>164</v>
      </c>
      <c r="M1716" s="849" t="s">
        <v>162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IF(OR(TH!L1716=TH!$U$7,M1716=TH!$U$7),"x","")</f>
        <v/>
      </c>
      <c r="V1716" s="52" t="str">
        <f>IF(AND(B1716&gt;='IN-NX'!$P$3,B1716&lt;='IN-NX'!$Q$3,'IN-NX'!$D$7=D1716,OR(LEFT(L1716,2)="15",AND(LEFT(M1716,2)&lt;&gt;"15",LEFT(M1716,2)&lt;&gt;"33"))),"x","")</f>
        <v/>
      </c>
      <c r="W1716" s="52" t="str">
        <f>IF(AND(OR(LEFT(TH!L1716,2)="15",LEFT(TH!M1716,2)="15"),'152-CT'!$J$8=TH!F1716),"x","")</f>
        <v/>
      </c>
      <c r="X1716" s="52" t="str">
        <f>IF(AND(OR(LEFT(TH!L1716,2)="15",LEFT(TH!M1716,2)="15"),TK!$E$7=TH!F1716),"x","")</f>
        <v/>
      </c>
      <c r="Y1716" s="52" t="str">
        <f>IF(AND(B1716&lt;=NKC!$N$8,B1716&gt;=NKC!$M$8),"x","")</f>
        <v/>
      </c>
    </row>
    <row r="1717" spans="1:25" s="767" customFormat="1" ht="15.75" customHeight="1">
      <c r="A1717" s="201" t="str">
        <f>IF(B1717&lt;&gt;"",IF(AND(B1717&gt;=_TM1,B1717&lt;=_TM2,OR(TH!L1717="1111",TH!M1717="1111")),TH!D1717,""),"")</f>
        <v/>
      </c>
      <c r="B1717" s="692">
        <f t="shared" si="82"/>
        <v>11</v>
      </c>
      <c r="C1717" s="791">
        <f t="shared" si="79"/>
        <v>41603</v>
      </c>
      <c r="D1717" s="791" t="s">
        <v>1261</v>
      </c>
      <c r="E1717" s="806">
        <v>41603</v>
      </c>
      <c r="F1717" s="867" t="s">
        <v>690</v>
      </c>
      <c r="G1717" s="49" t="s">
        <v>991</v>
      </c>
      <c r="H1717" s="795" t="s">
        <v>1257</v>
      </c>
      <c r="I1717" s="248">
        <v>500</v>
      </c>
      <c r="J1717" s="248">
        <v>5593.4901920926923</v>
      </c>
      <c r="K1717" s="693">
        <f t="shared" si="81"/>
        <v>2796745</v>
      </c>
      <c r="L1717" s="52" t="s">
        <v>164</v>
      </c>
      <c r="M1717" s="849" t="s">
        <v>162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IF(OR(TH!L1717=TH!$U$7,M1717=TH!$U$7),"x","")</f>
        <v/>
      </c>
      <c r="V1717" s="52" t="str">
        <f>IF(AND(B1717&gt;='IN-NX'!$P$3,B1717&lt;='IN-NX'!$Q$3,'IN-NX'!$D$7=D1717,OR(LEFT(L1717,2)="15",AND(LEFT(M1717,2)&lt;&gt;"15",LEFT(M1717,2)&lt;&gt;"33"))),"x","")</f>
        <v/>
      </c>
      <c r="W1717" s="52" t="str">
        <f>IF(AND(OR(LEFT(TH!L1717,2)="15",LEFT(TH!M1717,2)="15"),'152-CT'!$J$8=TH!F1717),"x","")</f>
        <v/>
      </c>
      <c r="X1717" s="52" t="str">
        <f>IF(AND(OR(LEFT(TH!L1717,2)="15",LEFT(TH!M1717,2)="15"),TK!$E$7=TH!F1717),"x","")</f>
        <v/>
      </c>
      <c r="Y1717" s="52" t="str">
        <f>IF(AND(B1717&lt;=NKC!$N$8,B1717&gt;=NKC!$M$8),"x","")</f>
        <v/>
      </c>
    </row>
    <row r="1718" spans="1:25" s="767" customFormat="1" ht="15.75" customHeight="1">
      <c r="A1718" s="201" t="str">
        <f>IF(B1718&lt;&gt;"",IF(AND(B1718&gt;=_TM1,B1718&lt;=_TM2,OR(TH!L1718="1111",TH!M1718="1111")),TH!D1718,""),"")</f>
        <v/>
      </c>
      <c r="B1718" s="692">
        <f t="shared" si="82"/>
        <v>11</v>
      </c>
      <c r="C1718" s="791">
        <f t="shared" si="79"/>
        <v>41604</v>
      </c>
      <c r="D1718" s="791" t="s">
        <v>1261</v>
      </c>
      <c r="E1718" s="806">
        <v>41604</v>
      </c>
      <c r="F1718" s="49" t="s">
        <v>805</v>
      </c>
      <c r="G1718" s="49" t="s">
        <v>621</v>
      </c>
      <c r="H1718" s="795" t="s">
        <v>1257</v>
      </c>
      <c r="I1718" s="248">
        <v>500</v>
      </c>
      <c r="J1718" s="248">
        <v>9423.4901920926932</v>
      </c>
      <c r="K1718" s="693">
        <f t="shared" si="81"/>
        <v>4711745</v>
      </c>
      <c r="L1718" s="52" t="s">
        <v>164</v>
      </c>
      <c r="M1718" s="849" t="s">
        <v>162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IF(OR(TH!L1718=TH!$U$7,M1718=TH!$U$7),"x","")</f>
        <v/>
      </c>
      <c r="V1718" s="52" t="str">
        <f>IF(AND(B1718&gt;='IN-NX'!$P$3,B1718&lt;='IN-NX'!$Q$3,'IN-NX'!$D$7=D1718,OR(LEFT(L1718,2)="15",AND(LEFT(M1718,2)&lt;&gt;"15",LEFT(M1718,2)&lt;&gt;"33"))),"x","")</f>
        <v/>
      </c>
      <c r="W1718" s="52" t="str">
        <f>IF(AND(OR(LEFT(TH!L1718,2)="15",LEFT(TH!M1718,2)="15"),'152-CT'!$J$8=TH!F1718),"x","")</f>
        <v/>
      </c>
      <c r="X1718" s="52" t="str">
        <f>IF(AND(OR(LEFT(TH!L1718,2)="15",LEFT(TH!M1718,2)="15"),TK!$E$7=TH!F1718),"x","")</f>
        <v/>
      </c>
      <c r="Y1718" s="52" t="str">
        <f>IF(AND(B1718&lt;=NKC!$N$8,B1718&gt;=NKC!$M$8),"x","")</f>
        <v/>
      </c>
    </row>
    <row r="1719" spans="1:25" s="767" customFormat="1" ht="15.75" customHeight="1">
      <c r="A1719" s="201" t="str">
        <f>IF(B1719&lt;&gt;"",IF(AND(B1719&gt;=_TM1,B1719&lt;=_TM2,OR(TH!L1719="1111",TH!M1719="1111")),TH!D1719,""),"")</f>
        <v/>
      </c>
      <c r="B1719" s="692">
        <f t="shared" si="82"/>
        <v>11</v>
      </c>
      <c r="C1719" s="791">
        <f t="shared" si="79"/>
        <v>41604</v>
      </c>
      <c r="D1719" s="791" t="s">
        <v>1261</v>
      </c>
      <c r="E1719" s="806">
        <v>41604</v>
      </c>
      <c r="F1719" s="49" t="s">
        <v>805</v>
      </c>
      <c r="G1719" s="49" t="s">
        <v>621</v>
      </c>
      <c r="H1719" s="795" t="s">
        <v>1257</v>
      </c>
      <c r="I1719" s="248">
        <v>500</v>
      </c>
      <c r="J1719" s="248">
        <v>10739.518192092692</v>
      </c>
      <c r="K1719" s="693">
        <f t="shared" si="81"/>
        <v>5369759</v>
      </c>
      <c r="L1719" s="52" t="s">
        <v>164</v>
      </c>
      <c r="M1719" s="849" t="s">
        <v>162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IF(OR(TH!L1719=TH!$U$7,M1719=TH!$U$7),"x","")</f>
        <v/>
      </c>
      <c r="V1719" s="52" t="str">
        <f>IF(AND(B1719&gt;='IN-NX'!$P$3,B1719&lt;='IN-NX'!$Q$3,'IN-NX'!$D$7=D1719,OR(LEFT(L1719,2)="15",AND(LEFT(M1719,2)&lt;&gt;"15",LEFT(M1719,2)&lt;&gt;"33"))),"x","")</f>
        <v/>
      </c>
      <c r="W1719" s="52" t="str">
        <f>IF(AND(OR(LEFT(TH!L1719,2)="15",LEFT(TH!M1719,2)="15"),'152-CT'!$J$8=TH!F1719),"x","")</f>
        <v/>
      </c>
      <c r="X1719" s="52" t="str">
        <f>IF(AND(OR(LEFT(TH!L1719,2)="15",LEFT(TH!M1719,2)="15"),TK!$E$7=TH!F1719),"x","")</f>
        <v/>
      </c>
      <c r="Y1719" s="52" t="str">
        <f>IF(AND(B1719&lt;=NKC!$N$8,B1719&gt;=NKC!$M$8),"x","")</f>
        <v/>
      </c>
    </row>
    <row r="1720" spans="1:25" s="767" customFormat="1" ht="15.75" customHeight="1">
      <c r="A1720" s="201" t="str">
        <f>IF(B1720&lt;&gt;"",IF(AND(B1720&gt;=_TM1,B1720&lt;=_TM2,OR(TH!L1720="1111",TH!M1720="1111")),TH!D1720,""),"")</f>
        <v/>
      </c>
      <c r="B1720" s="692">
        <f t="shared" si="82"/>
        <v>11</v>
      </c>
      <c r="C1720" s="791">
        <f t="shared" si="79"/>
        <v>41604</v>
      </c>
      <c r="D1720" s="791" t="s">
        <v>1261</v>
      </c>
      <c r="E1720" s="806">
        <v>41604</v>
      </c>
      <c r="F1720" s="867" t="s">
        <v>805</v>
      </c>
      <c r="G1720" s="49" t="s">
        <v>621</v>
      </c>
      <c r="H1720" s="795" t="s">
        <v>1257</v>
      </c>
      <c r="I1720" s="248">
        <v>500</v>
      </c>
      <c r="J1720" s="248">
        <v>10360.690192092692</v>
      </c>
      <c r="K1720" s="693">
        <f t="shared" si="81"/>
        <v>5180345</v>
      </c>
      <c r="L1720" s="52" t="s">
        <v>164</v>
      </c>
      <c r="M1720" s="849" t="s">
        <v>162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IF(OR(TH!L1720=TH!$U$7,M1720=TH!$U$7),"x","")</f>
        <v/>
      </c>
      <c r="V1720" s="52" t="str">
        <f>IF(AND(B1720&gt;='IN-NX'!$P$3,B1720&lt;='IN-NX'!$Q$3,'IN-NX'!$D$7=D1720,OR(LEFT(L1720,2)="15",AND(LEFT(M1720,2)&lt;&gt;"15",LEFT(M1720,2)&lt;&gt;"33"))),"x","")</f>
        <v/>
      </c>
      <c r="W1720" s="52" t="str">
        <f>IF(AND(OR(LEFT(TH!L1720,2)="15",LEFT(TH!M1720,2)="15"),'152-CT'!$J$8=TH!F1720),"x","")</f>
        <v/>
      </c>
      <c r="X1720" s="52" t="str">
        <f>IF(AND(OR(LEFT(TH!L1720,2)="15",LEFT(TH!M1720,2)="15"),TK!$E$7=TH!F1720),"x","")</f>
        <v/>
      </c>
      <c r="Y1720" s="52" t="str">
        <f>IF(AND(B1720&lt;=NKC!$N$8,B1720&gt;=NKC!$M$8),"x","")</f>
        <v/>
      </c>
    </row>
    <row r="1721" spans="1:25" s="767" customFormat="1" ht="15.75" customHeight="1">
      <c r="A1721" s="201" t="str">
        <f>IF(B1721&lt;&gt;"",IF(AND(B1721&gt;=_TM1,B1721&lt;=_TM2,OR(TH!L1721="1111",TH!M1721="1111")),TH!D1721,""),"")</f>
        <v/>
      </c>
      <c r="B1721" s="692">
        <f t="shared" si="82"/>
        <v>11</v>
      </c>
      <c r="C1721" s="791">
        <f t="shared" si="79"/>
        <v>41606</v>
      </c>
      <c r="D1721" s="791" t="s">
        <v>1261</v>
      </c>
      <c r="E1721" s="806">
        <v>41606</v>
      </c>
      <c r="F1721" s="49" t="s">
        <v>805</v>
      </c>
      <c r="G1721" s="49" t="s">
        <v>993</v>
      </c>
      <c r="H1721" s="795" t="s">
        <v>1257</v>
      </c>
      <c r="I1721" s="248">
        <v>500</v>
      </c>
      <c r="J1721" s="248">
        <v>9994.5041920926924</v>
      </c>
      <c r="K1721" s="693">
        <f t="shared" si="81"/>
        <v>4997252</v>
      </c>
      <c r="L1721" s="52" t="s">
        <v>164</v>
      </c>
      <c r="M1721" s="849" t="s">
        <v>162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IF(OR(TH!L1721=TH!$U$7,M1721=TH!$U$7),"x","")</f>
        <v/>
      </c>
      <c r="V1721" s="52" t="str">
        <f>IF(AND(B1721&gt;='IN-NX'!$P$3,B1721&lt;='IN-NX'!$Q$3,'IN-NX'!$D$7=D1721,OR(LEFT(L1721,2)="15",AND(LEFT(M1721,2)&lt;&gt;"15",LEFT(M1721,2)&lt;&gt;"33"))),"x","")</f>
        <v/>
      </c>
      <c r="W1721" s="52" t="str">
        <f>IF(AND(OR(LEFT(TH!L1721,2)="15",LEFT(TH!M1721,2)="15"),'152-CT'!$J$8=TH!F1721),"x","")</f>
        <v/>
      </c>
      <c r="X1721" s="52" t="str">
        <f>IF(AND(OR(LEFT(TH!L1721,2)="15",LEFT(TH!M1721,2)="15"),TK!$E$7=TH!F1721),"x","")</f>
        <v/>
      </c>
      <c r="Y1721" s="52" t="str">
        <f>IF(AND(B1721&lt;=NKC!$N$8,B1721&gt;=NKC!$M$8),"x","")</f>
        <v/>
      </c>
    </row>
    <row r="1722" spans="1:25" s="767" customFormat="1" ht="15.75" customHeight="1">
      <c r="A1722" s="201" t="str">
        <f>IF(B1722&lt;&gt;"",IF(AND(B1722&gt;=_TM1,B1722&lt;=_TM2,OR(TH!L1722="1111",TH!M1722="1111")),TH!D1722,""),"")</f>
        <v/>
      </c>
      <c r="B1722" s="692">
        <f t="shared" si="82"/>
        <v>11</v>
      </c>
      <c r="C1722" s="791">
        <f t="shared" si="79"/>
        <v>41606</v>
      </c>
      <c r="D1722" s="791" t="s">
        <v>1261</v>
      </c>
      <c r="E1722" s="806">
        <v>41606</v>
      </c>
      <c r="F1722" s="867" t="s">
        <v>708</v>
      </c>
      <c r="G1722" s="49" t="s">
        <v>993</v>
      </c>
      <c r="H1722" s="795" t="s">
        <v>1257</v>
      </c>
      <c r="I1722" s="248">
        <v>500</v>
      </c>
      <c r="J1722" s="248">
        <v>6518.7401920926923</v>
      </c>
      <c r="K1722" s="693">
        <f t="shared" si="81"/>
        <v>3259370</v>
      </c>
      <c r="L1722" s="52" t="s">
        <v>164</v>
      </c>
      <c r="M1722" s="849" t="s">
        <v>162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IF(OR(TH!L1722=TH!$U$7,M1722=TH!$U$7),"x","")</f>
        <v/>
      </c>
      <c r="V1722" s="52" t="str">
        <f>IF(AND(B1722&gt;='IN-NX'!$P$3,B1722&lt;='IN-NX'!$Q$3,'IN-NX'!$D$7=D1722,OR(LEFT(L1722,2)="15",AND(LEFT(M1722,2)&lt;&gt;"15",LEFT(M1722,2)&lt;&gt;"33"))),"x","")</f>
        <v/>
      </c>
      <c r="W1722" s="52" t="str">
        <f>IF(AND(OR(LEFT(TH!L1722,2)="15",LEFT(TH!M1722,2)="15"),'152-CT'!$J$8=TH!F1722),"x","")</f>
        <v/>
      </c>
      <c r="X1722" s="52" t="str">
        <f>IF(AND(OR(LEFT(TH!L1722,2)="15",LEFT(TH!M1722,2)="15"),TK!$E$7=TH!F1722),"x","")</f>
        <v/>
      </c>
      <c r="Y1722" s="52" t="str">
        <f>IF(AND(B1722&lt;=NKC!$N$8,B1722&gt;=NKC!$M$8),"x","")</f>
        <v/>
      </c>
    </row>
    <row r="1723" spans="1:25" s="767" customFormat="1" ht="15.75" customHeight="1">
      <c r="A1723" s="201" t="str">
        <f>IF(B1723&lt;&gt;"",IF(AND(B1723&gt;=_TM1,B1723&lt;=_TM2,OR(TH!L1723="1111",TH!M1723="1111")),TH!D1723,""),"")</f>
        <v/>
      </c>
      <c r="B1723" s="692">
        <f t="shared" si="82"/>
        <v>11</v>
      </c>
      <c r="C1723" s="791">
        <f t="shared" si="79"/>
        <v>41606</v>
      </c>
      <c r="D1723" s="791" t="s">
        <v>1261</v>
      </c>
      <c r="E1723" s="48">
        <v>41606</v>
      </c>
      <c r="F1723" s="49" t="s">
        <v>814</v>
      </c>
      <c r="G1723" s="49" t="s">
        <v>627</v>
      </c>
      <c r="H1723" s="795" t="s">
        <v>1257</v>
      </c>
      <c r="I1723" s="248">
        <v>220</v>
      </c>
      <c r="J1723" s="248">
        <v>18398.035646638145</v>
      </c>
      <c r="K1723" s="693">
        <f t="shared" si="81"/>
        <v>4047568</v>
      </c>
      <c r="L1723" s="52" t="s">
        <v>164</v>
      </c>
      <c r="M1723" s="849" t="s">
        <v>162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IF(OR(TH!L1723=TH!$U$7,M1723=TH!$U$7),"x","")</f>
        <v/>
      </c>
      <c r="V1723" s="52" t="str">
        <f>IF(AND(B1723&gt;='IN-NX'!$P$3,B1723&lt;='IN-NX'!$Q$3,'IN-NX'!$D$7=D1723,OR(LEFT(L1723,2)="15",AND(LEFT(M1723,2)&lt;&gt;"15",LEFT(M1723,2)&lt;&gt;"33"))),"x","")</f>
        <v/>
      </c>
      <c r="W1723" s="52" t="str">
        <f>IF(AND(OR(LEFT(TH!L1723,2)="15",LEFT(TH!M1723,2)="15"),'152-CT'!$J$8=TH!F1723),"x","")</f>
        <v/>
      </c>
      <c r="X1723" s="52" t="str">
        <f>IF(AND(OR(LEFT(TH!L1723,2)="15",LEFT(TH!M1723,2)="15"),TK!$E$7=TH!F1723),"x","")</f>
        <v/>
      </c>
      <c r="Y1723" s="52" t="str">
        <f>IF(AND(B1723&lt;=NKC!$N$8,B1723&gt;=NKC!$M$8),"x","")</f>
        <v/>
      </c>
    </row>
    <row r="1724" spans="1:25" s="767" customFormat="1" ht="15.75" customHeight="1">
      <c r="A1724" s="201" t="str">
        <f>IF(B1724&lt;&gt;"",IF(AND(B1724&gt;=_TM1,B1724&lt;=_TM2,OR(TH!L1724="1111",TH!M1724="1111")),TH!D1724,""),"")</f>
        <v/>
      </c>
      <c r="B1724" s="692">
        <f t="shared" si="82"/>
        <v>11</v>
      </c>
      <c r="C1724" s="791">
        <f t="shared" ref="C1724:C1787" si="83">E1724</f>
        <v>41608</v>
      </c>
      <c r="D1724" s="791" t="s">
        <v>1261</v>
      </c>
      <c r="E1724" s="48">
        <v>41608</v>
      </c>
      <c r="F1724" s="49" t="s">
        <v>977</v>
      </c>
      <c r="G1724" s="49" t="s">
        <v>994</v>
      </c>
      <c r="H1724" s="795" t="s">
        <v>1257</v>
      </c>
      <c r="I1724" s="248">
        <v>200</v>
      </c>
      <c r="J1724" s="248">
        <v>12655.490192092691</v>
      </c>
      <c r="K1724" s="693">
        <f t="shared" si="81"/>
        <v>2531098</v>
      </c>
      <c r="L1724" s="52" t="s">
        <v>164</v>
      </c>
      <c r="M1724" s="849" t="s">
        <v>162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IF(OR(TH!L1724=TH!$U$7,M1724=TH!$U$7),"x","")</f>
        <v/>
      </c>
      <c r="V1724" s="52" t="str">
        <f>IF(AND(B1724&gt;='IN-NX'!$P$3,B1724&lt;='IN-NX'!$Q$3,'IN-NX'!$D$7=D1724,OR(LEFT(L1724,2)="15",AND(LEFT(M1724,2)&lt;&gt;"15",LEFT(M1724,2)&lt;&gt;"33"))),"x","")</f>
        <v/>
      </c>
      <c r="W1724" s="52" t="str">
        <f>IF(AND(OR(LEFT(TH!L1724,2)="15",LEFT(TH!M1724,2)="15"),'152-CT'!$J$8=TH!F1724),"x","")</f>
        <v/>
      </c>
      <c r="X1724" s="52" t="str">
        <f>IF(AND(OR(LEFT(TH!L1724,2)="15",LEFT(TH!M1724,2)="15"),TK!$E$7=TH!F1724),"x","")</f>
        <v/>
      </c>
      <c r="Y1724" s="52" t="str">
        <f>IF(AND(B1724&lt;=NKC!$N$8,B1724&gt;=NKC!$M$8),"x","")</f>
        <v/>
      </c>
    </row>
    <row r="1725" spans="1:25" s="767" customFormat="1" ht="15.75" customHeight="1">
      <c r="A1725" s="201" t="str">
        <f>IF(B1725&lt;&gt;"",IF(AND(B1725&gt;=_TM1,B1725&lt;=_TM2,OR(TH!L1725="1111",TH!M1725="1111")),TH!D1725,""),"")</f>
        <v/>
      </c>
      <c r="B1725" s="692">
        <f t="shared" si="82"/>
        <v>11</v>
      </c>
      <c r="C1725" s="791">
        <f t="shared" si="83"/>
        <v>41608</v>
      </c>
      <c r="D1725" s="791" t="s">
        <v>1261</v>
      </c>
      <c r="E1725" s="847">
        <v>41608</v>
      </c>
      <c r="F1725" s="867" t="s">
        <v>976</v>
      </c>
      <c r="G1725" s="868" t="s">
        <v>994</v>
      </c>
      <c r="H1725" s="795" t="s">
        <v>1257</v>
      </c>
      <c r="I1725" s="248">
        <v>150</v>
      </c>
      <c r="J1725" s="248">
        <v>13549.490192092693</v>
      </c>
      <c r="K1725" s="693">
        <f t="shared" si="81"/>
        <v>2032424</v>
      </c>
      <c r="L1725" s="52" t="s">
        <v>164</v>
      </c>
      <c r="M1725" s="849" t="s">
        <v>162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IF(OR(TH!L1725=TH!$U$7,M1725=TH!$U$7),"x","")</f>
        <v/>
      </c>
      <c r="V1725" s="52" t="str">
        <f>IF(AND(B1725&gt;='IN-NX'!$P$3,B1725&lt;='IN-NX'!$Q$3,'IN-NX'!$D$7=D1725,OR(LEFT(L1725,2)="15",AND(LEFT(M1725,2)&lt;&gt;"15",LEFT(M1725,2)&lt;&gt;"33"))),"x","")</f>
        <v/>
      </c>
      <c r="W1725" s="52" t="str">
        <f>IF(AND(OR(LEFT(TH!L1725,2)="15",LEFT(TH!M1725,2)="15"),'152-CT'!$J$8=TH!F1725),"x","")</f>
        <v/>
      </c>
      <c r="X1725" s="52" t="str">
        <f>IF(AND(OR(LEFT(TH!L1725,2)="15",LEFT(TH!M1725,2)="15"),TK!$E$7=TH!F1725),"x","")</f>
        <v/>
      </c>
      <c r="Y1725" s="52" t="str">
        <f>IF(AND(B1725&lt;=NKC!$N$8,B1725&gt;=NKC!$M$8),"x","")</f>
        <v/>
      </c>
    </row>
    <row r="1726" spans="1:25" s="767" customFormat="1" ht="15.75" customHeight="1">
      <c r="A1726" s="201" t="str">
        <f>IF(B1726&lt;&gt;"",IF(AND(B1726&gt;=_TM1,B1726&lt;=_TM2,OR(TH!L1726="1111",TH!M1726="1111")),TH!D1726,""),"")</f>
        <v/>
      </c>
      <c r="B1726" s="692">
        <f t="shared" si="82"/>
        <v>11</v>
      </c>
      <c r="C1726" s="791">
        <f t="shared" si="83"/>
        <v>41608</v>
      </c>
      <c r="D1726" s="791" t="s">
        <v>1261</v>
      </c>
      <c r="E1726" s="791">
        <v>41608</v>
      </c>
      <c r="F1726" s="848" t="s">
        <v>973</v>
      </c>
      <c r="G1726" s="792" t="s">
        <v>994</v>
      </c>
      <c r="H1726" s="795" t="s">
        <v>1257</v>
      </c>
      <c r="I1726" s="248">
        <v>100</v>
      </c>
      <c r="J1726" s="248">
        <v>8923.4901920926914</v>
      </c>
      <c r="K1726" s="693">
        <f t="shared" si="81"/>
        <v>892349</v>
      </c>
      <c r="L1726" s="52" t="s">
        <v>164</v>
      </c>
      <c r="M1726" s="849" t="s">
        <v>162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IF(OR(TH!L1726=TH!$U$7,M1726=TH!$U$7),"x","")</f>
        <v/>
      </c>
      <c r="V1726" s="52" t="str">
        <f>IF(AND(B1726&gt;='IN-NX'!$P$3,B1726&lt;='IN-NX'!$Q$3,'IN-NX'!$D$7=D1726,OR(LEFT(L1726,2)="15",AND(LEFT(M1726,2)&lt;&gt;"15",LEFT(M1726,2)&lt;&gt;"33"))),"x","")</f>
        <v/>
      </c>
      <c r="W1726" s="52" t="str">
        <f>IF(AND(OR(LEFT(TH!L1726,2)="15",LEFT(TH!M1726,2)="15"),'152-CT'!$J$8=TH!F1726),"x","")</f>
        <v/>
      </c>
      <c r="X1726" s="52" t="str">
        <f>IF(AND(OR(LEFT(TH!L1726,2)="15",LEFT(TH!M1726,2)="15"),TK!$E$7=TH!F1726),"x","")</f>
        <v/>
      </c>
      <c r="Y1726" s="52" t="str">
        <f>IF(AND(B1726&lt;=NKC!$N$8,B1726&gt;=NKC!$M$8),"x","")</f>
        <v/>
      </c>
    </row>
    <row r="1727" spans="1:25" s="767" customFormat="1" ht="15.75" customHeight="1">
      <c r="A1727" s="201" t="str">
        <f>IF(B1727&lt;&gt;"",IF(AND(B1727&gt;=_TM1,B1727&lt;=_TM2,OR(TH!L1727="1111",TH!M1727="1111")),TH!D1727,""),"")</f>
        <v/>
      </c>
      <c r="B1727" s="692">
        <f t="shared" si="82"/>
        <v>11</v>
      </c>
      <c r="C1727" s="791">
        <f t="shared" si="83"/>
        <v>41608</v>
      </c>
      <c r="D1727" s="791" t="s">
        <v>1261</v>
      </c>
      <c r="E1727" s="791">
        <v>41608</v>
      </c>
      <c r="F1727" s="848" t="s">
        <v>995</v>
      </c>
      <c r="G1727" s="792" t="s">
        <v>996</v>
      </c>
      <c r="H1727" s="795" t="s">
        <v>1257</v>
      </c>
      <c r="I1727" s="248">
        <v>1236</v>
      </c>
      <c r="J1727" s="248">
        <v>16943.49019209269</v>
      </c>
      <c r="K1727" s="693">
        <f t="shared" si="81"/>
        <v>20942154</v>
      </c>
      <c r="L1727" s="52" t="s">
        <v>164</v>
      </c>
      <c r="M1727" s="849" t="s">
        <v>162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IF(OR(TH!L1727=TH!$U$7,M1727=TH!$U$7),"x","")</f>
        <v/>
      </c>
      <c r="V1727" s="52" t="str">
        <f>IF(AND(B1727&gt;='IN-NX'!$P$3,B1727&lt;='IN-NX'!$Q$3,'IN-NX'!$D$7=D1727,OR(LEFT(L1727,2)="15",AND(LEFT(M1727,2)&lt;&gt;"15",LEFT(M1727,2)&lt;&gt;"33"))),"x","")</f>
        <v/>
      </c>
      <c r="W1727" s="52" t="str">
        <f>IF(AND(OR(LEFT(TH!L1727,2)="15",LEFT(TH!M1727,2)="15"),'152-CT'!$J$8=TH!F1727),"x","")</f>
        <v/>
      </c>
      <c r="X1727" s="52" t="str">
        <f>IF(AND(OR(LEFT(TH!L1727,2)="15",LEFT(TH!M1727,2)="15"),TK!$E$7=TH!F1727),"x","")</f>
        <v/>
      </c>
      <c r="Y1727" s="52" t="str">
        <f>IF(AND(B1727&lt;=NKC!$N$8,B1727&gt;=NKC!$M$8),"x","")</f>
        <v/>
      </c>
    </row>
    <row r="1728" spans="1:25" s="767" customFormat="1" ht="15.75" customHeight="1">
      <c r="A1728" s="201" t="str">
        <f>IF(B1728&lt;&gt;"",IF(AND(B1728&gt;=_TM1,B1728&lt;=_TM2,OR(TH!L1728="1111",TH!M1728="1111")),TH!D1728,""),"")</f>
        <v/>
      </c>
      <c r="B1728" s="692">
        <f t="shared" si="82"/>
        <v>12</v>
      </c>
      <c r="C1728" s="791">
        <f t="shared" si="83"/>
        <v>41612</v>
      </c>
      <c r="D1728" s="791" t="s">
        <v>1261</v>
      </c>
      <c r="E1728" s="791">
        <v>41612</v>
      </c>
      <c r="F1728" s="848" t="s">
        <v>805</v>
      </c>
      <c r="G1728" s="792" t="s">
        <v>997</v>
      </c>
      <c r="H1728" s="795" t="s">
        <v>1257</v>
      </c>
      <c r="I1728" s="248">
        <v>500</v>
      </c>
      <c r="J1728" s="248">
        <v>9589.0101920926918</v>
      </c>
      <c r="K1728" s="693">
        <f t="shared" si="81"/>
        <v>4794505</v>
      </c>
      <c r="L1728" s="52" t="s">
        <v>164</v>
      </c>
      <c r="M1728" s="849" t="s">
        <v>162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IF(OR(TH!L1728=TH!$U$7,M1728=TH!$U$7),"x","")</f>
        <v/>
      </c>
      <c r="V1728" s="52" t="str">
        <f>IF(AND(B1728&gt;='IN-NX'!$P$3,B1728&lt;='IN-NX'!$Q$3,'IN-NX'!$D$7=D1728,OR(LEFT(L1728,2)="15",AND(LEFT(M1728,2)&lt;&gt;"15",LEFT(M1728,2)&lt;&gt;"33"))),"x","")</f>
        <v/>
      </c>
      <c r="W1728" s="52" t="str">
        <f>IF(AND(OR(LEFT(TH!L1728,2)="15",LEFT(TH!M1728,2)="15"),'152-CT'!$J$8=TH!F1728),"x","")</f>
        <v/>
      </c>
      <c r="X1728" s="52" t="str">
        <f>IF(AND(OR(LEFT(TH!L1728,2)="15",LEFT(TH!M1728,2)="15"),TK!$E$7=TH!F1728),"x","")</f>
        <v/>
      </c>
      <c r="Y1728" s="52" t="str">
        <f>IF(AND(B1728&lt;=NKC!$N$8,B1728&gt;=NKC!$M$8),"x","")</f>
        <v/>
      </c>
    </row>
    <row r="1729" spans="1:25" s="767" customFormat="1" ht="15.75" customHeight="1">
      <c r="A1729" s="201" t="str">
        <f>IF(B1729&lt;&gt;"",IF(AND(B1729&gt;=_TM1,B1729&lt;=_TM2,OR(TH!L1729="1111",TH!M1729="1111")),TH!D1729,""),"")</f>
        <v/>
      </c>
      <c r="B1729" s="692">
        <f t="shared" si="82"/>
        <v>12</v>
      </c>
      <c r="C1729" s="791">
        <f t="shared" si="83"/>
        <v>41612</v>
      </c>
      <c r="D1729" s="791" t="s">
        <v>1261</v>
      </c>
      <c r="E1729" s="791">
        <v>41612</v>
      </c>
      <c r="F1729" s="848" t="s">
        <v>805</v>
      </c>
      <c r="G1729" s="792" t="s">
        <v>997</v>
      </c>
      <c r="H1729" s="795" t="s">
        <v>1257</v>
      </c>
      <c r="I1729" s="248">
        <v>500</v>
      </c>
      <c r="J1729" s="248">
        <v>9294.7401920926932</v>
      </c>
      <c r="K1729" s="693">
        <f t="shared" si="81"/>
        <v>4647370</v>
      </c>
      <c r="L1729" s="52" t="s">
        <v>164</v>
      </c>
      <c r="M1729" s="849" t="s">
        <v>162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IF(OR(TH!L1729=TH!$U$7,M1729=TH!$U$7),"x","")</f>
        <v/>
      </c>
      <c r="V1729" s="52" t="str">
        <f>IF(AND(B1729&gt;='IN-NX'!$P$3,B1729&lt;='IN-NX'!$Q$3,'IN-NX'!$D$7=D1729,OR(LEFT(L1729,2)="15",AND(LEFT(M1729,2)&lt;&gt;"15",LEFT(M1729,2)&lt;&gt;"33"))),"x","")</f>
        <v/>
      </c>
      <c r="W1729" s="52" t="str">
        <f>IF(AND(OR(LEFT(TH!L1729,2)="15",LEFT(TH!M1729,2)="15"),'152-CT'!$J$8=TH!F1729),"x","")</f>
        <v/>
      </c>
      <c r="X1729" s="52" t="str">
        <f>IF(AND(OR(LEFT(TH!L1729,2)="15",LEFT(TH!M1729,2)="15"),TK!$E$7=TH!F1729),"x","")</f>
        <v/>
      </c>
      <c r="Y1729" s="52" t="str">
        <f>IF(AND(B1729&lt;=NKC!$N$8,B1729&gt;=NKC!$M$8),"x","")</f>
        <v/>
      </c>
    </row>
    <row r="1730" spans="1:25" s="767" customFormat="1" ht="15.75" customHeight="1">
      <c r="A1730" s="201" t="str">
        <f>IF(B1730&lt;&gt;"",IF(AND(B1730&gt;=_TM1,B1730&lt;=_TM2,OR(TH!L1730="1111",TH!M1730="1111")),TH!D1730,""),"")</f>
        <v/>
      </c>
      <c r="B1730" s="692">
        <f t="shared" si="82"/>
        <v>12</v>
      </c>
      <c r="C1730" s="791">
        <f t="shared" si="83"/>
        <v>41613</v>
      </c>
      <c r="D1730" s="791" t="s">
        <v>1261</v>
      </c>
      <c r="E1730" s="791">
        <v>41613</v>
      </c>
      <c r="F1730" s="848" t="s">
        <v>852</v>
      </c>
      <c r="G1730" s="792" t="s">
        <v>998</v>
      </c>
      <c r="H1730" s="795" t="s">
        <v>1257</v>
      </c>
      <c r="I1730" s="248">
        <v>202</v>
      </c>
      <c r="J1730" s="248">
        <v>7803.8862316966515</v>
      </c>
      <c r="K1730" s="693">
        <f t="shared" si="81"/>
        <v>1576385</v>
      </c>
      <c r="L1730" s="52" t="s">
        <v>164</v>
      </c>
      <c r="M1730" s="849" t="s">
        <v>162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IF(OR(TH!L1730=TH!$U$7,M1730=TH!$U$7),"x","")</f>
        <v/>
      </c>
      <c r="V1730" s="52" t="str">
        <f>IF(AND(B1730&gt;='IN-NX'!$P$3,B1730&lt;='IN-NX'!$Q$3,'IN-NX'!$D$7=D1730,OR(LEFT(L1730,2)="15",AND(LEFT(M1730,2)&lt;&gt;"15",LEFT(M1730,2)&lt;&gt;"33"))),"x","")</f>
        <v/>
      </c>
      <c r="W1730" s="52" t="str">
        <f>IF(AND(OR(LEFT(TH!L1730,2)="15",LEFT(TH!M1730,2)="15"),'152-CT'!$J$8=TH!F1730),"x","")</f>
        <v/>
      </c>
      <c r="X1730" s="52" t="str">
        <f>IF(AND(OR(LEFT(TH!L1730,2)="15",LEFT(TH!M1730,2)="15"),TK!$E$7=TH!F1730),"x","")</f>
        <v/>
      </c>
      <c r="Y1730" s="52" t="str">
        <f>IF(AND(B1730&lt;=NKC!$N$8,B1730&gt;=NKC!$M$8),"x","")</f>
        <v/>
      </c>
    </row>
    <row r="1731" spans="1:25" s="767" customFormat="1" ht="15.75" customHeight="1">
      <c r="A1731" s="201" t="str">
        <f>IF(B1731&lt;&gt;"",IF(AND(B1731&gt;=_TM1,B1731&lt;=_TM2,OR(TH!L1731="1111",TH!M1731="1111")),TH!D1731,""),"")</f>
        <v/>
      </c>
      <c r="B1731" s="692">
        <f t="shared" si="82"/>
        <v>12</v>
      </c>
      <c r="C1731" s="791">
        <f t="shared" si="83"/>
        <v>41613</v>
      </c>
      <c r="D1731" s="791" t="s">
        <v>1261</v>
      </c>
      <c r="E1731" s="791">
        <v>41613</v>
      </c>
      <c r="F1731" s="848" t="s">
        <v>810</v>
      </c>
      <c r="G1731" s="792" t="s">
        <v>998</v>
      </c>
      <c r="H1731" s="795" t="s">
        <v>1257</v>
      </c>
      <c r="I1731" s="248">
        <v>85</v>
      </c>
      <c r="J1731" s="248">
        <v>10186.431368563282</v>
      </c>
      <c r="K1731" s="693">
        <f t="shared" si="81"/>
        <v>865847</v>
      </c>
      <c r="L1731" s="52" t="s">
        <v>164</v>
      </c>
      <c r="M1731" s="849" t="s">
        <v>162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IF(OR(TH!L1731=TH!$U$7,M1731=TH!$U$7),"x","")</f>
        <v/>
      </c>
      <c r="V1731" s="52" t="str">
        <f>IF(AND(B1731&gt;='IN-NX'!$P$3,B1731&lt;='IN-NX'!$Q$3,'IN-NX'!$D$7=D1731,OR(LEFT(L1731,2)="15",AND(LEFT(M1731,2)&lt;&gt;"15",LEFT(M1731,2)&lt;&gt;"33"))),"x","")</f>
        <v/>
      </c>
      <c r="W1731" s="52" t="str">
        <f>IF(AND(OR(LEFT(TH!L1731,2)="15",LEFT(TH!M1731,2)="15"),'152-CT'!$J$8=TH!F1731),"x","")</f>
        <v/>
      </c>
      <c r="X1731" s="52" t="str">
        <f>IF(AND(OR(LEFT(TH!L1731,2)="15",LEFT(TH!M1731,2)="15"),TK!$E$7=TH!F1731),"x","")</f>
        <v/>
      </c>
      <c r="Y1731" s="52" t="str">
        <f>IF(AND(B1731&lt;=NKC!$N$8,B1731&gt;=NKC!$M$8),"x","")</f>
        <v/>
      </c>
    </row>
    <row r="1732" spans="1:25" s="767" customFormat="1" ht="15.75" customHeight="1">
      <c r="A1732" s="201" t="str">
        <f>IF(B1732&lt;&gt;"",IF(AND(B1732&gt;=_TM1,B1732&lt;=_TM2,OR(TH!L1732="1111",TH!M1732="1111")),TH!D1732,""),"")</f>
        <v/>
      </c>
      <c r="B1732" s="692">
        <f t="shared" si="82"/>
        <v>12</v>
      </c>
      <c r="C1732" s="791">
        <f t="shared" si="83"/>
        <v>41615</v>
      </c>
      <c r="D1732" s="791" t="s">
        <v>1261</v>
      </c>
      <c r="E1732" s="791">
        <v>41615</v>
      </c>
      <c r="F1732" s="848" t="s">
        <v>1116</v>
      </c>
      <c r="G1732" s="792" t="s">
        <v>629</v>
      </c>
      <c r="H1732" s="795" t="s">
        <v>1257</v>
      </c>
      <c r="I1732" s="248">
        <v>2700</v>
      </c>
      <c r="J1732" s="248">
        <v>4107.8987106112108</v>
      </c>
      <c r="K1732" s="693">
        <f t="shared" si="81"/>
        <v>11091327</v>
      </c>
      <c r="L1732" s="52" t="s">
        <v>164</v>
      </c>
      <c r="M1732" s="849" t="s">
        <v>162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IF(OR(TH!L1732=TH!$U$7,M1732=TH!$U$7),"x","")</f>
        <v/>
      </c>
      <c r="V1732" s="52" t="str">
        <f>IF(AND(B1732&gt;='IN-NX'!$P$3,B1732&lt;='IN-NX'!$Q$3,'IN-NX'!$D$7=D1732,OR(LEFT(L1732,2)="15",AND(LEFT(M1732,2)&lt;&gt;"15",LEFT(M1732,2)&lt;&gt;"33"))),"x","")</f>
        <v/>
      </c>
      <c r="W1732" s="52" t="str">
        <f>IF(AND(OR(LEFT(TH!L1732,2)="15",LEFT(TH!M1732,2)="15"),'152-CT'!$J$8=TH!F1732),"x","")</f>
        <v/>
      </c>
      <c r="X1732" s="52" t="str">
        <f>IF(AND(OR(LEFT(TH!L1732,2)="15",LEFT(TH!M1732,2)="15"),TK!$E$7=TH!F1732),"x","")</f>
        <v/>
      </c>
      <c r="Y1732" s="52" t="str">
        <f>IF(AND(B1732&lt;=NKC!$N$8,B1732&gt;=NKC!$M$8),"x","")</f>
        <v/>
      </c>
    </row>
    <row r="1733" spans="1:25" s="767" customFormat="1" ht="15.75" customHeight="1">
      <c r="A1733" s="201" t="str">
        <f>IF(B1733&lt;&gt;"",IF(AND(B1733&gt;=_TM1,B1733&lt;=_TM2,OR(TH!L1733="1111",TH!M1733="1111")),TH!D1733,""),"")</f>
        <v/>
      </c>
      <c r="B1733" s="692">
        <f t="shared" si="82"/>
        <v>12</v>
      </c>
      <c r="C1733" s="791">
        <f t="shared" si="83"/>
        <v>41620</v>
      </c>
      <c r="D1733" s="791" t="s">
        <v>1261</v>
      </c>
      <c r="E1733" s="791">
        <v>41620</v>
      </c>
      <c r="F1733" s="848" t="s">
        <v>1108</v>
      </c>
      <c r="G1733" s="792" t="s">
        <v>999</v>
      </c>
      <c r="H1733" s="795" t="s">
        <v>1257</v>
      </c>
      <c r="I1733" s="248">
        <v>1055</v>
      </c>
      <c r="J1733" s="248">
        <v>4265.8010925666258</v>
      </c>
      <c r="K1733" s="693">
        <f t="shared" si="81"/>
        <v>4500420</v>
      </c>
      <c r="L1733" s="52" t="s">
        <v>164</v>
      </c>
      <c r="M1733" s="849" t="s">
        <v>162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IF(OR(TH!L1733=TH!$U$7,M1733=TH!$U$7),"x","")</f>
        <v/>
      </c>
      <c r="V1733" s="52" t="str">
        <f>IF(AND(B1733&gt;='IN-NX'!$P$3,B1733&lt;='IN-NX'!$Q$3,'IN-NX'!$D$7=D1733,OR(LEFT(L1733,2)="15",AND(LEFT(M1733,2)&lt;&gt;"15",LEFT(M1733,2)&lt;&gt;"33"))),"x","")</f>
        <v/>
      </c>
      <c r="W1733" s="52" t="str">
        <f>IF(AND(OR(LEFT(TH!L1733,2)="15",LEFT(TH!M1733,2)="15"),'152-CT'!$J$8=TH!F1733),"x","")</f>
        <v/>
      </c>
      <c r="X1733" s="52" t="str">
        <f>IF(AND(OR(LEFT(TH!L1733,2)="15",LEFT(TH!M1733,2)="15"),TK!$E$7=TH!F1733),"x","")</f>
        <v/>
      </c>
      <c r="Y1733" s="52" t="str">
        <f>IF(AND(B1733&lt;=NKC!$N$8,B1733&gt;=NKC!$M$8),"x","")</f>
        <v/>
      </c>
    </row>
    <row r="1734" spans="1:25" s="767" customFormat="1" ht="15.75" customHeight="1">
      <c r="A1734" s="201" t="str">
        <f>IF(B1734&lt;&gt;"",IF(AND(B1734&gt;=_TM1,B1734&lt;=_TM2,OR(TH!L1734="1111",TH!M1734="1111")),TH!D1734,""),"")</f>
        <v/>
      </c>
      <c r="B1734" s="692">
        <f t="shared" si="82"/>
        <v>12</v>
      </c>
      <c r="C1734" s="791">
        <f t="shared" si="83"/>
        <v>41622</v>
      </c>
      <c r="D1734" s="791" t="s">
        <v>1261</v>
      </c>
      <c r="E1734" s="791">
        <v>41622</v>
      </c>
      <c r="F1734" s="848" t="s">
        <v>1118</v>
      </c>
      <c r="G1734" s="792" t="s">
        <v>1000</v>
      </c>
      <c r="H1734" s="795" t="s">
        <v>1257</v>
      </c>
      <c r="I1734" s="248">
        <v>2700</v>
      </c>
      <c r="J1734" s="248">
        <v>4107.8983402408403</v>
      </c>
      <c r="K1734" s="693">
        <f t="shared" si="81"/>
        <v>11091326</v>
      </c>
      <c r="L1734" s="52" t="s">
        <v>164</v>
      </c>
      <c r="M1734" s="849" t="s">
        <v>162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IF(OR(TH!L1734=TH!$U$7,M1734=TH!$U$7),"x","")</f>
        <v/>
      </c>
      <c r="V1734" s="52" t="str">
        <f>IF(AND(B1734&gt;='IN-NX'!$P$3,B1734&lt;='IN-NX'!$Q$3,'IN-NX'!$D$7=D1734,OR(LEFT(L1734,2)="15",AND(LEFT(M1734,2)&lt;&gt;"15",LEFT(M1734,2)&lt;&gt;"33"))),"x","")</f>
        <v/>
      </c>
      <c r="W1734" s="52" t="str">
        <f>IF(AND(OR(LEFT(TH!L1734,2)="15",LEFT(TH!M1734,2)="15"),'152-CT'!$J$8=TH!F1734),"x","")</f>
        <v/>
      </c>
      <c r="X1734" s="52" t="str">
        <f>IF(AND(OR(LEFT(TH!L1734,2)="15",LEFT(TH!M1734,2)="15"),TK!$E$7=TH!F1734),"x","")</f>
        <v/>
      </c>
      <c r="Y1734" s="52" t="str">
        <f>IF(AND(B1734&lt;=NKC!$N$8,B1734&gt;=NKC!$M$8),"x","")</f>
        <v/>
      </c>
    </row>
    <row r="1735" spans="1:25" s="767" customFormat="1" ht="15.75" customHeight="1">
      <c r="A1735" s="201" t="str">
        <f>IF(B1735&lt;&gt;"",IF(AND(B1735&gt;=_TM1,B1735&lt;=_TM2,OR(TH!L1735="1111",TH!M1735="1111")),TH!D1735,""),"")</f>
        <v/>
      </c>
      <c r="B1735" s="692">
        <f t="shared" si="82"/>
        <v>12</v>
      </c>
      <c r="C1735" s="791">
        <f t="shared" si="83"/>
        <v>41624</v>
      </c>
      <c r="D1735" s="791" t="s">
        <v>1261</v>
      </c>
      <c r="E1735" s="791">
        <v>41624</v>
      </c>
      <c r="F1735" s="848" t="s">
        <v>805</v>
      </c>
      <c r="G1735" s="792" t="s">
        <v>1001</v>
      </c>
      <c r="H1735" s="795" t="s">
        <v>1257</v>
      </c>
      <c r="I1735" s="248">
        <v>1030</v>
      </c>
      <c r="J1735" s="248">
        <v>10898.519318306286</v>
      </c>
      <c r="K1735" s="693">
        <f t="shared" si="81"/>
        <v>11225475</v>
      </c>
      <c r="L1735" s="52" t="s">
        <v>164</v>
      </c>
      <c r="M1735" s="849" t="s">
        <v>162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IF(OR(TH!L1735=TH!$U$7,M1735=TH!$U$7),"x","")</f>
        <v/>
      </c>
      <c r="V1735" s="52" t="str">
        <f>IF(AND(B1735&gt;='IN-NX'!$P$3,B1735&lt;='IN-NX'!$Q$3,'IN-NX'!$D$7=D1735,OR(LEFT(L1735,2)="15",AND(LEFT(M1735,2)&lt;&gt;"15",LEFT(M1735,2)&lt;&gt;"33"))),"x","")</f>
        <v/>
      </c>
      <c r="W1735" s="52" t="str">
        <f>IF(AND(OR(LEFT(TH!L1735,2)="15",LEFT(TH!M1735,2)="15"),'152-CT'!$J$8=TH!F1735),"x","")</f>
        <v/>
      </c>
      <c r="X1735" s="52" t="str">
        <f>IF(AND(OR(LEFT(TH!L1735,2)="15",LEFT(TH!M1735,2)="15"),TK!$E$7=TH!F1735),"x","")</f>
        <v/>
      </c>
      <c r="Y1735" s="52" t="str">
        <f>IF(AND(B1735&lt;=NKC!$N$8,B1735&gt;=NKC!$M$8),"x","")</f>
        <v/>
      </c>
    </row>
    <row r="1736" spans="1:25" s="767" customFormat="1" ht="15.75" customHeight="1">
      <c r="A1736" s="201" t="str">
        <f>IF(B1736&lt;&gt;"",IF(AND(B1736&gt;=_TM1,B1736&lt;=_TM2,OR(TH!L1736="1111",TH!M1736="1111")),TH!D1736,""),"")</f>
        <v/>
      </c>
      <c r="B1736" s="692">
        <f t="shared" si="82"/>
        <v>12</v>
      </c>
      <c r="C1736" s="791">
        <f t="shared" si="83"/>
        <v>41625</v>
      </c>
      <c r="D1736" s="791" t="s">
        <v>1261</v>
      </c>
      <c r="E1736" s="791">
        <v>41625</v>
      </c>
      <c r="F1736" s="848" t="s">
        <v>1118</v>
      </c>
      <c r="G1736" s="792" t="s">
        <v>1002</v>
      </c>
      <c r="H1736" s="795" t="s">
        <v>1257</v>
      </c>
      <c r="I1736" s="248">
        <v>2700</v>
      </c>
      <c r="J1736" s="248">
        <v>3610.1568587593597</v>
      </c>
      <c r="K1736" s="693">
        <f t="shared" si="81"/>
        <v>9747424</v>
      </c>
      <c r="L1736" s="52" t="s">
        <v>164</v>
      </c>
      <c r="M1736" s="849" t="s">
        <v>162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IF(OR(TH!L1736=TH!$U$7,M1736=TH!$U$7),"x","")</f>
        <v/>
      </c>
      <c r="V1736" s="52" t="str">
        <f>IF(AND(B1736&gt;='IN-NX'!$P$3,B1736&lt;='IN-NX'!$Q$3,'IN-NX'!$D$7=D1736,OR(LEFT(L1736,2)="15",AND(LEFT(M1736,2)&lt;&gt;"15",LEFT(M1736,2)&lt;&gt;"33"))),"x","")</f>
        <v/>
      </c>
      <c r="W1736" s="52" t="str">
        <f>IF(AND(OR(LEFT(TH!L1736,2)="15",LEFT(TH!M1736,2)="15"),'152-CT'!$J$8=TH!F1736),"x","")</f>
        <v/>
      </c>
      <c r="X1736" s="52" t="str">
        <f>IF(AND(OR(LEFT(TH!L1736,2)="15",LEFT(TH!M1736,2)="15"),TK!$E$7=TH!F1736),"x","")</f>
        <v/>
      </c>
      <c r="Y1736" s="52" t="str">
        <f>IF(AND(B1736&lt;=NKC!$N$8,B1736&gt;=NKC!$M$8),"x","")</f>
        <v/>
      </c>
    </row>
    <row r="1737" spans="1:25" s="767" customFormat="1" ht="15.75" customHeight="1">
      <c r="A1737" s="201" t="str">
        <f>IF(B1737&lt;&gt;"",IF(AND(B1737&gt;=_TM1,B1737&lt;=_TM2,OR(TH!L1737="1111",TH!M1737="1111")),TH!D1737,""),"")</f>
        <v/>
      </c>
      <c r="B1737" s="692">
        <f t="shared" si="82"/>
        <v>12</v>
      </c>
      <c r="C1737" s="791">
        <f t="shared" si="83"/>
        <v>41626</v>
      </c>
      <c r="D1737" s="791" t="s">
        <v>1261</v>
      </c>
      <c r="E1737" s="791">
        <v>41626</v>
      </c>
      <c r="F1737" s="848" t="s">
        <v>805</v>
      </c>
      <c r="G1737" s="792" t="s">
        <v>1003</v>
      </c>
      <c r="H1737" s="795" t="s">
        <v>1257</v>
      </c>
      <c r="I1737" s="248">
        <v>505</v>
      </c>
      <c r="J1737" s="248">
        <v>9212.0545485283365</v>
      </c>
      <c r="K1737" s="693">
        <f t="shared" si="81"/>
        <v>4652088</v>
      </c>
      <c r="L1737" s="52" t="s">
        <v>164</v>
      </c>
      <c r="M1737" s="849" t="s">
        <v>162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IF(OR(TH!L1737=TH!$U$7,M1737=TH!$U$7),"x","")</f>
        <v/>
      </c>
      <c r="V1737" s="52" t="str">
        <f>IF(AND(B1737&gt;='IN-NX'!$P$3,B1737&lt;='IN-NX'!$Q$3,'IN-NX'!$D$7=D1737,OR(LEFT(L1737,2)="15",AND(LEFT(M1737,2)&lt;&gt;"15",LEFT(M1737,2)&lt;&gt;"33"))),"x","")</f>
        <v/>
      </c>
      <c r="W1737" s="52" t="str">
        <f>IF(AND(OR(LEFT(TH!L1737,2)="15",LEFT(TH!M1737,2)="15"),'152-CT'!$J$8=TH!F1737),"x","")</f>
        <v/>
      </c>
      <c r="X1737" s="52" t="str">
        <f>IF(AND(OR(LEFT(TH!L1737,2)="15",LEFT(TH!M1737,2)="15"),TK!$E$7=TH!F1737),"x","")</f>
        <v/>
      </c>
      <c r="Y1737" s="52" t="str">
        <f>IF(AND(B1737&lt;=NKC!$N$8,B1737&gt;=NKC!$M$8),"x","")</f>
        <v/>
      </c>
    </row>
    <row r="1738" spans="1:25" s="767" customFormat="1" ht="15.75" customHeight="1">
      <c r="A1738" s="201" t="str">
        <f>IF(B1738&lt;&gt;"",IF(AND(B1738&gt;=_TM1,B1738&lt;=_TM2,OR(TH!L1738="1111",TH!M1738="1111")),TH!D1738,""),"")</f>
        <v/>
      </c>
      <c r="B1738" s="692">
        <f t="shared" si="82"/>
        <v>12</v>
      </c>
      <c r="C1738" s="791">
        <f t="shared" si="83"/>
        <v>41628</v>
      </c>
      <c r="D1738" s="791" t="s">
        <v>1261</v>
      </c>
      <c r="E1738" s="48">
        <v>41628</v>
      </c>
      <c r="F1738" s="49" t="s">
        <v>1097</v>
      </c>
      <c r="G1738" s="49" t="s">
        <v>1004</v>
      </c>
      <c r="H1738" s="795" t="s">
        <v>1257</v>
      </c>
      <c r="I1738" s="248">
        <v>259</v>
      </c>
      <c r="J1738" s="248">
        <v>7258.5481071506065</v>
      </c>
      <c r="K1738" s="693">
        <f t="shared" si="81"/>
        <v>1879964</v>
      </c>
      <c r="L1738" s="52" t="s">
        <v>164</v>
      </c>
      <c r="M1738" s="849" t="s">
        <v>162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IF(OR(TH!L1738=TH!$U$7,M1738=TH!$U$7),"x","")</f>
        <v/>
      </c>
      <c r="V1738" s="52" t="str">
        <f>IF(AND(B1738&gt;='IN-NX'!$P$3,B1738&lt;='IN-NX'!$Q$3,'IN-NX'!$D$7=D1738,OR(LEFT(L1738,2)="15",AND(LEFT(M1738,2)&lt;&gt;"15",LEFT(M1738,2)&lt;&gt;"33"))),"x","")</f>
        <v/>
      </c>
      <c r="W1738" s="52" t="str">
        <f>IF(AND(OR(LEFT(TH!L1738,2)="15",LEFT(TH!M1738,2)="15"),'152-CT'!$J$8=TH!F1738),"x","")</f>
        <v/>
      </c>
      <c r="X1738" s="52" t="str">
        <f>IF(AND(OR(LEFT(TH!L1738,2)="15",LEFT(TH!M1738,2)="15"),TK!$E$7=TH!F1738),"x","")</f>
        <v/>
      </c>
      <c r="Y1738" s="52" t="str">
        <f>IF(AND(B1738&lt;=NKC!$N$8,B1738&gt;=NKC!$M$8),"x","")</f>
        <v/>
      </c>
    </row>
    <row r="1739" spans="1:25" s="767" customFormat="1" ht="15.75" customHeight="1">
      <c r="A1739" s="201" t="str">
        <f>IF(B1739&lt;&gt;"",IF(AND(B1739&gt;=_TM1,B1739&lt;=_TM2,OR(TH!L1739="1111",TH!M1739="1111")),TH!D1739,""),"")</f>
        <v/>
      </c>
      <c r="B1739" s="692">
        <f t="shared" si="82"/>
        <v>12</v>
      </c>
      <c r="C1739" s="791">
        <f t="shared" si="83"/>
        <v>41628</v>
      </c>
      <c r="D1739" s="791" t="s">
        <v>1261</v>
      </c>
      <c r="E1739" s="48">
        <v>41628</v>
      </c>
      <c r="F1739" s="49" t="s">
        <v>1098</v>
      </c>
      <c r="G1739" s="49" t="s">
        <v>1004</v>
      </c>
      <c r="H1739" s="795" t="s">
        <v>1257</v>
      </c>
      <c r="I1739" s="248">
        <v>103</v>
      </c>
      <c r="J1739" s="248">
        <v>13836.383395976185</v>
      </c>
      <c r="K1739" s="693">
        <f t="shared" si="81"/>
        <v>1425147</v>
      </c>
      <c r="L1739" s="52" t="s">
        <v>164</v>
      </c>
      <c r="M1739" s="849" t="s">
        <v>162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IF(OR(TH!L1739=TH!$U$7,M1739=TH!$U$7),"x","")</f>
        <v/>
      </c>
      <c r="V1739" s="52" t="str">
        <f>IF(AND(B1739&gt;='IN-NX'!$P$3,B1739&lt;='IN-NX'!$Q$3,'IN-NX'!$D$7=D1739,OR(LEFT(L1739,2)="15",AND(LEFT(M1739,2)&lt;&gt;"15",LEFT(M1739,2)&lt;&gt;"33"))),"x","")</f>
        <v/>
      </c>
      <c r="W1739" s="52" t="str">
        <f>IF(AND(OR(LEFT(TH!L1739,2)="15",LEFT(TH!M1739,2)="15"),'152-CT'!$J$8=TH!F1739),"x","")</f>
        <v/>
      </c>
      <c r="X1739" s="52" t="str">
        <f>IF(AND(OR(LEFT(TH!L1739,2)="15",LEFT(TH!M1739,2)="15"),TK!$E$7=TH!F1739),"x","")</f>
        <v/>
      </c>
      <c r="Y1739" s="52" t="str">
        <f>IF(AND(B1739&lt;=NKC!$N$8,B1739&gt;=NKC!$M$8),"x","")</f>
        <v/>
      </c>
    </row>
    <row r="1740" spans="1:25" s="767" customFormat="1" ht="15.75" customHeight="1">
      <c r="A1740" s="201" t="str">
        <f>IF(B1740&lt;&gt;"",IF(AND(B1740&gt;=_TM1,B1740&lt;=_TM2,OR(TH!L1740="1111",TH!M1740="1111")),TH!D1740,""),"")</f>
        <v/>
      </c>
      <c r="B1740" s="692">
        <f t="shared" si="82"/>
        <v>12</v>
      </c>
      <c r="C1740" s="791">
        <f t="shared" si="83"/>
        <v>41628</v>
      </c>
      <c r="D1740" s="791" t="s">
        <v>1261</v>
      </c>
      <c r="E1740" s="48">
        <v>41628</v>
      </c>
      <c r="F1740" s="49" t="s">
        <v>1099</v>
      </c>
      <c r="G1740" s="49" t="s">
        <v>1004</v>
      </c>
      <c r="H1740" s="795" t="s">
        <v>1257</v>
      </c>
      <c r="I1740" s="248">
        <v>283</v>
      </c>
      <c r="J1740" s="248">
        <v>9328.4901920926914</v>
      </c>
      <c r="K1740" s="693">
        <f t="shared" ref="K1740:K1753" si="84">ROUND(I1740*J1740,0)</f>
        <v>2639963</v>
      </c>
      <c r="L1740" s="52" t="s">
        <v>164</v>
      </c>
      <c r="M1740" s="849" t="s">
        <v>162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IF(OR(TH!L1740=TH!$U$7,M1740=TH!$U$7),"x","")</f>
        <v/>
      </c>
      <c r="V1740" s="52" t="str">
        <f>IF(AND(B1740&gt;='IN-NX'!$P$3,B1740&lt;='IN-NX'!$Q$3,'IN-NX'!$D$7=D1740,OR(LEFT(L1740,2)="15",AND(LEFT(M1740,2)&lt;&gt;"15",LEFT(M1740,2)&lt;&gt;"33"))),"x","")</f>
        <v/>
      </c>
      <c r="W1740" s="52" t="str">
        <f>IF(AND(OR(LEFT(TH!L1740,2)="15",LEFT(TH!M1740,2)="15"),'152-CT'!$J$8=TH!F1740),"x","")</f>
        <v/>
      </c>
      <c r="X1740" s="52" t="str">
        <f>IF(AND(OR(LEFT(TH!L1740,2)="15",LEFT(TH!M1740,2)="15"),TK!$E$7=TH!F1740),"x","")</f>
        <v/>
      </c>
      <c r="Y1740" s="52" t="str">
        <f>IF(AND(B1740&lt;=NKC!$N$8,B1740&gt;=NKC!$M$8),"x","")</f>
        <v/>
      </c>
    </row>
    <row r="1741" spans="1:25" s="767" customFormat="1" ht="15.75" customHeight="1">
      <c r="A1741" s="201" t="str">
        <f>IF(B1741&lt;&gt;"",IF(AND(B1741&gt;=_TM1,B1741&lt;=_TM2,OR(TH!L1741="1111",TH!M1741="1111")),TH!D1741,""),"")</f>
        <v/>
      </c>
      <c r="B1741" s="692">
        <f t="shared" si="82"/>
        <v>12</v>
      </c>
      <c r="C1741" s="791">
        <f t="shared" si="83"/>
        <v>41628</v>
      </c>
      <c r="D1741" s="791" t="s">
        <v>1261</v>
      </c>
      <c r="E1741" s="48">
        <v>41628</v>
      </c>
      <c r="F1741" s="49" t="s">
        <v>1100</v>
      </c>
      <c r="G1741" s="49" t="s">
        <v>1004</v>
      </c>
      <c r="H1741" s="795" t="s">
        <v>1257</v>
      </c>
      <c r="I1741" s="248">
        <v>203</v>
      </c>
      <c r="J1741" s="248">
        <v>11744.490192092693</v>
      </c>
      <c r="K1741" s="693">
        <f t="shared" si="84"/>
        <v>2384132</v>
      </c>
      <c r="L1741" s="52" t="s">
        <v>164</v>
      </c>
      <c r="M1741" s="849" t="s">
        <v>162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IF(OR(TH!L1741=TH!$U$7,M1741=TH!$U$7),"x","")</f>
        <v/>
      </c>
      <c r="V1741" s="52" t="str">
        <f>IF(AND(B1741&gt;='IN-NX'!$P$3,B1741&lt;='IN-NX'!$Q$3,'IN-NX'!$D$7=D1741,OR(LEFT(L1741,2)="15",AND(LEFT(M1741,2)&lt;&gt;"15",LEFT(M1741,2)&lt;&gt;"33"))),"x","")</f>
        <v/>
      </c>
      <c r="W1741" s="52" t="str">
        <f>IF(AND(OR(LEFT(TH!L1741,2)="15",LEFT(TH!M1741,2)="15"),'152-CT'!$J$8=TH!F1741),"x","")</f>
        <v/>
      </c>
      <c r="X1741" s="52" t="str">
        <f>IF(AND(OR(LEFT(TH!L1741,2)="15",LEFT(TH!M1741,2)="15"),TK!$E$7=TH!F1741),"x","")</f>
        <v/>
      </c>
      <c r="Y1741" s="52" t="str">
        <f>IF(AND(B1741&lt;=NKC!$N$8,B1741&gt;=NKC!$M$8),"x","")</f>
        <v/>
      </c>
    </row>
    <row r="1742" spans="1:25" s="767" customFormat="1" ht="15.75" customHeight="1">
      <c r="A1742" s="201" t="str">
        <f>IF(B1742&lt;&gt;"",IF(AND(B1742&gt;=_TM1,B1742&lt;=_TM2,OR(TH!L1742="1111",TH!M1742="1111")),TH!D1742,""),"")</f>
        <v/>
      </c>
      <c r="B1742" s="692">
        <f t="shared" si="82"/>
        <v>12</v>
      </c>
      <c r="C1742" s="791">
        <f t="shared" si="83"/>
        <v>41628</v>
      </c>
      <c r="D1742" s="791" t="s">
        <v>1261</v>
      </c>
      <c r="E1742" s="48">
        <v>41628</v>
      </c>
      <c r="F1742" s="49" t="s">
        <v>1101</v>
      </c>
      <c r="G1742" s="49" t="s">
        <v>1004</v>
      </c>
      <c r="H1742" s="795" t="s">
        <v>1257</v>
      </c>
      <c r="I1742" s="248">
        <v>238</v>
      </c>
      <c r="J1742" s="248">
        <v>6565.5910324288261</v>
      </c>
      <c r="K1742" s="693">
        <f t="shared" si="84"/>
        <v>1562611</v>
      </c>
      <c r="L1742" s="52" t="s">
        <v>164</v>
      </c>
      <c r="M1742" s="849" t="s">
        <v>162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IF(OR(TH!L1742=TH!$U$7,M1742=TH!$U$7),"x","")</f>
        <v/>
      </c>
      <c r="V1742" s="52" t="str">
        <f>IF(AND(B1742&gt;='IN-NX'!$P$3,B1742&lt;='IN-NX'!$Q$3,'IN-NX'!$D$7=D1742,OR(LEFT(L1742,2)="15",AND(LEFT(M1742,2)&lt;&gt;"15",LEFT(M1742,2)&lt;&gt;"33"))),"x","")</f>
        <v/>
      </c>
      <c r="W1742" s="52" t="str">
        <f>IF(AND(OR(LEFT(TH!L1742,2)="15",LEFT(TH!M1742,2)="15"),'152-CT'!$J$8=TH!F1742),"x","")</f>
        <v/>
      </c>
      <c r="X1742" s="52" t="str">
        <f>IF(AND(OR(LEFT(TH!L1742,2)="15",LEFT(TH!M1742,2)="15"),TK!$E$7=TH!F1742),"x","")</f>
        <v/>
      </c>
      <c r="Y1742" s="52" t="str">
        <f>IF(AND(B1742&lt;=NKC!$N$8,B1742&gt;=NKC!$M$8),"x","")</f>
        <v/>
      </c>
    </row>
    <row r="1743" spans="1:25" s="767" customFormat="1" ht="15.75" customHeight="1">
      <c r="A1743" s="201" t="str">
        <f>IF(B1743&lt;&gt;"",IF(AND(B1743&gt;=_TM1,B1743&lt;=_TM2,OR(TH!L1743="1111",TH!M1743="1111")),TH!D1743,""),"")</f>
        <v/>
      </c>
      <c r="B1743" s="692">
        <f t="shared" si="82"/>
        <v>12</v>
      </c>
      <c r="C1743" s="791">
        <f t="shared" si="83"/>
        <v>41628</v>
      </c>
      <c r="D1743" s="791" t="s">
        <v>1261</v>
      </c>
      <c r="E1743" s="48">
        <v>41628</v>
      </c>
      <c r="F1743" s="49" t="s">
        <v>852</v>
      </c>
      <c r="G1743" s="49" t="s">
        <v>1004</v>
      </c>
      <c r="H1743" s="795" t="s">
        <v>1257</v>
      </c>
      <c r="I1743" s="248">
        <v>441</v>
      </c>
      <c r="J1743" s="248">
        <v>7764.8053848364552</v>
      </c>
      <c r="K1743" s="693">
        <f t="shared" si="84"/>
        <v>3424279</v>
      </c>
      <c r="L1743" s="52" t="s">
        <v>164</v>
      </c>
      <c r="M1743" s="849" t="s">
        <v>162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IF(OR(TH!L1743=TH!$U$7,M1743=TH!$U$7),"x","")</f>
        <v/>
      </c>
      <c r="V1743" s="52" t="str">
        <f>IF(AND(B1743&gt;='IN-NX'!$P$3,B1743&lt;='IN-NX'!$Q$3,'IN-NX'!$D$7=D1743,OR(LEFT(L1743,2)="15",AND(LEFT(M1743,2)&lt;&gt;"15",LEFT(M1743,2)&lt;&gt;"33"))),"x","")</f>
        <v/>
      </c>
      <c r="W1743" s="52" t="str">
        <f>IF(AND(OR(LEFT(TH!L1743,2)="15",LEFT(TH!M1743,2)="15"),'152-CT'!$J$8=TH!F1743),"x","")</f>
        <v/>
      </c>
      <c r="X1743" s="52" t="str">
        <f>IF(AND(OR(LEFT(TH!L1743,2)="15",LEFT(TH!M1743,2)="15"),TK!$E$7=TH!F1743),"x","")</f>
        <v/>
      </c>
      <c r="Y1743" s="52" t="str">
        <f>IF(AND(B1743&lt;=NKC!$N$8,B1743&gt;=NKC!$M$8),"x","")</f>
        <v/>
      </c>
    </row>
    <row r="1744" spans="1:25" s="767" customFormat="1" ht="15.75" customHeight="1">
      <c r="A1744" s="201" t="str">
        <f>IF(B1744&lt;&gt;"",IF(AND(B1744&gt;=_TM1,B1744&lt;=_TM2,OR(TH!L1744="1111",TH!M1744="1111")),TH!D1744,""),"")</f>
        <v/>
      </c>
      <c r="B1744" s="692">
        <f t="shared" si="82"/>
        <v>12</v>
      </c>
      <c r="C1744" s="791">
        <f t="shared" si="83"/>
        <v>41628</v>
      </c>
      <c r="D1744" s="791" t="s">
        <v>1261</v>
      </c>
      <c r="E1744" s="48">
        <v>41628</v>
      </c>
      <c r="F1744" s="49" t="s">
        <v>1005</v>
      </c>
      <c r="G1744" s="49" t="s">
        <v>1004</v>
      </c>
      <c r="H1744" s="795" t="s">
        <v>1257</v>
      </c>
      <c r="I1744" s="248">
        <v>104</v>
      </c>
      <c r="J1744" s="248">
        <v>7599.4901920926932</v>
      </c>
      <c r="K1744" s="693">
        <f t="shared" si="84"/>
        <v>790347</v>
      </c>
      <c r="L1744" s="52" t="s">
        <v>164</v>
      </c>
      <c r="M1744" s="849" t="s">
        <v>162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IF(OR(TH!L1744=TH!$U$7,M1744=TH!$U$7),"x","")</f>
        <v/>
      </c>
      <c r="V1744" s="52" t="str">
        <f>IF(AND(B1744&gt;='IN-NX'!$P$3,B1744&lt;='IN-NX'!$Q$3,'IN-NX'!$D$7=D1744,OR(LEFT(L1744,2)="15",AND(LEFT(M1744,2)&lt;&gt;"15",LEFT(M1744,2)&lt;&gt;"33"))),"x","")</f>
        <v/>
      </c>
      <c r="W1744" s="52" t="str">
        <f>IF(AND(OR(LEFT(TH!L1744,2)="15",LEFT(TH!M1744,2)="15"),'152-CT'!$J$8=TH!F1744),"x","")</f>
        <v/>
      </c>
      <c r="X1744" s="52" t="str">
        <f>IF(AND(OR(LEFT(TH!L1744,2)="15",LEFT(TH!M1744,2)="15"),TK!$E$7=TH!F1744),"x","")</f>
        <v/>
      </c>
      <c r="Y1744" s="52" t="str">
        <f>IF(AND(B1744&lt;=NKC!$N$8,B1744&gt;=NKC!$M$8),"x","")</f>
        <v/>
      </c>
    </row>
    <row r="1745" spans="1:25" s="767" customFormat="1" ht="15.75" customHeight="1">
      <c r="A1745" s="201" t="str">
        <f>IF(B1745&lt;&gt;"",IF(AND(B1745&gt;=_TM1,B1745&lt;=_TM2,OR(TH!L1745="1111",TH!M1745="1111")),TH!D1745,""),"")</f>
        <v/>
      </c>
      <c r="B1745" s="692">
        <f t="shared" si="82"/>
        <v>12</v>
      </c>
      <c r="C1745" s="791">
        <f t="shared" si="83"/>
        <v>41628</v>
      </c>
      <c r="D1745" s="791" t="s">
        <v>1261</v>
      </c>
      <c r="E1745" s="48">
        <v>41628</v>
      </c>
      <c r="F1745" s="49" t="s">
        <v>811</v>
      </c>
      <c r="G1745" s="49" t="s">
        <v>1004</v>
      </c>
      <c r="H1745" s="795" t="s">
        <v>1257</v>
      </c>
      <c r="I1745" s="248">
        <v>102</v>
      </c>
      <c r="J1745" s="248">
        <v>9178.7843097397508</v>
      </c>
      <c r="K1745" s="693">
        <f t="shared" si="84"/>
        <v>936236</v>
      </c>
      <c r="L1745" s="52" t="s">
        <v>164</v>
      </c>
      <c r="M1745" s="849" t="s">
        <v>162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IF(OR(TH!L1745=TH!$U$7,M1745=TH!$U$7),"x","")</f>
        <v/>
      </c>
      <c r="V1745" s="52" t="str">
        <f>IF(AND(B1745&gt;='IN-NX'!$P$3,B1745&lt;='IN-NX'!$Q$3,'IN-NX'!$D$7=D1745,OR(LEFT(L1745,2)="15",AND(LEFT(M1745,2)&lt;&gt;"15",LEFT(M1745,2)&lt;&gt;"33"))),"x","")</f>
        <v/>
      </c>
      <c r="W1745" s="52" t="str">
        <f>IF(AND(OR(LEFT(TH!L1745,2)="15",LEFT(TH!M1745,2)="15"),'152-CT'!$J$8=TH!F1745),"x","")</f>
        <v/>
      </c>
      <c r="X1745" s="52" t="str">
        <f>IF(AND(OR(LEFT(TH!L1745,2)="15",LEFT(TH!M1745,2)="15"),TK!$E$7=TH!F1745),"x","")</f>
        <v/>
      </c>
      <c r="Y1745" s="52" t="str">
        <f>IF(AND(B1745&lt;=NKC!$N$8,B1745&gt;=NKC!$M$8),"x","")</f>
        <v/>
      </c>
    </row>
    <row r="1746" spans="1:25" s="767" customFormat="1" ht="15.75" customHeight="1">
      <c r="A1746" s="201" t="str">
        <f>IF(B1746&lt;&gt;"",IF(AND(B1746&gt;=_TM1,B1746&lt;=_TM2,OR(TH!L1746="1111",TH!M1746="1111")),TH!D1746,""),"")</f>
        <v/>
      </c>
      <c r="B1746" s="692">
        <f t="shared" si="82"/>
        <v>12</v>
      </c>
      <c r="C1746" s="791">
        <f t="shared" si="83"/>
        <v>41631</v>
      </c>
      <c r="D1746" s="791" t="s">
        <v>1261</v>
      </c>
      <c r="E1746" s="48">
        <v>41631</v>
      </c>
      <c r="F1746" s="49" t="s">
        <v>1122</v>
      </c>
      <c r="G1746" s="49" t="s">
        <v>1006</v>
      </c>
      <c r="H1746" s="795" t="s">
        <v>1257</v>
      </c>
      <c r="I1746" s="248">
        <v>1520</v>
      </c>
      <c r="J1746" s="248">
        <v>4320.5744026190087</v>
      </c>
      <c r="K1746" s="693">
        <f t="shared" si="84"/>
        <v>6567273</v>
      </c>
      <c r="L1746" s="52" t="s">
        <v>164</v>
      </c>
      <c r="M1746" s="849" t="s">
        <v>162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IF(OR(TH!L1746=TH!$U$7,M1746=TH!$U$7),"x","")</f>
        <v/>
      </c>
      <c r="V1746" s="52" t="str">
        <f>IF(AND(B1746&gt;='IN-NX'!$P$3,B1746&lt;='IN-NX'!$Q$3,'IN-NX'!$D$7=D1746,OR(LEFT(L1746,2)="15",AND(LEFT(M1746,2)&lt;&gt;"15",LEFT(M1746,2)&lt;&gt;"33"))),"x","")</f>
        <v/>
      </c>
      <c r="W1746" s="52" t="str">
        <f>IF(AND(OR(LEFT(TH!L1746,2)="15",LEFT(TH!M1746,2)="15"),'152-CT'!$J$8=TH!F1746),"x","")</f>
        <v/>
      </c>
      <c r="X1746" s="52" t="str">
        <f>IF(AND(OR(LEFT(TH!L1746,2)="15",LEFT(TH!M1746,2)="15"),TK!$E$7=TH!F1746),"x","")</f>
        <v/>
      </c>
      <c r="Y1746" s="52" t="str">
        <f>IF(AND(B1746&lt;=NKC!$N$8,B1746&gt;=NKC!$M$8),"x","")</f>
        <v/>
      </c>
    </row>
    <row r="1747" spans="1:25" s="767" customFormat="1" ht="15.75" customHeight="1">
      <c r="A1747" s="201" t="str">
        <f>IF(B1747&lt;&gt;"",IF(AND(B1747&gt;=_TM1,B1747&lt;=_TM2,OR(TH!L1747="1111",TH!M1747="1111")),TH!D1747,""),"")</f>
        <v/>
      </c>
      <c r="B1747" s="692">
        <f t="shared" si="82"/>
        <v>12</v>
      </c>
      <c r="C1747" s="791">
        <f t="shared" si="83"/>
        <v>41633</v>
      </c>
      <c r="D1747" s="791" t="s">
        <v>1261</v>
      </c>
      <c r="E1747" s="48">
        <v>41633</v>
      </c>
      <c r="F1747" s="49" t="s">
        <v>698</v>
      </c>
      <c r="G1747" s="49" t="s">
        <v>1007</v>
      </c>
      <c r="H1747" s="795" t="s">
        <v>1257</v>
      </c>
      <c r="I1747" s="248">
        <v>980</v>
      </c>
      <c r="J1747" s="248">
        <v>7841.449375766163</v>
      </c>
      <c r="K1747" s="693">
        <f t="shared" si="84"/>
        <v>7684620</v>
      </c>
      <c r="L1747" s="52" t="s">
        <v>164</v>
      </c>
      <c r="M1747" s="849" t="s">
        <v>162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IF(OR(TH!L1747=TH!$U$7,M1747=TH!$U$7),"x","")</f>
        <v/>
      </c>
      <c r="V1747" s="52" t="str">
        <f>IF(AND(B1747&gt;='IN-NX'!$P$3,B1747&lt;='IN-NX'!$Q$3,'IN-NX'!$D$7=D1747,OR(LEFT(L1747,2)="15",AND(LEFT(M1747,2)&lt;&gt;"15",LEFT(M1747,2)&lt;&gt;"33"))),"x","")</f>
        <v/>
      </c>
      <c r="W1747" s="52" t="str">
        <f>IF(AND(OR(LEFT(TH!L1747,2)="15",LEFT(TH!M1747,2)="15"),'152-CT'!$J$8=TH!F1747),"x","")</f>
        <v/>
      </c>
      <c r="X1747" s="52" t="str">
        <f>IF(AND(OR(LEFT(TH!L1747,2)="15",LEFT(TH!M1747,2)="15"),TK!$E$7=TH!F1747),"x","")</f>
        <v/>
      </c>
      <c r="Y1747" s="52" t="str">
        <f>IF(AND(B1747&lt;=NKC!$N$8,B1747&gt;=NKC!$M$8),"x","")</f>
        <v/>
      </c>
    </row>
    <row r="1748" spans="1:25" s="767" customFormat="1" ht="15.75" customHeight="1">
      <c r="A1748" s="201" t="str">
        <f>IF(B1748&lt;&gt;"",IF(AND(B1748&gt;=_TM1,B1748&lt;=_TM2,OR(TH!L1748="1111",TH!M1748="1111")),TH!D1748,""),"")</f>
        <v/>
      </c>
      <c r="B1748" s="692">
        <f t="shared" si="82"/>
        <v>12</v>
      </c>
      <c r="C1748" s="791">
        <f t="shared" si="83"/>
        <v>41635</v>
      </c>
      <c r="D1748" s="791" t="s">
        <v>1261</v>
      </c>
      <c r="E1748" s="48">
        <v>41635</v>
      </c>
      <c r="F1748" s="49" t="s">
        <v>844</v>
      </c>
      <c r="G1748" s="49" t="s">
        <v>1008</v>
      </c>
      <c r="H1748" s="795" t="s">
        <v>1257</v>
      </c>
      <c r="I1748" s="248">
        <v>60</v>
      </c>
      <c r="J1748" s="248">
        <v>37446.156858759357</v>
      </c>
      <c r="K1748" s="693">
        <f t="shared" si="84"/>
        <v>2246769</v>
      </c>
      <c r="L1748" s="52" t="s">
        <v>164</v>
      </c>
      <c r="M1748" s="849" t="s">
        <v>162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IF(OR(TH!L1748=TH!$U$7,M1748=TH!$U$7),"x","")</f>
        <v/>
      </c>
      <c r="V1748" s="52" t="str">
        <f>IF(AND(B1748&gt;='IN-NX'!$P$3,B1748&lt;='IN-NX'!$Q$3,'IN-NX'!$D$7=D1748,OR(LEFT(L1748,2)="15",AND(LEFT(M1748,2)&lt;&gt;"15",LEFT(M1748,2)&lt;&gt;"33"))),"x","")</f>
        <v/>
      </c>
      <c r="W1748" s="52" t="str">
        <f>IF(AND(OR(LEFT(TH!L1748,2)="15",LEFT(TH!M1748,2)="15"),'152-CT'!$J$8=TH!F1748),"x","")</f>
        <v/>
      </c>
      <c r="X1748" s="52" t="str">
        <f>IF(AND(OR(LEFT(TH!L1748,2)="15",LEFT(TH!M1748,2)="15"),TK!$E$7=TH!F1748),"x","")</f>
        <v/>
      </c>
      <c r="Y1748" s="52" t="str">
        <f>IF(AND(B1748&lt;=NKC!$N$8,B1748&gt;=NKC!$M$8),"x","")</f>
        <v/>
      </c>
    </row>
    <row r="1749" spans="1:25" s="767" customFormat="1" ht="15.75" customHeight="1">
      <c r="A1749" s="201" t="str">
        <f>IF(B1749&lt;&gt;"",IF(AND(B1749&gt;=_TM1,B1749&lt;=_TM2,OR(TH!L1749="1111",TH!M1749="1111")),TH!D1749,""),"")</f>
        <v/>
      </c>
      <c r="B1749" s="692">
        <f t="shared" si="82"/>
        <v>12</v>
      </c>
      <c r="C1749" s="791">
        <f t="shared" si="83"/>
        <v>41635</v>
      </c>
      <c r="D1749" s="791" t="s">
        <v>1261</v>
      </c>
      <c r="E1749" s="48">
        <v>41635</v>
      </c>
      <c r="F1749" s="49" t="s">
        <v>847</v>
      </c>
      <c r="G1749" s="49" t="s">
        <v>1008</v>
      </c>
      <c r="H1749" s="795" t="s">
        <v>1257</v>
      </c>
      <c r="I1749" s="248">
        <v>10</v>
      </c>
      <c r="J1749" s="248">
        <v>39909.490192092693</v>
      </c>
      <c r="K1749" s="693">
        <f t="shared" si="84"/>
        <v>399095</v>
      </c>
      <c r="L1749" s="52" t="s">
        <v>164</v>
      </c>
      <c r="M1749" s="849" t="s">
        <v>162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IF(OR(TH!L1749=TH!$U$7,M1749=TH!$U$7),"x","")</f>
        <v/>
      </c>
      <c r="V1749" s="52" t="str">
        <f>IF(AND(B1749&gt;='IN-NX'!$P$3,B1749&lt;='IN-NX'!$Q$3,'IN-NX'!$D$7=D1749,OR(LEFT(L1749,2)="15",AND(LEFT(M1749,2)&lt;&gt;"15",LEFT(M1749,2)&lt;&gt;"33"))),"x","")</f>
        <v/>
      </c>
      <c r="W1749" s="52" t="str">
        <f>IF(AND(OR(LEFT(TH!L1749,2)="15",LEFT(TH!M1749,2)="15"),'152-CT'!$J$8=TH!F1749),"x","")</f>
        <v/>
      </c>
      <c r="X1749" s="52" t="str">
        <f>IF(AND(OR(LEFT(TH!L1749,2)="15",LEFT(TH!M1749,2)="15"),TK!$E$7=TH!F1749),"x","")</f>
        <v/>
      </c>
      <c r="Y1749" s="52" t="str">
        <f>IF(AND(B1749&lt;=NKC!$N$8,B1749&gt;=NKC!$M$8),"x","")</f>
        <v/>
      </c>
    </row>
    <row r="1750" spans="1:25" s="767" customFormat="1" ht="15.75" customHeight="1">
      <c r="A1750" s="201" t="str">
        <f>IF(B1750&lt;&gt;"",IF(AND(B1750&gt;=_TM1,B1750&lt;=_TM2,OR(TH!L1750="1111",TH!M1750="1111")),TH!D1750,""),"")</f>
        <v/>
      </c>
      <c r="B1750" s="692">
        <f t="shared" ref="B1750:B1813" si="85">IF(C1750&lt;&gt;"",MONTH(C1750),"")</f>
        <v>12</v>
      </c>
      <c r="C1750" s="791">
        <f t="shared" si="83"/>
        <v>41635</v>
      </c>
      <c r="D1750" s="791" t="s">
        <v>1261</v>
      </c>
      <c r="E1750" s="48">
        <v>41635</v>
      </c>
      <c r="F1750" s="49" t="s">
        <v>987</v>
      </c>
      <c r="G1750" s="49" t="s">
        <v>1008</v>
      </c>
      <c r="H1750" s="795" t="s">
        <v>1257</v>
      </c>
      <c r="I1750" s="248">
        <v>20</v>
      </c>
      <c r="J1750" s="248">
        <v>39909.490192092693</v>
      </c>
      <c r="K1750" s="693">
        <f t="shared" si="84"/>
        <v>798190</v>
      </c>
      <c r="L1750" s="52" t="s">
        <v>164</v>
      </c>
      <c r="M1750" s="849" t="s">
        <v>162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IF(OR(TH!L1750=TH!$U$7,M1750=TH!$U$7),"x","")</f>
        <v/>
      </c>
      <c r="V1750" s="52" t="str">
        <f>IF(AND(B1750&gt;='IN-NX'!$P$3,B1750&lt;='IN-NX'!$Q$3,'IN-NX'!$D$7=D1750,OR(LEFT(L1750,2)="15",AND(LEFT(M1750,2)&lt;&gt;"15",LEFT(M1750,2)&lt;&gt;"33"))),"x","")</f>
        <v/>
      </c>
      <c r="W1750" s="52" t="str">
        <f>IF(AND(OR(LEFT(TH!L1750,2)="15",LEFT(TH!M1750,2)="15"),'152-CT'!$J$8=TH!F1750),"x","")</f>
        <v/>
      </c>
      <c r="X1750" s="52" t="str">
        <f>IF(AND(OR(LEFT(TH!L1750,2)="15",LEFT(TH!M1750,2)="15"),TK!$E$7=TH!F1750),"x","")</f>
        <v/>
      </c>
      <c r="Y1750" s="52" t="str">
        <f>IF(AND(B1750&lt;=NKC!$N$8,B1750&gt;=NKC!$M$8),"x","")</f>
        <v/>
      </c>
    </row>
    <row r="1751" spans="1:25" s="767" customFormat="1" ht="15.75" customHeight="1">
      <c r="A1751" s="201" t="str">
        <f>IF(B1751&lt;&gt;"",IF(AND(B1751&gt;=_TM1,B1751&lt;=_TM2,OR(TH!L1751="1111",TH!M1751="1111")),TH!D1751,""),"")</f>
        <v/>
      </c>
      <c r="B1751" s="692">
        <f t="shared" si="85"/>
        <v>12</v>
      </c>
      <c r="C1751" s="791">
        <f t="shared" si="83"/>
        <v>41635</v>
      </c>
      <c r="D1751" s="791" t="s">
        <v>1261</v>
      </c>
      <c r="E1751" s="48">
        <v>41635</v>
      </c>
      <c r="F1751" s="49" t="s">
        <v>1118</v>
      </c>
      <c r="G1751" s="49" t="s">
        <v>1009</v>
      </c>
      <c r="H1751" s="795" t="s">
        <v>1257</v>
      </c>
      <c r="I1751" s="248">
        <v>2295</v>
      </c>
      <c r="J1751" s="248">
        <v>4037.8257040752628</v>
      </c>
      <c r="K1751" s="693">
        <f t="shared" si="84"/>
        <v>9266810</v>
      </c>
      <c r="L1751" s="52" t="s">
        <v>164</v>
      </c>
      <c r="M1751" s="849" t="s">
        <v>162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IF(OR(TH!L1751=TH!$U$7,M1751=TH!$U$7),"x","")</f>
        <v/>
      </c>
      <c r="V1751" s="52" t="str">
        <f>IF(AND(B1751&gt;='IN-NX'!$P$3,B1751&lt;='IN-NX'!$Q$3,'IN-NX'!$D$7=D1751,OR(LEFT(L1751,2)="15",AND(LEFT(M1751,2)&lt;&gt;"15",LEFT(M1751,2)&lt;&gt;"33"))),"x","")</f>
        <v/>
      </c>
      <c r="W1751" s="52" t="str">
        <f>IF(AND(OR(LEFT(TH!L1751,2)="15",LEFT(TH!M1751,2)="15"),'152-CT'!$J$8=TH!F1751),"x","")</f>
        <v/>
      </c>
      <c r="X1751" s="52" t="str">
        <f>IF(AND(OR(LEFT(TH!L1751,2)="15",LEFT(TH!M1751,2)="15"),TK!$E$7=TH!F1751),"x","")</f>
        <v/>
      </c>
      <c r="Y1751" s="52" t="str">
        <f>IF(AND(B1751&lt;=NKC!$N$8,B1751&gt;=NKC!$M$8),"x","")</f>
        <v/>
      </c>
    </row>
    <row r="1752" spans="1:25" s="767" customFormat="1" ht="15.75" customHeight="1">
      <c r="A1752" s="201" t="str">
        <f>IF(B1752&lt;&gt;"",IF(AND(B1752&gt;=_TM1,B1752&lt;=_TM2,OR(TH!L1752="1111",TH!M1752="1111")),TH!D1752,""),"")</f>
        <v/>
      </c>
      <c r="B1752" s="692">
        <f t="shared" si="85"/>
        <v>12</v>
      </c>
      <c r="C1752" s="791">
        <f t="shared" si="83"/>
        <v>41636</v>
      </c>
      <c r="D1752" s="791" t="s">
        <v>1261</v>
      </c>
      <c r="E1752" s="48">
        <v>41636</v>
      </c>
      <c r="F1752" s="49" t="s">
        <v>1107</v>
      </c>
      <c r="G1752" s="49" t="s">
        <v>1010</v>
      </c>
      <c r="H1752" s="795" t="s">
        <v>1257</v>
      </c>
      <c r="I1752" s="248">
        <v>112</v>
      </c>
      <c r="J1752" s="248">
        <v>14719.168763521264</v>
      </c>
      <c r="K1752" s="693">
        <f t="shared" si="84"/>
        <v>1648547</v>
      </c>
      <c r="L1752" s="52" t="s">
        <v>164</v>
      </c>
      <c r="M1752" s="849" t="s">
        <v>162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IF(OR(TH!L1752=TH!$U$7,M1752=TH!$U$7),"x","")</f>
        <v/>
      </c>
      <c r="V1752" s="52" t="str">
        <f>IF(AND(B1752&gt;='IN-NX'!$P$3,B1752&lt;='IN-NX'!$Q$3,'IN-NX'!$D$7=D1752,OR(LEFT(L1752,2)="15",AND(LEFT(M1752,2)&lt;&gt;"15",LEFT(M1752,2)&lt;&gt;"33"))),"x","")</f>
        <v/>
      </c>
      <c r="W1752" s="52" t="str">
        <f>IF(AND(OR(LEFT(TH!L1752,2)="15",LEFT(TH!M1752,2)="15"),'152-CT'!$J$8=TH!F1752),"x","")</f>
        <v/>
      </c>
      <c r="X1752" s="52" t="str">
        <f>IF(AND(OR(LEFT(TH!L1752,2)="15",LEFT(TH!M1752,2)="15"),TK!$E$7=TH!F1752),"x","")</f>
        <v/>
      </c>
      <c r="Y1752" s="52" t="str">
        <f>IF(AND(B1752&lt;=NKC!$N$8,B1752&gt;=NKC!$M$8),"x","")</f>
        <v/>
      </c>
    </row>
    <row r="1753" spans="1:25" s="798" customFormat="1" ht="15.75" customHeight="1">
      <c r="A1753" s="201" t="str">
        <f>IF(B1753&lt;&gt;"",IF(AND(B1753&gt;=_TM1,B1753&lt;=_TM2,OR(TH!L1753="1111",TH!M1753="1111")),TH!D1753,""),"")</f>
        <v/>
      </c>
      <c r="B1753" s="796">
        <f t="shared" si="85"/>
        <v>1</v>
      </c>
      <c r="C1753" s="853">
        <f t="shared" si="83"/>
        <v>41276</v>
      </c>
      <c r="D1753" s="854" t="s">
        <v>457</v>
      </c>
      <c r="E1753" s="854">
        <v>41276</v>
      </c>
      <c r="F1753" s="855" t="s">
        <v>690</v>
      </c>
      <c r="G1753" s="855" t="s">
        <v>691</v>
      </c>
      <c r="H1753" s="856" t="s">
        <v>1258</v>
      </c>
      <c r="I1753" s="863">
        <v>905</v>
      </c>
      <c r="J1753" s="863">
        <v>5546.5167796569285</v>
      </c>
      <c r="K1753" s="793">
        <f t="shared" si="84"/>
        <v>5019598</v>
      </c>
      <c r="L1753" s="786" t="s">
        <v>170</v>
      </c>
      <c r="M1753" s="786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IF(OR(TH!L1753=TH!$U$7,M1753=TH!$U$7),"x","")</f>
        <v/>
      </c>
      <c r="V1753" s="52" t="str">
        <f>IF(AND(B1753&gt;='IN-NX'!$P$3,B1753&lt;='IN-NX'!$Q$3,'IN-NX'!$D$7=D1753,OR(LEFT(L1753,2)="15",AND(LEFT(M1753,2)&lt;&gt;"15",LEFT(M1753,2)&lt;&gt;"33"))),"x","")</f>
        <v/>
      </c>
      <c r="W1753" s="52" t="str">
        <f>IF(AND(OR(LEFT(TH!L1753,2)="15",LEFT(TH!M1753,2)="15"),'152-CT'!$J$8=TH!F1753),"x","")</f>
        <v/>
      </c>
      <c r="X1753" s="52" t="str">
        <f>IF(AND(OR(LEFT(TH!L1753,2)="15",LEFT(TH!M1753,2)="15"),TK!$E$7=TH!F1753),"x","")</f>
        <v/>
      </c>
      <c r="Y1753" s="52" t="str">
        <f>IF(AND(B1753&lt;=NKC!$N$8,B1753&gt;=NKC!$M$8),"x","")</f>
        <v/>
      </c>
    </row>
    <row r="1754" spans="1:25" s="208" customFormat="1" ht="15.75" customHeight="1">
      <c r="A1754" s="201" t="str">
        <f>IF(B1754&lt;&gt;"",IF(AND(B1754&gt;=_TM1,B1754&lt;=_TM2,OR(TH!L1754="1111",TH!M1754="1111")),TH!D1754,""),"")</f>
        <v/>
      </c>
      <c r="B1754" s="36">
        <f t="shared" si="85"/>
        <v>1</v>
      </c>
      <c r="C1754" s="188">
        <f t="shared" si="83"/>
        <v>41276</v>
      </c>
      <c r="D1754" s="37" t="s">
        <v>457</v>
      </c>
      <c r="E1754" s="188">
        <v>41276</v>
      </c>
      <c r="F1754" s="189" t="s">
        <v>692</v>
      </c>
      <c r="G1754" s="480" t="s">
        <v>691</v>
      </c>
      <c r="H1754" s="7" t="s">
        <v>1258</v>
      </c>
      <c r="I1754" s="249">
        <v>305</v>
      </c>
      <c r="J1754" s="249">
        <v>5358.1209821748162</v>
      </c>
      <c r="K1754" s="595">
        <f t="shared" ref="K1754:K1817" si="86">ROUND(I1754*J1754,0)</f>
        <v>1634227</v>
      </c>
      <c r="L1754" s="39" t="s">
        <v>170</v>
      </c>
      <c r="M1754" s="39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IF(OR(TH!L1754=TH!$U$7,M1754=TH!$U$7),"x","")</f>
        <v/>
      </c>
      <c r="V1754" s="52" t="str">
        <f>IF(AND(B1754&gt;='IN-NX'!$P$3,B1754&lt;='IN-NX'!$Q$3,'IN-NX'!$D$7=D1754,OR(LEFT(L1754,2)="15",AND(LEFT(M1754,2)&lt;&gt;"15",LEFT(M1754,2)&lt;&gt;"33"))),"x","")</f>
        <v/>
      </c>
      <c r="W1754" s="52" t="str">
        <f>IF(AND(OR(LEFT(TH!L1754,2)="15",LEFT(TH!M1754,2)="15"),'152-CT'!$J$8=TH!F1754),"x","")</f>
        <v/>
      </c>
      <c r="X1754" s="52" t="str">
        <f>IF(AND(OR(LEFT(TH!L1754,2)="15",LEFT(TH!M1754,2)="15"),TK!$E$7=TH!F1754),"x","")</f>
        <v/>
      </c>
      <c r="Y1754" s="52" t="str">
        <f>IF(AND(B1754&lt;=NKC!$N$8,B1754&gt;=NKC!$M$8),"x","")</f>
        <v/>
      </c>
    </row>
    <row r="1755" spans="1:25" s="208" customFormat="1" ht="15.75" customHeight="1">
      <c r="A1755" s="201" t="str">
        <f>IF(B1755&lt;&gt;"",IF(AND(B1755&gt;=_TM1,B1755&lt;=_TM2,OR(TH!L1755="1111",TH!M1755="1111")),TH!D1755,""),"")</f>
        <v/>
      </c>
      <c r="B1755" s="36">
        <f t="shared" si="85"/>
        <v>1</v>
      </c>
      <c r="C1755" s="188">
        <f t="shared" si="83"/>
        <v>41282</v>
      </c>
      <c r="D1755" s="37" t="s">
        <v>457</v>
      </c>
      <c r="E1755" s="188">
        <v>41282</v>
      </c>
      <c r="F1755" s="189" t="s">
        <v>694</v>
      </c>
      <c r="G1755" s="480" t="s">
        <v>695</v>
      </c>
      <c r="H1755" s="7" t="s">
        <v>1258</v>
      </c>
      <c r="I1755" s="249">
        <v>480</v>
      </c>
      <c r="J1755" s="249">
        <v>10851.863810043669</v>
      </c>
      <c r="K1755" s="595">
        <f t="shared" si="86"/>
        <v>5208895</v>
      </c>
      <c r="L1755" s="39" t="s">
        <v>170</v>
      </c>
      <c r="M1755" s="39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IF(OR(TH!L1755=TH!$U$7,M1755=TH!$U$7),"x","")</f>
        <v/>
      </c>
      <c r="V1755" s="52" t="str">
        <f>IF(AND(B1755&gt;='IN-NX'!$P$3,B1755&lt;='IN-NX'!$Q$3,'IN-NX'!$D$7=D1755,OR(LEFT(L1755,2)="15",AND(LEFT(M1755,2)&lt;&gt;"15",LEFT(M1755,2)&lt;&gt;"33"))),"x","")</f>
        <v/>
      </c>
      <c r="W1755" s="52" t="str">
        <f>IF(AND(OR(LEFT(TH!L1755,2)="15",LEFT(TH!M1755,2)="15"),'152-CT'!$J$8=TH!F1755),"x","")</f>
        <v/>
      </c>
      <c r="X1755" s="52" t="str">
        <f>IF(AND(OR(LEFT(TH!L1755,2)="15",LEFT(TH!M1755,2)="15"),TK!$E$7=TH!F1755),"x","")</f>
        <v/>
      </c>
      <c r="Y1755" s="52" t="str">
        <f>IF(AND(B1755&lt;=NKC!$N$8,B1755&gt;=NKC!$M$8),"x","")</f>
        <v/>
      </c>
    </row>
    <row r="1756" spans="1:25" s="208" customFormat="1" ht="15.75" customHeight="1">
      <c r="A1756" s="201" t="str">
        <f>IF(B1756&lt;&gt;"",IF(AND(B1756&gt;=_TM1,B1756&lt;=_TM2,OR(TH!L1756="1111",TH!M1756="1111")),TH!D1756,""),"")</f>
        <v/>
      </c>
      <c r="B1756" s="36">
        <f t="shared" si="85"/>
        <v>1</v>
      </c>
      <c r="C1756" s="188">
        <f t="shared" si="83"/>
        <v>41282</v>
      </c>
      <c r="D1756" s="37" t="s">
        <v>457</v>
      </c>
      <c r="E1756" s="37">
        <v>41282</v>
      </c>
      <c r="F1756" s="40" t="s">
        <v>697</v>
      </c>
      <c r="G1756" s="40" t="s">
        <v>695</v>
      </c>
      <c r="H1756" s="7" t="s">
        <v>1258</v>
      </c>
      <c r="I1756" s="249">
        <v>199</v>
      </c>
      <c r="J1756" s="249">
        <v>6930.8791994909043</v>
      </c>
      <c r="K1756" s="595">
        <f t="shared" si="86"/>
        <v>1379245</v>
      </c>
      <c r="L1756" s="39" t="s">
        <v>170</v>
      </c>
      <c r="M1756" s="39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IF(OR(TH!L1756=TH!$U$7,M1756=TH!$U$7),"x","")</f>
        <v/>
      </c>
      <c r="V1756" s="52" t="str">
        <f>IF(AND(B1756&gt;='IN-NX'!$P$3,B1756&lt;='IN-NX'!$Q$3,'IN-NX'!$D$7=D1756,OR(LEFT(L1756,2)="15",AND(LEFT(M1756,2)&lt;&gt;"15",LEFT(M1756,2)&lt;&gt;"33"))),"x","")</f>
        <v/>
      </c>
      <c r="W1756" s="52" t="str">
        <f>IF(AND(OR(LEFT(TH!L1756,2)="15",LEFT(TH!M1756,2)="15"),'152-CT'!$J$8=TH!F1756),"x","")</f>
        <v/>
      </c>
      <c r="X1756" s="52" t="str">
        <f>IF(AND(OR(LEFT(TH!L1756,2)="15",LEFT(TH!M1756,2)="15"),TK!$E$7=TH!F1756),"x","")</f>
        <v/>
      </c>
      <c r="Y1756" s="52" t="str">
        <f>IF(AND(B1756&lt;=NKC!$N$8,B1756&gt;=NKC!$M$8),"x","")</f>
        <v/>
      </c>
    </row>
    <row r="1757" spans="1:25" s="208" customFormat="1" ht="15.75" customHeight="1">
      <c r="A1757" s="201" t="str">
        <f>IF(B1757&lt;&gt;"",IF(AND(B1757&gt;=_TM1,B1757&lt;=_TM2,OR(TH!L1757="1111",TH!M1757="1111")),TH!D1757,""),"")</f>
        <v/>
      </c>
      <c r="B1757" s="36">
        <f t="shared" si="85"/>
        <v>1</v>
      </c>
      <c r="C1757" s="188">
        <f t="shared" si="83"/>
        <v>41284</v>
      </c>
      <c r="D1757" s="37" t="s">
        <v>457</v>
      </c>
      <c r="E1757" s="37">
        <v>41284</v>
      </c>
      <c r="F1757" s="40" t="s">
        <v>698</v>
      </c>
      <c r="G1757" s="40" t="s">
        <v>699</v>
      </c>
      <c r="H1757" s="7" t="s">
        <v>1258</v>
      </c>
      <c r="I1757" s="249">
        <v>992</v>
      </c>
      <c r="J1757" s="249">
        <v>8115.5835681081835</v>
      </c>
      <c r="K1757" s="595">
        <f t="shared" si="86"/>
        <v>8050659</v>
      </c>
      <c r="L1757" s="39" t="s">
        <v>170</v>
      </c>
      <c r="M1757" s="39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IF(OR(TH!L1757=TH!$U$7,M1757=TH!$U$7),"x","")</f>
        <v/>
      </c>
      <c r="V1757" s="52" t="str">
        <f>IF(AND(B1757&gt;='IN-NX'!$P$3,B1757&lt;='IN-NX'!$Q$3,'IN-NX'!$D$7=D1757,OR(LEFT(L1757,2)="15",AND(LEFT(M1757,2)&lt;&gt;"15",LEFT(M1757,2)&lt;&gt;"33"))),"x","")</f>
        <v/>
      </c>
      <c r="W1757" s="52" t="str">
        <f>IF(AND(OR(LEFT(TH!L1757,2)="15",LEFT(TH!M1757,2)="15"),'152-CT'!$J$8=TH!F1757),"x","")</f>
        <v/>
      </c>
      <c r="X1757" s="52" t="str">
        <f>IF(AND(OR(LEFT(TH!L1757,2)="15",LEFT(TH!M1757,2)="15"),TK!$E$7=TH!F1757),"x","")</f>
        <v/>
      </c>
      <c r="Y1757" s="52" t="str">
        <f>IF(AND(B1757&lt;=NKC!$N$8,B1757&gt;=NKC!$M$8),"x","")</f>
        <v/>
      </c>
    </row>
    <row r="1758" spans="1:25" s="208" customFormat="1" ht="15.75" customHeight="1">
      <c r="A1758" s="201" t="str">
        <f>IF(B1758&lt;&gt;"",IF(AND(B1758&gt;=_TM1,B1758&lt;=_TM2,OR(TH!L1758="1111",TH!M1758="1111")),TH!D1758,""),"")</f>
        <v/>
      </c>
      <c r="B1758" s="36">
        <f t="shared" si="85"/>
        <v>1</v>
      </c>
      <c r="C1758" s="188">
        <f t="shared" si="83"/>
        <v>41285</v>
      </c>
      <c r="D1758" s="37" t="s">
        <v>457</v>
      </c>
      <c r="E1758" s="188">
        <v>41285</v>
      </c>
      <c r="F1758" s="186" t="s">
        <v>700</v>
      </c>
      <c r="G1758" s="597" t="s">
        <v>701</v>
      </c>
      <c r="H1758" s="7" t="s">
        <v>1258</v>
      </c>
      <c r="I1758" s="249">
        <v>202</v>
      </c>
      <c r="J1758" s="249">
        <v>6854.9052704397072</v>
      </c>
      <c r="K1758" s="595">
        <f t="shared" si="86"/>
        <v>1384691</v>
      </c>
      <c r="L1758" s="39" t="s">
        <v>170</v>
      </c>
      <c r="M1758" s="39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IF(OR(TH!L1758=TH!$U$7,M1758=TH!$U$7),"x","")</f>
        <v/>
      </c>
      <c r="V1758" s="52" t="str">
        <f>IF(AND(B1758&gt;='IN-NX'!$P$3,B1758&lt;='IN-NX'!$Q$3,'IN-NX'!$D$7=D1758,OR(LEFT(L1758,2)="15",AND(LEFT(M1758,2)&lt;&gt;"15",LEFT(M1758,2)&lt;&gt;"33"))),"x","")</f>
        <v/>
      </c>
      <c r="W1758" s="52" t="str">
        <f>IF(AND(OR(LEFT(TH!L1758,2)="15",LEFT(TH!M1758,2)="15"),'152-CT'!$J$8=TH!F1758),"x","")</f>
        <v/>
      </c>
      <c r="X1758" s="52" t="str">
        <f>IF(AND(OR(LEFT(TH!L1758,2)="15",LEFT(TH!M1758,2)="15"),TK!$E$7=TH!F1758),"x","")</f>
        <v/>
      </c>
      <c r="Y1758" s="52" t="str">
        <f>IF(AND(B1758&lt;=NKC!$N$8,B1758&gt;=NKC!$M$8),"x","")</f>
        <v/>
      </c>
    </row>
    <row r="1759" spans="1:25" s="208" customFormat="1" ht="15.75" customHeight="1">
      <c r="A1759" s="201" t="str">
        <f>IF(B1759&lt;&gt;"",IF(AND(B1759&gt;=_TM1,B1759&lt;=_TM2,OR(TH!L1759="1111",TH!M1759="1111")),TH!D1759,""),"")</f>
        <v/>
      </c>
      <c r="B1759" s="36">
        <f t="shared" si="85"/>
        <v>1</v>
      </c>
      <c r="C1759" s="188">
        <f t="shared" si="83"/>
        <v>41285</v>
      </c>
      <c r="D1759" s="37" t="s">
        <v>457</v>
      </c>
      <c r="E1759" s="188">
        <v>41285</v>
      </c>
      <c r="F1759" s="189" t="s">
        <v>702</v>
      </c>
      <c r="G1759" s="480" t="s">
        <v>701</v>
      </c>
      <c r="H1759" s="7" t="s">
        <v>1258</v>
      </c>
      <c r="I1759" s="249">
        <v>204</v>
      </c>
      <c r="J1759" s="249">
        <v>8096.6738590632767</v>
      </c>
      <c r="K1759" s="595">
        <f t="shared" si="86"/>
        <v>1651721</v>
      </c>
      <c r="L1759" s="39" t="s">
        <v>170</v>
      </c>
      <c r="M1759" s="39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IF(OR(TH!L1759=TH!$U$7,M1759=TH!$U$7),"x","")</f>
        <v/>
      </c>
      <c r="V1759" s="52" t="str">
        <f>IF(AND(B1759&gt;='IN-NX'!$P$3,B1759&lt;='IN-NX'!$Q$3,'IN-NX'!$D$7=D1759,OR(LEFT(L1759,2)="15",AND(LEFT(M1759,2)&lt;&gt;"15",LEFT(M1759,2)&lt;&gt;"33"))),"x","")</f>
        <v/>
      </c>
      <c r="W1759" s="52" t="str">
        <f>IF(AND(OR(LEFT(TH!L1759,2)="15",LEFT(TH!M1759,2)="15"),'152-CT'!$J$8=TH!F1759),"x","")</f>
        <v/>
      </c>
      <c r="X1759" s="52" t="str">
        <f>IF(AND(OR(LEFT(TH!L1759,2)="15",LEFT(TH!M1759,2)="15"),TK!$E$7=TH!F1759),"x","")</f>
        <v/>
      </c>
      <c r="Y1759" s="52" t="str">
        <f>IF(AND(B1759&lt;=NKC!$N$8,B1759&gt;=NKC!$M$8),"x","")</f>
        <v/>
      </c>
    </row>
    <row r="1760" spans="1:25" s="208" customFormat="1" ht="15.75" customHeight="1">
      <c r="A1760" s="201" t="str">
        <f>IF(B1760&lt;&gt;"",IF(AND(B1760&gt;=_TM1,B1760&lt;=_TM2,OR(TH!L1760="1111",TH!M1760="1111")),TH!D1760,""),"")</f>
        <v/>
      </c>
      <c r="B1760" s="36">
        <f t="shared" si="85"/>
        <v>1</v>
      </c>
      <c r="C1760" s="188">
        <f t="shared" si="83"/>
        <v>41285</v>
      </c>
      <c r="D1760" s="37" t="s">
        <v>457</v>
      </c>
      <c r="E1760" s="188">
        <v>41285</v>
      </c>
      <c r="F1760" s="189" t="s">
        <v>703</v>
      </c>
      <c r="G1760" s="480" t="s">
        <v>701</v>
      </c>
      <c r="H1760" s="7" t="s">
        <v>1258</v>
      </c>
      <c r="I1760" s="249">
        <v>510</v>
      </c>
      <c r="J1760" s="249">
        <v>1920.0228786711191</v>
      </c>
      <c r="K1760" s="595">
        <f t="shared" si="86"/>
        <v>979212</v>
      </c>
      <c r="L1760" s="39" t="s">
        <v>170</v>
      </c>
      <c r="M1760" s="39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IF(OR(TH!L1760=TH!$U$7,M1760=TH!$U$7),"x","")</f>
        <v/>
      </c>
      <c r="V1760" s="52" t="str">
        <f>IF(AND(B1760&gt;='IN-NX'!$P$3,B1760&lt;='IN-NX'!$Q$3,'IN-NX'!$D$7=D1760,OR(LEFT(L1760,2)="15",AND(LEFT(M1760,2)&lt;&gt;"15",LEFT(M1760,2)&lt;&gt;"33"))),"x","")</f>
        <v/>
      </c>
      <c r="W1760" s="52" t="str">
        <f>IF(AND(OR(LEFT(TH!L1760,2)="15",LEFT(TH!M1760,2)="15"),'152-CT'!$J$8=TH!F1760),"x","")</f>
        <v/>
      </c>
      <c r="X1760" s="52" t="str">
        <f>IF(AND(OR(LEFT(TH!L1760,2)="15",LEFT(TH!M1760,2)="15"),TK!$E$7=TH!F1760),"x","")</f>
        <v/>
      </c>
      <c r="Y1760" s="52" t="str">
        <f>IF(AND(B1760&lt;=NKC!$N$8,B1760&gt;=NKC!$M$8),"x","")</f>
        <v/>
      </c>
    </row>
    <row r="1761" spans="1:25" s="208" customFormat="1" ht="15.75" customHeight="1">
      <c r="A1761" s="201" t="str">
        <f>IF(B1761&lt;&gt;"",IF(AND(B1761&gt;=_TM1,B1761&lt;=_TM2,OR(TH!L1761="1111",TH!M1761="1111")),TH!D1761,""),"")</f>
        <v/>
      </c>
      <c r="B1761" s="36">
        <f t="shared" si="85"/>
        <v>1</v>
      </c>
      <c r="C1761" s="188">
        <f t="shared" si="83"/>
        <v>41285</v>
      </c>
      <c r="D1761" s="37" t="s">
        <v>457</v>
      </c>
      <c r="E1761" s="188">
        <v>41285</v>
      </c>
      <c r="F1761" s="186" t="s">
        <v>704</v>
      </c>
      <c r="G1761" s="597" t="s">
        <v>701</v>
      </c>
      <c r="H1761" s="7" t="s">
        <v>1258</v>
      </c>
      <c r="I1761" s="249">
        <v>420</v>
      </c>
      <c r="J1761" s="249">
        <v>1942.4632148055728</v>
      </c>
      <c r="K1761" s="595">
        <f t="shared" si="86"/>
        <v>815835</v>
      </c>
      <c r="L1761" s="39" t="s">
        <v>170</v>
      </c>
      <c r="M1761" s="39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IF(OR(TH!L1761=TH!$U$7,M1761=TH!$U$7),"x","")</f>
        <v/>
      </c>
      <c r="V1761" s="52" t="str">
        <f>IF(AND(B1761&gt;='IN-NX'!$P$3,B1761&lt;='IN-NX'!$Q$3,'IN-NX'!$D$7=D1761,OR(LEFT(L1761,2)="15",AND(LEFT(M1761,2)&lt;&gt;"15",LEFT(M1761,2)&lt;&gt;"33"))),"x","")</f>
        <v/>
      </c>
      <c r="W1761" s="52" t="str">
        <f>IF(AND(OR(LEFT(TH!L1761,2)="15",LEFT(TH!M1761,2)="15"),'152-CT'!$J$8=TH!F1761),"x","")</f>
        <v/>
      </c>
      <c r="X1761" s="52" t="str">
        <f>IF(AND(OR(LEFT(TH!L1761,2)="15",LEFT(TH!M1761,2)="15"),TK!$E$7=TH!F1761),"x","")</f>
        <v/>
      </c>
      <c r="Y1761" s="52" t="str">
        <f>IF(AND(B1761&lt;=NKC!$N$8,B1761&gt;=NKC!$M$8),"x","")</f>
        <v/>
      </c>
    </row>
    <row r="1762" spans="1:25" s="208" customFormat="1" ht="15.75" customHeight="1">
      <c r="A1762" s="201" t="str">
        <f>IF(B1762&lt;&gt;"",IF(AND(B1762&gt;=_TM1,B1762&lt;=_TM2,OR(TH!L1762="1111",TH!M1762="1111")),TH!D1762,""),"")</f>
        <v/>
      </c>
      <c r="B1762" s="36">
        <f t="shared" si="85"/>
        <v>1</v>
      </c>
      <c r="C1762" s="188">
        <f t="shared" si="83"/>
        <v>41285</v>
      </c>
      <c r="D1762" s="37" t="s">
        <v>457</v>
      </c>
      <c r="E1762" s="188">
        <v>41285</v>
      </c>
      <c r="F1762" s="186" t="s">
        <v>705</v>
      </c>
      <c r="G1762" s="597" t="s">
        <v>701</v>
      </c>
      <c r="H1762" s="7" t="s">
        <v>1258</v>
      </c>
      <c r="I1762" s="249">
        <v>200</v>
      </c>
      <c r="J1762" s="249">
        <v>2082.3413100436678</v>
      </c>
      <c r="K1762" s="595">
        <f t="shared" si="86"/>
        <v>416468</v>
      </c>
      <c r="L1762" s="39" t="s">
        <v>170</v>
      </c>
      <c r="M1762" s="39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IF(OR(TH!L1762=TH!$U$7,M1762=TH!$U$7),"x","")</f>
        <v/>
      </c>
      <c r="V1762" s="52" t="str">
        <f>IF(AND(B1762&gt;='IN-NX'!$P$3,B1762&lt;='IN-NX'!$Q$3,'IN-NX'!$D$7=D1762,OR(LEFT(L1762,2)="15",AND(LEFT(M1762,2)&lt;&gt;"15",LEFT(M1762,2)&lt;&gt;"33"))),"x","")</f>
        <v/>
      </c>
      <c r="W1762" s="52" t="str">
        <f>IF(AND(OR(LEFT(TH!L1762,2)="15",LEFT(TH!M1762,2)="15"),'152-CT'!$J$8=TH!F1762),"x","")</f>
        <v/>
      </c>
      <c r="X1762" s="52" t="str">
        <f>IF(AND(OR(LEFT(TH!L1762,2)="15",LEFT(TH!M1762,2)="15"),TK!$E$7=TH!F1762),"x","")</f>
        <v/>
      </c>
      <c r="Y1762" s="52" t="str">
        <f>IF(AND(B1762&lt;=NKC!$N$8,B1762&gt;=NKC!$M$8),"x","")</f>
        <v/>
      </c>
    </row>
    <row r="1763" spans="1:25" s="208" customFormat="1" ht="15.75" customHeight="1">
      <c r="A1763" s="201" t="str">
        <f>IF(B1763&lt;&gt;"",IF(AND(B1763&gt;=_TM1,B1763&lt;=_TM2,OR(TH!L1763="1111",TH!M1763="1111")),TH!D1763,""),"")</f>
        <v/>
      </c>
      <c r="B1763" s="36">
        <f t="shared" si="85"/>
        <v>1</v>
      </c>
      <c r="C1763" s="188">
        <f t="shared" si="83"/>
        <v>41285</v>
      </c>
      <c r="D1763" s="37" t="s">
        <v>457</v>
      </c>
      <c r="E1763" s="735">
        <v>41285</v>
      </c>
      <c r="F1763" s="40" t="s">
        <v>706</v>
      </c>
      <c r="G1763" s="40" t="s">
        <v>701</v>
      </c>
      <c r="H1763" s="7" t="s">
        <v>1258</v>
      </c>
      <c r="I1763" s="249">
        <v>420</v>
      </c>
      <c r="J1763" s="249">
        <v>1942.4632148055728</v>
      </c>
      <c r="K1763" s="595">
        <f t="shared" si="86"/>
        <v>815835</v>
      </c>
      <c r="L1763" s="39" t="s">
        <v>170</v>
      </c>
      <c r="M1763" s="39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IF(OR(TH!L1763=TH!$U$7,M1763=TH!$U$7),"x","")</f>
        <v/>
      </c>
      <c r="V1763" s="52" t="str">
        <f>IF(AND(B1763&gt;='IN-NX'!$P$3,B1763&lt;='IN-NX'!$Q$3,'IN-NX'!$D$7=D1763,OR(LEFT(L1763,2)="15",AND(LEFT(M1763,2)&lt;&gt;"15",LEFT(M1763,2)&lt;&gt;"33"))),"x","")</f>
        <v/>
      </c>
      <c r="W1763" s="52" t="str">
        <f>IF(AND(OR(LEFT(TH!L1763,2)="15",LEFT(TH!M1763,2)="15"),'152-CT'!$J$8=TH!F1763),"x","")</f>
        <v/>
      </c>
      <c r="X1763" s="52" t="str">
        <f>IF(AND(OR(LEFT(TH!L1763,2)="15",LEFT(TH!M1763,2)="15"),TK!$E$7=TH!F1763),"x","")</f>
        <v/>
      </c>
      <c r="Y1763" s="52" t="str">
        <f>IF(AND(B1763&lt;=NKC!$N$8,B1763&gt;=NKC!$M$8),"x","")</f>
        <v/>
      </c>
    </row>
    <row r="1764" spans="1:25" s="208" customFormat="1" ht="15.75" customHeight="1">
      <c r="A1764" s="201" t="str">
        <f>IF(B1764&lt;&gt;"",IF(AND(B1764&gt;=_TM1,B1764&lt;=_TM2,OR(TH!L1764="1111",TH!M1764="1111")),TH!D1764,""),"")</f>
        <v/>
      </c>
      <c r="B1764" s="36">
        <f t="shared" si="85"/>
        <v>1</v>
      </c>
      <c r="C1764" s="188">
        <f t="shared" si="83"/>
        <v>41285</v>
      </c>
      <c r="D1764" s="37" t="s">
        <v>457</v>
      </c>
      <c r="E1764" s="757">
        <v>41285</v>
      </c>
      <c r="F1764" s="189" t="s">
        <v>707</v>
      </c>
      <c r="G1764" s="480" t="s">
        <v>701</v>
      </c>
      <c r="H1764" s="7" t="s">
        <v>1258</v>
      </c>
      <c r="I1764" s="249">
        <v>52</v>
      </c>
      <c r="J1764" s="249">
        <v>10538.378233120591</v>
      </c>
      <c r="K1764" s="595">
        <f t="shared" si="86"/>
        <v>547996</v>
      </c>
      <c r="L1764" s="39" t="s">
        <v>170</v>
      </c>
      <c r="M1764" s="39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IF(OR(TH!L1764=TH!$U$7,M1764=TH!$U$7),"x","")</f>
        <v/>
      </c>
      <c r="V1764" s="52" t="str">
        <f>IF(AND(B1764&gt;='IN-NX'!$P$3,B1764&lt;='IN-NX'!$Q$3,'IN-NX'!$D$7=D1764,OR(LEFT(L1764,2)="15",AND(LEFT(M1764,2)&lt;&gt;"15",LEFT(M1764,2)&lt;&gt;"33"))),"x","")</f>
        <v/>
      </c>
      <c r="W1764" s="52" t="str">
        <f>IF(AND(OR(LEFT(TH!L1764,2)="15",LEFT(TH!M1764,2)="15"),'152-CT'!$J$8=TH!F1764),"x","")</f>
        <v/>
      </c>
      <c r="X1764" s="52" t="str">
        <f>IF(AND(OR(LEFT(TH!L1764,2)="15",LEFT(TH!M1764,2)="15"),TK!$E$7=TH!F1764),"x","")</f>
        <v/>
      </c>
      <c r="Y1764" s="52" t="str">
        <f>IF(AND(B1764&lt;=NKC!$N$8,B1764&gt;=NKC!$M$8),"x","")</f>
        <v/>
      </c>
    </row>
    <row r="1765" spans="1:25" s="208" customFormat="1" ht="15.75" customHeight="1">
      <c r="A1765" s="201" t="str">
        <f>IF(B1765&lt;&gt;"",IF(AND(B1765&gt;=_TM1,B1765&lt;=_TM2,OR(TH!L1765="1111",TH!M1765="1111")),TH!D1765,""),"")</f>
        <v/>
      </c>
      <c r="B1765" s="36">
        <f t="shared" si="85"/>
        <v>1</v>
      </c>
      <c r="C1765" s="188">
        <f t="shared" si="83"/>
        <v>41288</v>
      </c>
      <c r="D1765" s="37" t="s">
        <v>457</v>
      </c>
      <c r="E1765" s="757">
        <v>41288</v>
      </c>
      <c r="F1765" s="189" t="s">
        <v>708</v>
      </c>
      <c r="G1765" s="480" t="s">
        <v>709</v>
      </c>
      <c r="H1765" s="7" t="s">
        <v>1258</v>
      </c>
      <c r="I1765" s="249">
        <v>820</v>
      </c>
      <c r="J1765" s="249">
        <v>7334.2037490680577</v>
      </c>
      <c r="K1765" s="595">
        <f t="shared" si="86"/>
        <v>6014047</v>
      </c>
      <c r="L1765" s="39" t="s">
        <v>170</v>
      </c>
      <c r="M1765" s="39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IF(OR(TH!L1765=TH!$U$7,M1765=TH!$U$7),"x","")</f>
        <v/>
      </c>
      <c r="V1765" s="52" t="str">
        <f>IF(AND(B1765&gt;='IN-NX'!$P$3,B1765&lt;='IN-NX'!$Q$3,'IN-NX'!$D$7=D1765,OR(LEFT(L1765,2)="15",AND(LEFT(M1765,2)&lt;&gt;"15",LEFT(M1765,2)&lt;&gt;"33"))),"x","")</f>
        <v/>
      </c>
      <c r="W1765" s="52" t="str">
        <f>IF(AND(OR(LEFT(TH!L1765,2)="15",LEFT(TH!M1765,2)="15"),'152-CT'!$J$8=TH!F1765),"x","")</f>
        <v/>
      </c>
      <c r="X1765" s="52" t="str">
        <f>IF(AND(OR(LEFT(TH!L1765,2)="15",LEFT(TH!M1765,2)="15"),TK!$E$7=TH!F1765),"x","")</f>
        <v/>
      </c>
      <c r="Y1765" s="52" t="str">
        <f>IF(AND(B1765&lt;=NKC!$N$8,B1765&gt;=NKC!$M$8),"x","")</f>
        <v/>
      </c>
    </row>
    <row r="1766" spans="1:25" s="208" customFormat="1" ht="15.75" customHeight="1">
      <c r="A1766" s="201" t="str">
        <f>IF(B1766&lt;&gt;"",IF(AND(B1766&gt;=_TM1,B1766&lt;=_TM2,OR(TH!L1766="1111",TH!M1766="1111")),TH!D1766,""),"")</f>
        <v/>
      </c>
      <c r="B1766" s="36">
        <f t="shared" si="85"/>
        <v>1</v>
      </c>
      <c r="C1766" s="188">
        <f t="shared" si="83"/>
        <v>41290</v>
      </c>
      <c r="D1766" s="37" t="s">
        <v>457</v>
      </c>
      <c r="E1766" s="188">
        <v>41290</v>
      </c>
      <c r="F1766" s="290" t="s">
        <v>711</v>
      </c>
      <c r="G1766" s="480" t="s">
        <v>712</v>
      </c>
      <c r="H1766" s="7" t="s">
        <v>1258</v>
      </c>
      <c r="I1766" s="249">
        <v>274</v>
      </c>
      <c r="J1766" s="249">
        <v>24927.345105664106</v>
      </c>
      <c r="K1766" s="595">
        <f t="shared" si="86"/>
        <v>6830093</v>
      </c>
      <c r="L1766" s="39" t="s">
        <v>170</v>
      </c>
      <c r="M1766" s="39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IF(OR(TH!L1766=TH!$U$7,M1766=TH!$U$7),"x","")</f>
        <v/>
      </c>
      <c r="V1766" s="52" t="str">
        <f>IF(AND(B1766&gt;='IN-NX'!$P$3,B1766&lt;='IN-NX'!$Q$3,'IN-NX'!$D$7=D1766,OR(LEFT(L1766,2)="15",AND(LEFT(M1766,2)&lt;&gt;"15",LEFT(M1766,2)&lt;&gt;"33"))),"x","")</f>
        <v/>
      </c>
      <c r="W1766" s="52" t="str">
        <f>IF(AND(OR(LEFT(TH!L1766,2)="15",LEFT(TH!M1766,2)="15"),'152-CT'!$J$8=TH!F1766),"x","")</f>
        <v/>
      </c>
      <c r="X1766" s="52" t="str">
        <f>IF(AND(OR(LEFT(TH!L1766,2)="15",LEFT(TH!M1766,2)="15"),TK!$E$7=TH!F1766),"x","")</f>
        <v/>
      </c>
      <c r="Y1766" s="52" t="str">
        <f>IF(AND(B1766&lt;=NKC!$N$8,B1766&gt;=NKC!$M$8),"x","")</f>
        <v/>
      </c>
    </row>
    <row r="1767" spans="1:25" s="208" customFormat="1" ht="15.75" customHeight="1">
      <c r="A1767" s="201" t="str">
        <f>IF(B1767&lt;&gt;"",IF(AND(B1767&gt;=_TM1,B1767&lt;=_TM2,OR(TH!L1767="1111",TH!M1767="1111")),TH!D1767,""),"")</f>
        <v/>
      </c>
      <c r="B1767" s="36">
        <f t="shared" si="85"/>
        <v>1</v>
      </c>
      <c r="C1767" s="188">
        <f t="shared" si="83"/>
        <v>41292</v>
      </c>
      <c r="D1767" s="37" t="s">
        <v>457</v>
      </c>
      <c r="E1767" s="188">
        <v>41292</v>
      </c>
      <c r="F1767" s="290" t="s">
        <v>714</v>
      </c>
      <c r="G1767" s="480" t="s">
        <v>715</v>
      </c>
      <c r="H1767" s="7" t="s">
        <v>1258</v>
      </c>
      <c r="I1767" s="249">
        <v>113</v>
      </c>
      <c r="J1767" s="249">
        <v>26518.310159601184</v>
      </c>
      <c r="K1767" s="595">
        <f t="shared" si="86"/>
        <v>2996569</v>
      </c>
      <c r="L1767" s="39" t="s">
        <v>170</v>
      </c>
      <c r="M1767" s="39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IF(OR(TH!L1767=TH!$U$7,M1767=TH!$U$7),"x","")</f>
        <v/>
      </c>
      <c r="V1767" s="52" t="str">
        <f>IF(AND(B1767&gt;='IN-NX'!$P$3,B1767&lt;='IN-NX'!$Q$3,'IN-NX'!$D$7=D1767,OR(LEFT(L1767,2)="15",AND(LEFT(M1767,2)&lt;&gt;"15",LEFT(M1767,2)&lt;&gt;"33"))),"x","")</f>
        <v/>
      </c>
      <c r="W1767" s="52" t="str">
        <f>IF(AND(OR(LEFT(TH!L1767,2)="15",LEFT(TH!M1767,2)="15"),'152-CT'!$J$8=TH!F1767),"x","")</f>
        <v/>
      </c>
      <c r="X1767" s="52" t="str">
        <f>IF(AND(OR(LEFT(TH!L1767,2)="15",LEFT(TH!M1767,2)="15"),TK!$E$7=TH!F1767),"x","")</f>
        <v/>
      </c>
      <c r="Y1767" s="52" t="str">
        <f>IF(AND(B1767&lt;=NKC!$N$8,B1767&gt;=NKC!$M$8),"x","")</f>
        <v/>
      </c>
    </row>
    <row r="1768" spans="1:25" s="208" customFormat="1" ht="15.75" customHeight="1">
      <c r="A1768" s="201" t="str">
        <f>IF(B1768&lt;&gt;"",IF(AND(B1768&gt;=_TM1,B1768&lt;=_TM2,OR(TH!L1768="1111",TH!M1768="1111")),TH!D1768,""),"")</f>
        <v/>
      </c>
      <c r="B1768" s="36">
        <f t="shared" si="85"/>
        <v>1</v>
      </c>
      <c r="C1768" s="188">
        <f t="shared" si="83"/>
        <v>41292</v>
      </c>
      <c r="D1768" s="37" t="s">
        <v>457</v>
      </c>
      <c r="E1768" s="181">
        <v>41292</v>
      </c>
      <c r="F1768" s="186" t="s">
        <v>716</v>
      </c>
      <c r="G1768" s="597" t="s">
        <v>717</v>
      </c>
      <c r="H1768" s="7" t="s">
        <v>1258</v>
      </c>
      <c r="I1768" s="249">
        <v>1319</v>
      </c>
      <c r="J1768" s="249">
        <v>5210.9040393840787</v>
      </c>
      <c r="K1768" s="595">
        <f t="shared" si="86"/>
        <v>6873182</v>
      </c>
      <c r="L1768" s="39" t="s">
        <v>170</v>
      </c>
      <c r="M1768" s="39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IF(OR(TH!L1768=TH!$U$7,M1768=TH!$U$7),"x","")</f>
        <v/>
      </c>
      <c r="V1768" s="52" t="str">
        <f>IF(AND(B1768&gt;='IN-NX'!$P$3,B1768&lt;='IN-NX'!$Q$3,'IN-NX'!$D$7=D1768,OR(LEFT(L1768,2)="15",AND(LEFT(M1768,2)&lt;&gt;"15",LEFT(M1768,2)&lt;&gt;"33"))),"x","")</f>
        <v/>
      </c>
      <c r="W1768" s="52" t="str">
        <f>IF(AND(OR(LEFT(TH!L1768,2)="15",LEFT(TH!M1768,2)="15"),'152-CT'!$J$8=TH!F1768),"x","")</f>
        <v/>
      </c>
      <c r="X1768" s="52" t="str">
        <f>IF(AND(OR(LEFT(TH!L1768,2)="15",LEFT(TH!M1768,2)="15"),TK!$E$7=TH!F1768),"x","")</f>
        <v/>
      </c>
      <c r="Y1768" s="52" t="str">
        <f>IF(AND(B1768&lt;=NKC!$N$8,B1768&gt;=NKC!$M$8),"x","")</f>
        <v/>
      </c>
    </row>
    <row r="1769" spans="1:25" s="208" customFormat="1" ht="15.75" customHeight="1">
      <c r="A1769" s="201" t="str">
        <f>IF(B1769&lt;&gt;"",IF(AND(B1769&gt;=_TM1,B1769&lt;=_TM2,OR(TH!L1769="1111",TH!M1769="1111")),TH!D1769,""),"")</f>
        <v/>
      </c>
      <c r="B1769" s="36">
        <f t="shared" si="85"/>
        <v>1</v>
      </c>
      <c r="C1769" s="188">
        <f t="shared" si="83"/>
        <v>41292</v>
      </c>
      <c r="D1769" s="37" t="s">
        <v>457</v>
      </c>
      <c r="E1769" s="735">
        <v>41292</v>
      </c>
      <c r="F1769" s="186" t="s">
        <v>718</v>
      </c>
      <c r="G1769" s="40" t="s">
        <v>717</v>
      </c>
      <c r="H1769" s="7" t="s">
        <v>1258</v>
      </c>
      <c r="I1769" s="249">
        <v>306</v>
      </c>
      <c r="J1769" s="249">
        <v>5700.5954276907269</v>
      </c>
      <c r="K1769" s="595">
        <f t="shared" si="86"/>
        <v>1744382</v>
      </c>
      <c r="L1769" s="39" t="s">
        <v>170</v>
      </c>
      <c r="M1769" s="39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IF(OR(TH!L1769=TH!$U$7,M1769=TH!$U$7),"x","")</f>
        <v/>
      </c>
      <c r="V1769" s="52" t="str">
        <f>IF(AND(B1769&gt;='IN-NX'!$P$3,B1769&lt;='IN-NX'!$Q$3,'IN-NX'!$D$7=D1769,OR(LEFT(L1769,2)="15",AND(LEFT(M1769,2)&lt;&gt;"15",LEFT(M1769,2)&lt;&gt;"33"))),"x","")</f>
        <v/>
      </c>
      <c r="W1769" s="52" t="str">
        <f>IF(AND(OR(LEFT(TH!L1769,2)="15",LEFT(TH!M1769,2)="15"),'152-CT'!$J$8=TH!F1769),"x","")</f>
        <v/>
      </c>
      <c r="X1769" s="52" t="str">
        <f>IF(AND(OR(LEFT(TH!L1769,2)="15",LEFT(TH!M1769,2)="15"),TK!$E$7=TH!F1769),"x","")</f>
        <v/>
      </c>
      <c r="Y1769" s="52" t="str">
        <f>IF(AND(B1769&lt;=NKC!$N$8,B1769&gt;=NKC!$M$8),"x","")</f>
        <v/>
      </c>
    </row>
    <row r="1770" spans="1:25" s="208" customFormat="1" ht="15.75" customHeight="1">
      <c r="A1770" s="201" t="str">
        <f>IF(B1770&lt;&gt;"",IF(AND(B1770&gt;=_TM1,B1770&lt;=_TM2,OR(TH!L1770="1111",TH!M1770="1111")),TH!D1770,""),"")</f>
        <v/>
      </c>
      <c r="B1770" s="36">
        <f t="shared" si="85"/>
        <v>1</v>
      </c>
      <c r="C1770" s="188">
        <f t="shared" si="83"/>
        <v>41293</v>
      </c>
      <c r="D1770" s="37" t="s">
        <v>457</v>
      </c>
      <c r="E1770" s="735">
        <v>41293</v>
      </c>
      <c r="F1770" s="40" t="s">
        <v>719</v>
      </c>
      <c r="G1770" s="40" t="s">
        <v>720</v>
      </c>
      <c r="H1770" s="7" t="s">
        <v>1258</v>
      </c>
      <c r="I1770" s="249">
        <v>294</v>
      </c>
      <c r="J1770" s="249">
        <v>13653.852330451831</v>
      </c>
      <c r="K1770" s="595">
        <f t="shared" si="86"/>
        <v>4014233</v>
      </c>
      <c r="L1770" s="39" t="s">
        <v>170</v>
      </c>
      <c r="M1770" s="39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IF(OR(TH!L1770=TH!$U$7,M1770=TH!$U$7),"x","")</f>
        <v/>
      </c>
      <c r="V1770" s="52" t="str">
        <f>IF(AND(B1770&gt;='IN-NX'!$P$3,B1770&lt;='IN-NX'!$Q$3,'IN-NX'!$D$7=D1770,OR(LEFT(L1770,2)="15",AND(LEFT(M1770,2)&lt;&gt;"15",LEFT(M1770,2)&lt;&gt;"33"))),"x","")</f>
        <v/>
      </c>
      <c r="W1770" s="52" t="str">
        <f>IF(AND(OR(LEFT(TH!L1770,2)="15",LEFT(TH!M1770,2)="15"),'152-CT'!$J$8=TH!F1770),"x","")</f>
        <v/>
      </c>
      <c r="X1770" s="52" t="str">
        <f>IF(AND(OR(LEFT(TH!L1770,2)="15",LEFT(TH!M1770,2)="15"),TK!$E$7=TH!F1770),"x","")</f>
        <v/>
      </c>
      <c r="Y1770" s="52" t="str">
        <f>IF(AND(B1770&lt;=NKC!$N$8,B1770&gt;=NKC!$M$8),"x","")</f>
        <v/>
      </c>
    </row>
    <row r="1771" spans="1:25" s="208" customFormat="1" ht="15.75" customHeight="1">
      <c r="A1771" s="201" t="str">
        <f>IF(B1771&lt;&gt;"",IF(AND(B1771&gt;=_TM1,B1771&lt;=_TM2,OR(TH!L1771="1111",TH!M1771="1111")),TH!D1771,""),"")</f>
        <v/>
      </c>
      <c r="B1771" s="36">
        <f t="shared" si="85"/>
        <v>1</v>
      </c>
      <c r="C1771" s="188">
        <f t="shared" si="83"/>
        <v>41293</v>
      </c>
      <c r="D1771" s="37" t="s">
        <v>457</v>
      </c>
      <c r="E1771" s="735">
        <v>41293</v>
      </c>
      <c r="F1771" s="186" t="s">
        <v>721</v>
      </c>
      <c r="G1771" s="40" t="s">
        <v>720</v>
      </c>
      <c r="H1771" s="7" t="s">
        <v>1258</v>
      </c>
      <c r="I1771" s="249">
        <v>100</v>
      </c>
      <c r="J1771" s="249">
        <v>8598.3013100436692</v>
      </c>
      <c r="K1771" s="595">
        <f t="shared" si="86"/>
        <v>859830</v>
      </c>
      <c r="L1771" s="39" t="s">
        <v>170</v>
      </c>
      <c r="M1771" s="39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IF(OR(TH!L1771=TH!$U$7,M1771=TH!$U$7),"x","")</f>
        <v/>
      </c>
      <c r="V1771" s="52" t="str">
        <f>IF(AND(B1771&gt;='IN-NX'!$P$3,B1771&lt;='IN-NX'!$Q$3,'IN-NX'!$D$7=D1771,OR(LEFT(L1771,2)="15",AND(LEFT(M1771,2)&lt;&gt;"15",LEFT(M1771,2)&lt;&gt;"33"))),"x","")</f>
        <v/>
      </c>
      <c r="W1771" s="52" t="str">
        <f>IF(AND(OR(LEFT(TH!L1771,2)="15",LEFT(TH!M1771,2)="15"),'152-CT'!$J$8=TH!F1771),"x","")</f>
        <v/>
      </c>
      <c r="X1771" s="52" t="str">
        <f>IF(AND(OR(LEFT(TH!L1771,2)="15",LEFT(TH!M1771,2)="15"),TK!$E$7=TH!F1771),"x","")</f>
        <v/>
      </c>
      <c r="Y1771" s="52" t="str">
        <f>IF(AND(B1771&lt;=NKC!$N$8,B1771&gt;=NKC!$M$8),"x","")</f>
        <v/>
      </c>
    </row>
    <row r="1772" spans="1:25" s="208" customFormat="1" ht="15.75" customHeight="1">
      <c r="A1772" s="201" t="str">
        <f>IF(B1772&lt;&gt;"",IF(AND(B1772&gt;=_TM1,B1772&lt;=_TM2,OR(TH!L1772="1111",TH!M1772="1111")),TH!D1772,""),"")</f>
        <v/>
      </c>
      <c r="B1772" s="36">
        <f t="shared" si="85"/>
        <v>1</v>
      </c>
      <c r="C1772" s="188">
        <f t="shared" si="83"/>
        <v>41293</v>
      </c>
      <c r="D1772" s="37" t="s">
        <v>457</v>
      </c>
      <c r="E1772" s="735">
        <v>41293</v>
      </c>
      <c r="F1772" s="40" t="s">
        <v>722</v>
      </c>
      <c r="G1772" s="40" t="s">
        <v>720</v>
      </c>
      <c r="H1772" s="7" t="s">
        <v>1258</v>
      </c>
      <c r="I1772" s="249">
        <v>494</v>
      </c>
      <c r="J1772" s="249">
        <v>13088.287140003185</v>
      </c>
      <c r="K1772" s="595">
        <f t="shared" si="86"/>
        <v>6465614</v>
      </c>
      <c r="L1772" s="39" t="s">
        <v>170</v>
      </c>
      <c r="M1772" s="39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IF(OR(TH!L1772=TH!$U$7,M1772=TH!$U$7),"x","")</f>
        <v/>
      </c>
      <c r="V1772" s="52" t="str">
        <f>IF(AND(B1772&gt;='IN-NX'!$P$3,B1772&lt;='IN-NX'!$Q$3,'IN-NX'!$D$7=D1772,OR(LEFT(L1772,2)="15",AND(LEFT(M1772,2)&lt;&gt;"15",LEFT(M1772,2)&lt;&gt;"33"))),"x","")</f>
        <v/>
      </c>
      <c r="W1772" s="52" t="str">
        <f>IF(AND(OR(LEFT(TH!L1772,2)="15",LEFT(TH!M1772,2)="15"),'152-CT'!$J$8=TH!F1772),"x","")</f>
        <v/>
      </c>
      <c r="X1772" s="52" t="str">
        <f>IF(AND(OR(LEFT(TH!L1772,2)="15",LEFT(TH!M1772,2)="15"),TK!$E$7=TH!F1772),"x","")</f>
        <v/>
      </c>
      <c r="Y1772" s="52" t="str">
        <f>IF(AND(B1772&lt;=NKC!$N$8,B1772&gt;=NKC!$M$8),"x","")</f>
        <v/>
      </c>
    </row>
    <row r="1773" spans="1:25" s="208" customFormat="1" ht="15.75" customHeight="1">
      <c r="A1773" s="201" t="str">
        <f>IF(B1773&lt;&gt;"",IF(AND(B1773&gt;=_TM1,B1773&lt;=_TM2,OR(TH!L1773="1111",TH!M1773="1111")),TH!D1773,""),"")</f>
        <v/>
      </c>
      <c r="B1773" s="36">
        <f t="shared" si="85"/>
        <v>1</v>
      </c>
      <c r="C1773" s="188">
        <f t="shared" si="83"/>
        <v>41293</v>
      </c>
      <c r="D1773" s="37" t="s">
        <v>457</v>
      </c>
      <c r="E1773" s="735">
        <v>41293</v>
      </c>
      <c r="F1773" s="186" t="s">
        <v>723</v>
      </c>
      <c r="G1773" s="40" t="s">
        <v>720</v>
      </c>
      <c r="H1773" s="7" t="s">
        <v>1258</v>
      </c>
      <c r="I1773" s="249">
        <v>284</v>
      </c>
      <c r="J1773" s="249">
        <v>12697.695676240852</v>
      </c>
      <c r="K1773" s="595">
        <f t="shared" si="86"/>
        <v>3606146</v>
      </c>
      <c r="L1773" s="39" t="s">
        <v>170</v>
      </c>
      <c r="M1773" s="39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IF(OR(TH!L1773=TH!$U$7,M1773=TH!$U$7),"x","")</f>
        <v/>
      </c>
      <c r="V1773" s="52" t="str">
        <f>IF(AND(B1773&gt;='IN-NX'!$P$3,B1773&lt;='IN-NX'!$Q$3,'IN-NX'!$D$7=D1773,OR(LEFT(L1773,2)="15",AND(LEFT(M1773,2)&lt;&gt;"15",LEFT(M1773,2)&lt;&gt;"33"))),"x","")</f>
        <v/>
      </c>
      <c r="W1773" s="52" t="str">
        <f>IF(AND(OR(LEFT(TH!L1773,2)="15",LEFT(TH!M1773,2)="15"),'152-CT'!$J$8=TH!F1773),"x","")</f>
        <v/>
      </c>
      <c r="X1773" s="52" t="str">
        <f>IF(AND(OR(LEFT(TH!L1773,2)="15",LEFT(TH!M1773,2)="15"),TK!$E$7=TH!F1773),"x","")</f>
        <v/>
      </c>
      <c r="Y1773" s="52" t="str">
        <f>IF(AND(B1773&lt;=NKC!$N$8,B1773&gt;=NKC!$M$8),"x","")</f>
        <v/>
      </c>
    </row>
    <row r="1774" spans="1:25" s="208" customFormat="1" ht="15.75" customHeight="1">
      <c r="A1774" s="201" t="str">
        <f>IF(B1774&lt;&gt;"",IF(AND(B1774&gt;=_TM1,B1774&lt;=_TM2,OR(TH!L1774="1111",TH!M1774="1111")),TH!D1774,""),"")</f>
        <v/>
      </c>
      <c r="B1774" s="36">
        <f t="shared" si="85"/>
        <v>1</v>
      </c>
      <c r="C1774" s="188">
        <f t="shared" si="83"/>
        <v>41297</v>
      </c>
      <c r="D1774" s="37" t="s">
        <v>457</v>
      </c>
      <c r="E1774" s="735">
        <v>41297</v>
      </c>
      <c r="F1774" s="186" t="s">
        <v>724</v>
      </c>
      <c r="G1774" s="40" t="s">
        <v>725</v>
      </c>
      <c r="H1774" s="7" t="s">
        <v>1258</v>
      </c>
      <c r="I1774" s="249">
        <v>707</v>
      </c>
      <c r="J1774" s="249">
        <v>7225.6619889687045</v>
      </c>
      <c r="K1774" s="595">
        <f t="shared" si="86"/>
        <v>5108543</v>
      </c>
      <c r="L1774" s="39" t="s">
        <v>170</v>
      </c>
      <c r="M1774" s="39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IF(OR(TH!L1774=TH!$U$7,M1774=TH!$U$7),"x","")</f>
        <v/>
      </c>
      <c r="V1774" s="52" t="str">
        <f>IF(AND(B1774&gt;='IN-NX'!$P$3,B1774&lt;='IN-NX'!$Q$3,'IN-NX'!$D$7=D1774,OR(LEFT(L1774,2)="15",AND(LEFT(M1774,2)&lt;&gt;"15",LEFT(M1774,2)&lt;&gt;"33"))),"x","")</f>
        <v/>
      </c>
      <c r="W1774" s="52" t="str">
        <f>IF(AND(OR(LEFT(TH!L1774,2)="15",LEFT(TH!M1774,2)="15"),'152-CT'!$J$8=TH!F1774),"x","")</f>
        <v/>
      </c>
      <c r="X1774" s="52" t="str">
        <f>IF(AND(OR(LEFT(TH!L1774,2)="15",LEFT(TH!M1774,2)="15"),TK!$E$7=TH!F1774),"x","")</f>
        <v/>
      </c>
      <c r="Y1774" s="52" t="str">
        <f>IF(AND(B1774&lt;=NKC!$N$8,B1774&gt;=NKC!$M$8),"x","")</f>
        <v/>
      </c>
    </row>
    <row r="1775" spans="1:25" s="208" customFormat="1" ht="15.75" customHeight="1">
      <c r="A1775" s="201" t="str">
        <f>IF(B1775&lt;&gt;"",IF(AND(B1775&gt;=_TM1,B1775&lt;=_TM2,OR(TH!L1775="1111",TH!M1775="1111")),TH!D1775,""),"")</f>
        <v/>
      </c>
      <c r="B1775" s="36">
        <f t="shared" si="85"/>
        <v>1</v>
      </c>
      <c r="C1775" s="188">
        <f t="shared" si="83"/>
        <v>41303</v>
      </c>
      <c r="D1775" s="37" t="s">
        <v>457</v>
      </c>
      <c r="E1775" s="735">
        <v>41303</v>
      </c>
      <c r="F1775" s="186" t="s">
        <v>708</v>
      </c>
      <c r="G1775" s="40" t="s">
        <v>726</v>
      </c>
      <c r="H1775" s="7" t="s">
        <v>1258</v>
      </c>
      <c r="I1775" s="249">
        <v>593</v>
      </c>
      <c r="J1775" s="249">
        <v>7448.1006355074123</v>
      </c>
      <c r="K1775" s="595">
        <f t="shared" si="86"/>
        <v>4416724</v>
      </c>
      <c r="L1775" s="39" t="s">
        <v>170</v>
      </c>
      <c r="M1775" s="39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IF(OR(TH!L1775=TH!$U$7,M1775=TH!$U$7),"x","")</f>
        <v/>
      </c>
      <c r="V1775" s="52" t="str">
        <f>IF(AND(B1775&gt;='IN-NX'!$P$3,B1775&lt;='IN-NX'!$Q$3,'IN-NX'!$D$7=D1775,OR(LEFT(L1775,2)="15",AND(LEFT(M1775,2)&lt;&gt;"15",LEFT(M1775,2)&lt;&gt;"33"))),"x","")</f>
        <v/>
      </c>
      <c r="W1775" s="52" t="str">
        <f>IF(AND(OR(LEFT(TH!L1775,2)="15",LEFT(TH!M1775,2)="15"),'152-CT'!$J$8=TH!F1775),"x","")</f>
        <v/>
      </c>
      <c r="X1775" s="52" t="str">
        <f>IF(AND(OR(LEFT(TH!L1775,2)="15",LEFT(TH!M1775,2)="15"),TK!$E$7=TH!F1775),"x","")</f>
        <v/>
      </c>
      <c r="Y1775" s="52" t="str">
        <f>IF(AND(B1775&lt;=NKC!$N$8,B1775&gt;=NKC!$M$8),"x","")</f>
        <v/>
      </c>
    </row>
    <row r="1776" spans="1:25" s="208" customFormat="1" ht="15.75" customHeight="1">
      <c r="A1776" s="201" t="str">
        <f>IF(B1776&lt;&gt;"",IF(AND(B1776&gt;=_TM1,B1776&lt;=_TM2,OR(TH!L1776="1111",TH!M1776="1111")),TH!D1776,""),"")</f>
        <v/>
      </c>
      <c r="B1776" s="36">
        <f t="shared" si="85"/>
        <v>1</v>
      </c>
      <c r="C1776" s="188">
        <f t="shared" si="83"/>
        <v>41303</v>
      </c>
      <c r="D1776" s="37" t="s">
        <v>457</v>
      </c>
      <c r="E1776" s="735">
        <v>41303</v>
      </c>
      <c r="F1776" s="186" t="s">
        <v>727</v>
      </c>
      <c r="G1776" s="40" t="s">
        <v>726</v>
      </c>
      <c r="H1776" s="7" t="s">
        <v>1258</v>
      </c>
      <c r="I1776" s="249">
        <v>398</v>
      </c>
      <c r="J1776" s="249">
        <v>7546.2058326567339</v>
      </c>
      <c r="K1776" s="595">
        <f t="shared" si="86"/>
        <v>3003390</v>
      </c>
      <c r="L1776" s="39" t="s">
        <v>170</v>
      </c>
      <c r="M1776" s="39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IF(OR(TH!L1776=TH!$U$7,M1776=TH!$U$7),"x","")</f>
        <v/>
      </c>
      <c r="V1776" s="52" t="str">
        <f>IF(AND(B1776&gt;='IN-NX'!$P$3,B1776&lt;='IN-NX'!$Q$3,'IN-NX'!$D$7=D1776,OR(LEFT(L1776,2)="15",AND(LEFT(M1776,2)&lt;&gt;"15",LEFT(M1776,2)&lt;&gt;"33"))),"x","")</f>
        <v/>
      </c>
      <c r="W1776" s="52" t="str">
        <f>IF(AND(OR(LEFT(TH!L1776,2)="15",LEFT(TH!M1776,2)="15"),'152-CT'!$J$8=TH!F1776),"x","")</f>
        <v/>
      </c>
      <c r="X1776" s="52" t="str">
        <f>IF(AND(OR(LEFT(TH!L1776,2)="15",LEFT(TH!M1776,2)="15"),TK!$E$7=TH!F1776),"x","")</f>
        <v/>
      </c>
      <c r="Y1776" s="52" t="str">
        <f>IF(AND(B1776&lt;=NKC!$N$8,B1776&gt;=NKC!$M$8),"x","")</f>
        <v/>
      </c>
    </row>
    <row r="1777" spans="1:25" s="208" customFormat="1" ht="15.75" customHeight="1">
      <c r="A1777" s="201" t="str">
        <f>IF(B1777&lt;&gt;"",IF(AND(B1777&gt;=_TM1,B1777&lt;=_TM2,OR(TH!L1777="1111",TH!M1777="1111")),TH!D1777,""),"")</f>
        <v/>
      </c>
      <c r="B1777" s="36">
        <f t="shared" si="85"/>
        <v>1</v>
      </c>
      <c r="C1777" s="188">
        <f t="shared" si="83"/>
        <v>41303</v>
      </c>
      <c r="D1777" s="37" t="s">
        <v>457</v>
      </c>
      <c r="E1777" s="735">
        <v>41303</v>
      </c>
      <c r="F1777" s="186" t="s">
        <v>719</v>
      </c>
      <c r="G1777" s="40" t="s">
        <v>728</v>
      </c>
      <c r="H1777" s="7" t="s">
        <v>1258</v>
      </c>
      <c r="I1777" s="249">
        <v>410</v>
      </c>
      <c r="J1777" s="249">
        <v>13214.962285653424</v>
      </c>
      <c r="K1777" s="595">
        <f t="shared" si="86"/>
        <v>5418135</v>
      </c>
      <c r="L1777" s="39" t="s">
        <v>170</v>
      </c>
      <c r="M1777" s="39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IF(OR(TH!L1777=TH!$U$7,M1777=TH!$U$7),"x","")</f>
        <v/>
      </c>
      <c r="V1777" s="52" t="str">
        <f>IF(AND(B1777&gt;='IN-NX'!$P$3,B1777&lt;='IN-NX'!$Q$3,'IN-NX'!$D$7=D1777,OR(LEFT(L1777,2)="15",AND(LEFT(M1777,2)&lt;&gt;"15",LEFT(M1777,2)&lt;&gt;"33"))),"x","")</f>
        <v/>
      </c>
      <c r="W1777" s="52" t="str">
        <f>IF(AND(OR(LEFT(TH!L1777,2)="15",LEFT(TH!M1777,2)="15"),'152-CT'!$J$8=TH!F1777),"x","")</f>
        <v/>
      </c>
      <c r="X1777" s="52" t="str">
        <f>IF(AND(OR(LEFT(TH!L1777,2)="15",LEFT(TH!M1777,2)="15"),TK!$E$7=TH!F1777),"x","")</f>
        <v/>
      </c>
      <c r="Y1777" s="52" t="str">
        <f>IF(AND(B1777&lt;=NKC!$N$8,B1777&gt;=NKC!$M$8),"x","")</f>
        <v/>
      </c>
    </row>
    <row r="1778" spans="1:25" s="208" customFormat="1" ht="15.75" customHeight="1">
      <c r="A1778" s="201" t="str">
        <f>IF(B1778&lt;&gt;"",IF(AND(B1778&gt;=_TM1,B1778&lt;=_TM2,OR(TH!L1778="1111",TH!M1778="1111")),TH!D1778,""),"")</f>
        <v/>
      </c>
      <c r="B1778" s="36">
        <f t="shared" si="85"/>
        <v>1</v>
      </c>
      <c r="C1778" s="188">
        <f t="shared" si="83"/>
        <v>41303</v>
      </c>
      <c r="D1778" s="37" t="s">
        <v>457</v>
      </c>
      <c r="E1778" s="188">
        <v>41303</v>
      </c>
      <c r="F1778" s="189" t="s">
        <v>724</v>
      </c>
      <c r="G1778" s="480" t="s">
        <v>729</v>
      </c>
      <c r="H1778" s="7" t="s">
        <v>1258</v>
      </c>
      <c r="I1778" s="249">
        <v>1106</v>
      </c>
      <c r="J1778" s="249">
        <v>7222.2859393384251</v>
      </c>
      <c r="K1778" s="595">
        <f t="shared" si="86"/>
        <v>7987848</v>
      </c>
      <c r="L1778" s="39" t="s">
        <v>170</v>
      </c>
      <c r="M1778" s="39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IF(OR(TH!L1778=TH!$U$7,M1778=TH!$U$7),"x","")</f>
        <v/>
      </c>
      <c r="V1778" s="52" t="str">
        <f>IF(AND(B1778&gt;='IN-NX'!$P$3,B1778&lt;='IN-NX'!$Q$3,'IN-NX'!$D$7=D1778,OR(LEFT(L1778,2)="15",AND(LEFT(M1778,2)&lt;&gt;"15",LEFT(M1778,2)&lt;&gt;"33"))),"x","")</f>
        <v/>
      </c>
      <c r="W1778" s="52" t="str">
        <f>IF(AND(OR(LEFT(TH!L1778,2)="15",LEFT(TH!M1778,2)="15"),'152-CT'!$J$8=TH!F1778),"x","")</f>
        <v/>
      </c>
      <c r="X1778" s="52" t="str">
        <f>IF(AND(OR(LEFT(TH!L1778,2)="15",LEFT(TH!M1778,2)="15"),TK!$E$7=TH!F1778),"x","")</f>
        <v/>
      </c>
      <c r="Y1778" s="52" t="str">
        <f>IF(AND(B1778&lt;=NKC!$N$8,B1778&gt;=NKC!$M$8),"x","")</f>
        <v/>
      </c>
    </row>
    <row r="1779" spans="1:25" s="208" customFormat="1" ht="15.75" customHeight="1">
      <c r="A1779" s="201" t="str">
        <f>IF(B1779&lt;&gt;"",IF(AND(B1779&gt;=_TM1,B1779&lt;=_TM2,OR(TH!L1779="1111",TH!M1779="1111")),TH!D1779,""),"")</f>
        <v/>
      </c>
      <c r="B1779" s="36">
        <f t="shared" si="85"/>
        <v>1</v>
      </c>
      <c r="C1779" s="188">
        <f t="shared" si="83"/>
        <v>41305</v>
      </c>
      <c r="D1779" s="37" t="s">
        <v>457</v>
      </c>
      <c r="E1779" s="188">
        <v>41305</v>
      </c>
      <c r="F1779" s="189" t="s">
        <v>698</v>
      </c>
      <c r="G1779" s="480" t="s">
        <v>730</v>
      </c>
      <c r="H1779" s="7" t="s">
        <v>1258</v>
      </c>
      <c r="I1779" s="249">
        <v>1693</v>
      </c>
      <c r="J1779" s="249">
        <v>8011.9167855309679</v>
      </c>
      <c r="K1779" s="595">
        <f t="shared" si="86"/>
        <v>13564175</v>
      </c>
      <c r="L1779" s="39" t="s">
        <v>170</v>
      </c>
      <c r="M1779" s="39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IF(OR(TH!L1779=TH!$U$7,M1779=TH!$U$7),"x","")</f>
        <v/>
      </c>
      <c r="V1779" s="52" t="str">
        <f>IF(AND(B1779&gt;='IN-NX'!$P$3,B1779&lt;='IN-NX'!$Q$3,'IN-NX'!$D$7=D1779,OR(LEFT(L1779,2)="15",AND(LEFT(M1779,2)&lt;&gt;"15",LEFT(M1779,2)&lt;&gt;"33"))),"x","")</f>
        <v/>
      </c>
      <c r="W1779" s="52" t="str">
        <f>IF(AND(OR(LEFT(TH!L1779,2)="15",LEFT(TH!M1779,2)="15"),'152-CT'!$J$8=TH!F1779),"x","")</f>
        <v/>
      </c>
      <c r="X1779" s="52" t="str">
        <f>IF(AND(OR(LEFT(TH!L1779,2)="15",LEFT(TH!M1779,2)="15"),TK!$E$7=TH!F1779),"x","")</f>
        <v/>
      </c>
      <c r="Y1779" s="52" t="str">
        <f>IF(AND(B1779&lt;=NKC!$N$8,B1779&gt;=NKC!$M$8),"x","")</f>
        <v/>
      </c>
    </row>
    <row r="1780" spans="1:25" s="208" customFormat="1" ht="15.75" customHeight="1">
      <c r="A1780" s="201" t="str">
        <f>IF(B1780&lt;&gt;"",IF(AND(B1780&gt;=_TM1,B1780&lt;=_TM2,OR(TH!L1780="1111",TH!M1780="1111")),TH!D1780,""),"")</f>
        <v/>
      </c>
      <c r="B1780" s="36">
        <f t="shared" si="85"/>
        <v>1</v>
      </c>
      <c r="C1780" s="188">
        <f t="shared" si="83"/>
        <v>41305</v>
      </c>
      <c r="D1780" s="37" t="s">
        <v>457</v>
      </c>
      <c r="E1780" s="735">
        <v>41305</v>
      </c>
      <c r="F1780" s="40" t="s">
        <v>731</v>
      </c>
      <c r="G1780" s="40" t="s">
        <v>732</v>
      </c>
      <c r="H1780" s="7" t="s">
        <v>1258</v>
      </c>
      <c r="I1780" s="249">
        <v>466</v>
      </c>
      <c r="J1780" s="249">
        <v>21416.116760687448</v>
      </c>
      <c r="K1780" s="595">
        <f t="shared" si="86"/>
        <v>9979910</v>
      </c>
      <c r="L1780" s="39" t="s">
        <v>170</v>
      </c>
      <c r="M1780" s="39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IF(OR(TH!L1780=TH!$U$7,M1780=TH!$U$7),"x","")</f>
        <v/>
      </c>
      <c r="V1780" s="52" t="str">
        <f>IF(AND(B1780&gt;='IN-NX'!$P$3,B1780&lt;='IN-NX'!$Q$3,'IN-NX'!$D$7=D1780,OR(LEFT(L1780,2)="15",AND(LEFT(M1780,2)&lt;&gt;"15",LEFT(M1780,2)&lt;&gt;"33"))),"x","")</f>
        <v/>
      </c>
      <c r="W1780" s="52" t="str">
        <f>IF(AND(OR(LEFT(TH!L1780,2)="15",LEFT(TH!M1780,2)="15"),'152-CT'!$J$8=TH!F1780),"x","")</f>
        <v/>
      </c>
      <c r="X1780" s="52" t="str">
        <f>IF(AND(OR(LEFT(TH!L1780,2)="15",LEFT(TH!M1780,2)="15"),TK!$E$7=TH!F1780),"x","")</f>
        <v/>
      </c>
      <c r="Y1780" s="52" t="str">
        <f>IF(AND(B1780&lt;=NKC!$N$8,B1780&gt;=NKC!$M$8),"x","")</f>
        <v/>
      </c>
    </row>
    <row r="1781" spans="1:25" s="208" customFormat="1" ht="15.75" customHeight="1">
      <c r="A1781" s="201" t="str">
        <f>IF(B1781&lt;&gt;"",IF(AND(B1781&gt;=_TM1,B1781&lt;=_TM2,OR(TH!L1781="1111",TH!M1781="1111")),TH!D1781,""),"")</f>
        <v/>
      </c>
      <c r="B1781" s="36">
        <f t="shared" si="85"/>
        <v>2</v>
      </c>
      <c r="C1781" s="188">
        <f t="shared" si="83"/>
        <v>41328</v>
      </c>
      <c r="D1781" s="37" t="s">
        <v>457</v>
      </c>
      <c r="E1781" s="735">
        <v>41328</v>
      </c>
      <c r="F1781" s="186" t="s">
        <v>733</v>
      </c>
      <c r="G1781" s="40" t="s">
        <v>734</v>
      </c>
      <c r="H1781" s="7" t="s">
        <v>1258</v>
      </c>
      <c r="I1781" s="249">
        <v>610</v>
      </c>
      <c r="J1781" s="249">
        <v>7278.6439329944869</v>
      </c>
      <c r="K1781" s="595">
        <f t="shared" si="86"/>
        <v>4439973</v>
      </c>
      <c r="L1781" s="39" t="s">
        <v>170</v>
      </c>
      <c r="M1781" s="39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IF(OR(TH!L1781=TH!$U$7,M1781=TH!$U$7),"x","")</f>
        <v/>
      </c>
      <c r="V1781" s="52" t="str">
        <f>IF(AND(B1781&gt;='IN-NX'!$P$3,B1781&lt;='IN-NX'!$Q$3,'IN-NX'!$D$7=D1781,OR(LEFT(L1781,2)="15",AND(LEFT(M1781,2)&lt;&gt;"15",LEFT(M1781,2)&lt;&gt;"33"))),"x","")</f>
        <v/>
      </c>
      <c r="W1781" s="52" t="str">
        <f>IF(AND(OR(LEFT(TH!L1781,2)="15",LEFT(TH!M1781,2)="15"),'152-CT'!$J$8=TH!F1781),"x","")</f>
        <v/>
      </c>
      <c r="X1781" s="52" t="str">
        <f>IF(AND(OR(LEFT(TH!L1781,2)="15",LEFT(TH!M1781,2)="15"),TK!$E$7=TH!F1781),"x","")</f>
        <v/>
      </c>
      <c r="Y1781" s="52" t="str">
        <f>IF(AND(B1781&lt;=NKC!$N$8,B1781&gt;=NKC!$M$8),"x","")</f>
        <v/>
      </c>
    </row>
    <row r="1782" spans="1:25" s="208" customFormat="1" ht="15.75" customHeight="1">
      <c r="A1782" s="201" t="str">
        <f>IF(B1782&lt;&gt;"",IF(AND(B1782&gt;=_TM1,B1782&lt;=_TM2,OR(TH!L1782="1111",TH!M1782="1111")),TH!D1782,""),"")</f>
        <v/>
      </c>
      <c r="B1782" s="36">
        <f t="shared" si="85"/>
        <v>3</v>
      </c>
      <c r="C1782" s="188">
        <f t="shared" si="83"/>
        <v>41337</v>
      </c>
      <c r="D1782" s="37" t="s">
        <v>457</v>
      </c>
      <c r="E1782" s="735">
        <v>41337</v>
      </c>
      <c r="F1782" s="186" t="s">
        <v>735</v>
      </c>
      <c r="G1782" s="40" t="s">
        <v>736</v>
      </c>
      <c r="H1782" s="7" t="s">
        <v>1258</v>
      </c>
      <c r="I1782" s="249">
        <v>620</v>
      </c>
      <c r="J1782" s="249">
        <v>9716.4626003662488</v>
      </c>
      <c r="K1782" s="595">
        <f t="shared" si="86"/>
        <v>6024207</v>
      </c>
      <c r="L1782" s="39" t="s">
        <v>170</v>
      </c>
      <c r="M1782" s="39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IF(OR(TH!L1782=TH!$U$7,M1782=TH!$U$7),"x","")</f>
        <v/>
      </c>
      <c r="V1782" s="52" t="str">
        <f>IF(AND(B1782&gt;='IN-NX'!$P$3,B1782&lt;='IN-NX'!$Q$3,'IN-NX'!$D$7=D1782,OR(LEFT(L1782,2)="15",AND(LEFT(M1782,2)&lt;&gt;"15",LEFT(M1782,2)&lt;&gt;"33"))),"x","")</f>
        <v/>
      </c>
      <c r="W1782" s="52" t="str">
        <f>IF(AND(OR(LEFT(TH!L1782,2)="15",LEFT(TH!M1782,2)="15"),'152-CT'!$J$8=TH!F1782),"x","")</f>
        <v/>
      </c>
      <c r="X1782" s="52" t="str">
        <f>IF(AND(OR(LEFT(TH!L1782,2)="15",LEFT(TH!M1782,2)="15"),TK!$E$7=TH!F1782),"x","")</f>
        <v/>
      </c>
      <c r="Y1782" s="52" t="str">
        <f>IF(AND(B1782&lt;=NKC!$N$8,B1782&gt;=NKC!$M$8),"x","")</f>
        <v/>
      </c>
    </row>
    <row r="1783" spans="1:25" s="208" customFormat="1" ht="15.75" customHeight="1">
      <c r="A1783" s="201" t="str">
        <f>IF(B1783&lt;&gt;"",IF(AND(B1783&gt;=_TM1,B1783&lt;=_TM2,OR(TH!L1783="1111",TH!M1783="1111")),TH!D1783,""),"")</f>
        <v/>
      </c>
      <c r="B1783" s="36">
        <f t="shared" si="85"/>
        <v>3</v>
      </c>
      <c r="C1783" s="188">
        <f t="shared" si="83"/>
        <v>41337</v>
      </c>
      <c r="D1783" s="37" t="s">
        <v>457</v>
      </c>
      <c r="E1783" s="735">
        <v>41337</v>
      </c>
      <c r="F1783" s="186" t="s">
        <v>716</v>
      </c>
      <c r="G1783" s="40" t="s">
        <v>737</v>
      </c>
      <c r="H1783" s="7" t="s">
        <v>1258</v>
      </c>
      <c r="I1783" s="249">
        <v>1963</v>
      </c>
      <c r="J1783" s="249">
        <v>5237.7159814649622</v>
      </c>
      <c r="K1783" s="595">
        <f t="shared" si="86"/>
        <v>10281636</v>
      </c>
      <c r="L1783" s="39" t="s">
        <v>170</v>
      </c>
      <c r="M1783" s="39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IF(OR(TH!L1783=TH!$U$7,M1783=TH!$U$7),"x","")</f>
        <v/>
      </c>
      <c r="V1783" s="52" t="str">
        <f>IF(AND(B1783&gt;='IN-NX'!$P$3,B1783&lt;='IN-NX'!$Q$3,'IN-NX'!$D$7=D1783,OR(LEFT(L1783,2)="15",AND(LEFT(M1783,2)&lt;&gt;"15",LEFT(M1783,2)&lt;&gt;"33"))),"x","")</f>
        <v/>
      </c>
      <c r="W1783" s="52" t="str">
        <f>IF(AND(OR(LEFT(TH!L1783,2)="15",LEFT(TH!M1783,2)="15"),'152-CT'!$J$8=TH!F1783),"x","")</f>
        <v/>
      </c>
      <c r="X1783" s="52" t="str">
        <f>IF(AND(OR(LEFT(TH!L1783,2)="15",LEFT(TH!M1783,2)="15"),TK!$E$7=TH!F1783),"x","")</f>
        <v/>
      </c>
      <c r="Y1783" s="52" t="str">
        <f>IF(AND(B1783&lt;=NKC!$N$8,B1783&gt;=NKC!$M$8),"x","")</f>
        <v/>
      </c>
    </row>
    <row r="1784" spans="1:25" s="208" customFormat="1" ht="15.75" customHeight="1">
      <c r="A1784" s="201" t="str">
        <f>IF(B1784&lt;&gt;"",IF(AND(B1784&gt;=_TM1,B1784&lt;=_TM2,OR(TH!L1784="1111",TH!M1784="1111")),TH!D1784,""),"")</f>
        <v/>
      </c>
      <c r="B1784" s="36">
        <f t="shared" si="85"/>
        <v>3</v>
      </c>
      <c r="C1784" s="188">
        <f t="shared" si="83"/>
        <v>41337</v>
      </c>
      <c r="D1784" s="37" t="s">
        <v>457</v>
      </c>
      <c r="E1784" s="735">
        <v>41337</v>
      </c>
      <c r="F1784" s="186" t="s">
        <v>692</v>
      </c>
      <c r="G1784" s="40" t="s">
        <v>737</v>
      </c>
      <c r="H1784" s="7" t="s">
        <v>1258</v>
      </c>
      <c r="I1784" s="249">
        <v>559</v>
      </c>
      <c r="J1784" s="249">
        <v>4627.0723297216655</v>
      </c>
      <c r="K1784" s="595">
        <f t="shared" si="86"/>
        <v>2586533</v>
      </c>
      <c r="L1784" s="39" t="s">
        <v>170</v>
      </c>
      <c r="M1784" s="39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IF(OR(TH!L1784=TH!$U$7,M1784=TH!$U$7),"x","")</f>
        <v/>
      </c>
      <c r="V1784" s="52" t="str">
        <f>IF(AND(B1784&gt;='IN-NX'!$P$3,B1784&lt;='IN-NX'!$Q$3,'IN-NX'!$D$7=D1784,OR(LEFT(L1784,2)="15",AND(LEFT(M1784,2)&lt;&gt;"15",LEFT(M1784,2)&lt;&gt;"33"))),"x","")</f>
        <v/>
      </c>
      <c r="W1784" s="52" t="str">
        <f>IF(AND(OR(LEFT(TH!L1784,2)="15",LEFT(TH!M1784,2)="15"),'152-CT'!$J$8=TH!F1784),"x","")</f>
        <v/>
      </c>
      <c r="X1784" s="52" t="str">
        <f>IF(AND(OR(LEFT(TH!L1784,2)="15",LEFT(TH!M1784,2)="15"),TK!$E$7=TH!F1784),"x","")</f>
        <v/>
      </c>
      <c r="Y1784" s="52" t="str">
        <f>IF(AND(B1784&lt;=NKC!$N$8,B1784&gt;=NKC!$M$8),"x","")</f>
        <v/>
      </c>
    </row>
    <row r="1785" spans="1:25" s="208" customFormat="1" ht="15.75" customHeight="1">
      <c r="A1785" s="201" t="str">
        <f>IF(B1785&lt;&gt;"",IF(AND(B1785&gt;=_TM1,B1785&lt;=_TM2,OR(TH!L1785="1111",TH!M1785="1111")),TH!D1785,""),"")</f>
        <v/>
      </c>
      <c r="B1785" s="36">
        <f t="shared" si="85"/>
        <v>3</v>
      </c>
      <c r="C1785" s="188">
        <f t="shared" si="83"/>
        <v>41337</v>
      </c>
      <c r="D1785" s="37" t="s">
        <v>457</v>
      </c>
      <c r="E1785" s="735">
        <v>41337</v>
      </c>
      <c r="F1785" s="186" t="s">
        <v>738</v>
      </c>
      <c r="G1785" s="40" t="s">
        <v>737</v>
      </c>
      <c r="H1785" s="7" t="s">
        <v>1258</v>
      </c>
      <c r="I1785" s="249">
        <v>617</v>
      </c>
      <c r="J1785" s="249">
        <v>9742.3677606109304</v>
      </c>
      <c r="K1785" s="595">
        <f t="shared" si="86"/>
        <v>6011041</v>
      </c>
      <c r="L1785" s="39" t="s">
        <v>170</v>
      </c>
      <c r="M1785" s="39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IF(OR(TH!L1785=TH!$U$7,M1785=TH!$U$7),"x","")</f>
        <v/>
      </c>
      <c r="V1785" s="52" t="str">
        <f>IF(AND(B1785&gt;='IN-NX'!$P$3,B1785&lt;='IN-NX'!$Q$3,'IN-NX'!$D$7=D1785,OR(LEFT(L1785,2)="15",AND(LEFT(M1785,2)&lt;&gt;"15",LEFT(M1785,2)&lt;&gt;"33"))),"x","")</f>
        <v/>
      </c>
      <c r="W1785" s="52" t="str">
        <f>IF(AND(OR(LEFT(TH!L1785,2)="15",LEFT(TH!M1785,2)="15"),'152-CT'!$J$8=TH!F1785),"x","")</f>
        <v/>
      </c>
      <c r="X1785" s="52" t="str">
        <f>IF(AND(OR(LEFT(TH!L1785,2)="15",LEFT(TH!M1785,2)="15"),TK!$E$7=TH!F1785),"x","")</f>
        <v/>
      </c>
      <c r="Y1785" s="52" t="str">
        <f>IF(AND(B1785&lt;=NKC!$N$8,B1785&gt;=NKC!$M$8),"x","")</f>
        <v/>
      </c>
    </row>
    <row r="1786" spans="1:25" s="208" customFormat="1" ht="15.75" customHeight="1">
      <c r="A1786" s="201" t="str">
        <f>IF(B1786&lt;&gt;"",IF(AND(B1786&gt;=_TM1,B1786&lt;=_TM2,OR(TH!L1786="1111",TH!M1786="1111")),TH!D1786,""),"")</f>
        <v/>
      </c>
      <c r="B1786" s="36">
        <f t="shared" si="85"/>
        <v>3</v>
      </c>
      <c r="C1786" s="188">
        <f t="shared" si="83"/>
        <v>41345</v>
      </c>
      <c r="D1786" s="37" t="s">
        <v>457</v>
      </c>
      <c r="E1786" s="735">
        <v>41345</v>
      </c>
      <c r="F1786" s="186" t="s">
        <v>1093</v>
      </c>
      <c r="G1786" s="40" t="s">
        <v>739</v>
      </c>
      <c r="H1786" s="7" t="s">
        <v>1258</v>
      </c>
      <c r="I1786" s="249">
        <v>310</v>
      </c>
      <c r="J1786" s="249">
        <v>11868.20453585012</v>
      </c>
      <c r="K1786" s="595">
        <f t="shared" si="86"/>
        <v>3679143</v>
      </c>
      <c r="L1786" s="39" t="s">
        <v>170</v>
      </c>
      <c r="M1786" s="39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IF(OR(TH!L1786=TH!$U$7,M1786=TH!$U$7),"x","")</f>
        <v/>
      </c>
      <c r="V1786" s="52" t="str">
        <f>IF(AND(B1786&gt;='IN-NX'!$P$3,B1786&lt;='IN-NX'!$Q$3,'IN-NX'!$D$7=D1786,OR(LEFT(L1786,2)="15",AND(LEFT(M1786,2)&lt;&gt;"15",LEFT(M1786,2)&lt;&gt;"33"))),"x","")</f>
        <v/>
      </c>
      <c r="W1786" s="52" t="str">
        <f>IF(AND(OR(LEFT(TH!L1786,2)="15",LEFT(TH!M1786,2)="15"),'152-CT'!$J$8=TH!F1786),"x","")</f>
        <v/>
      </c>
      <c r="X1786" s="52" t="str">
        <f>IF(AND(OR(LEFT(TH!L1786,2)="15",LEFT(TH!M1786,2)="15"),TK!$E$7=TH!F1786),"x","")</f>
        <v/>
      </c>
      <c r="Y1786" s="52" t="str">
        <f>IF(AND(B1786&lt;=NKC!$N$8,B1786&gt;=NKC!$M$8),"x","")</f>
        <v/>
      </c>
    </row>
    <row r="1787" spans="1:25" s="208" customFormat="1" ht="15.75" customHeight="1">
      <c r="A1787" s="201" t="str">
        <f>IF(B1787&lt;&gt;"",IF(AND(B1787&gt;=_TM1,B1787&lt;=_TM2,OR(TH!L1787="1111",TH!M1787="1111")),TH!D1787,""),"")</f>
        <v/>
      </c>
      <c r="B1787" s="36">
        <f t="shared" si="85"/>
        <v>3</v>
      </c>
      <c r="C1787" s="188">
        <f t="shared" si="83"/>
        <v>41345</v>
      </c>
      <c r="D1787" s="37" t="s">
        <v>457</v>
      </c>
      <c r="E1787" s="735">
        <v>41345</v>
      </c>
      <c r="F1787" s="186" t="s">
        <v>708</v>
      </c>
      <c r="G1787" s="40" t="s">
        <v>741</v>
      </c>
      <c r="H1787" s="7" t="s">
        <v>1258</v>
      </c>
      <c r="I1787" s="249">
        <v>500</v>
      </c>
      <c r="J1787" s="249">
        <v>7418.3013100436683</v>
      </c>
      <c r="K1787" s="595">
        <f t="shared" si="86"/>
        <v>3709151</v>
      </c>
      <c r="L1787" s="39" t="s">
        <v>170</v>
      </c>
      <c r="M1787" s="39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IF(OR(TH!L1787=TH!$U$7,M1787=TH!$U$7),"x","")</f>
        <v/>
      </c>
      <c r="V1787" s="52" t="str">
        <f>IF(AND(B1787&gt;='IN-NX'!$P$3,B1787&lt;='IN-NX'!$Q$3,'IN-NX'!$D$7=D1787,OR(LEFT(L1787,2)="15",AND(LEFT(M1787,2)&lt;&gt;"15",LEFT(M1787,2)&lt;&gt;"33"))),"x","")</f>
        <v/>
      </c>
      <c r="W1787" s="52" t="str">
        <f>IF(AND(OR(LEFT(TH!L1787,2)="15",LEFT(TH!M1787,2)="15"),'152-CT'!$J$8=TH!F1787),"x","")</f>
        <v/>
      </c>
      <c r="X1787" s="52" t="str">
        <f>IF(AND(OR(LEFT(TH!L1787,2)="15",LEFT(TH!M1787,2)="15"),TK!$E$7=TH!F1787),"x","")</f>
        <v/>
      </c>
      <c r="Y1787" s="52" t="str">
        <f>IF(AND(B1787&lt;=NKC!$N$8,B1787&gt;=NKC!$M$8),"x","")</f>
        <v/>
      </c>
    </row>
    <row r="1788" spans="1:25" s="208" customFormat="1" ht="15.75" customHeight="1">
      <c r="A1788" s="201" t="str">
        <f>IF(B1788&lt;&gt;"",IF(AND(B1788&gt;=_TM1,B1788&lt;=_TM2,OR(TH!L1788="1111",TH!M1788="1111")),TH!D1788,""),"")</f>
        <v/>
      </c>
      <c r="B1788" s="36">
        <f t="shared" si="85"/>
        <v>3</v>
      </c>
      <c r="C1788" s="188">
        <f t="shared" ref="C1788:C1851" si="87">E1788</f>
        <v>41345</v>
      </c>
      <c r="D1788" s="37" t="s">
        <v>457</v>
      </c>
      <c r="E1788" s="188">
        <v>41345</v>
      </c>
      <c r="F1788" s="189" t="s">
        <v>727</v>
      </c>
      <c r="G1788" s="480" t="s">
        <v>741</v>
      </c>
      <c r="H1788" s="7" t="s">
        <v>1258</v>
      </c>
      <c r="I1788" s="249">
        <v>300</v>
      </c>
      <c r="J1788" s="249">
        <v>9375.3013100436692</v>
      </c>
      <c r="K1788" s="595">
        <f t="shared" si="86"/>
        <v>2812590</v>
      </c>
      <c r="L1788" s="39" t="s">
        <v>170</v>
      </c>
      <c r="M1788" s="39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IF(OR(TH!L1788=TH!$U$7,M1788=TH!$U$7),"x","")</f>
        <v/>
      </c>
      <c r="V1788" s="52" t="str">
        <f>IF(AND(B1788&gt;='IN-NX'!$P$3,B1788&lt;='IN-NX'!$Q$3,'IN-NX'!$D$7=D1788,OR(LEFT(L1788,2)="15",AND(LEFT(M1788,2)&lt;&gt;"15",LEFT(M1788,2)&lt;&gt;"33"))),"x","")</f>
        <v/>
      </c>
      <c r="W1788" s="52" t="str">
        <f>IF(AND(OR(LEFT(TH!L1788,2)="15",LEFT(TH!M1788,2)="15"),'152-CT'!$J$8=TH!F1788),"x","")</f>
        <v/>
      </c>
      <c r="X1788" s="52" t="str">
        <f>IF(AND(OR(LEFT(TH!L1788,2)="15",LEFT(TH!M1788,2)="15"),TK!$E$7=TH!F1788),"x","")</f>
        <v/>
      </c>
      <c r="Y1788" s="52" t="str">
        <f>IF(AND(B1788&lt;=NKC!$N$8,B1788&gt;=NKC!$M$8),"x","")</f>
        <v/>
      </c>
    </row>
    <row r="1789" spans="1:25" s="208" customFormat="1" ht="15.75" customHeight="1">
      <c r="A1789" s="201" t="str">
        <f>IF(B1789&lt;&gt;"",IF(AND(B1789&gt;=_TM1,B1789&lt;=_TM2,OR(TH!L1789="1111",TH!M1789="1111")),TH!D1789,""),"")</f>
        <v/>
      </c>
      <c r="B1789" s="36">
        <f t="shared" si="85"/>
        <v>3</v>
      </c>
      <c r="C1789" s="188">
        <f t="shared" si="87"/>
        <v>41346</v>
      </c>
      <c r="D1789" s="37" t="s">
        <v>457</v>
      </c>
      <c r="E1789" s="188">
        <v>41346</v>
      </c>
      <c r="F1789" s="189" t="s">
        <v>742</v>
      </c>
      <c r="G1789" s="480" t="s">
        <v>463</v>
      </c>
      <c r="H1789" s="7" t="s">
        <v>1258</v>
      </c>
      <c r="I1789" s="249">
        <v>512</v>
      </c>
      <c r="J1789" s="249">
        <v>21992.438028793666</v>
      </c>
      <c r="K1789" s="595">
        <f t="shared" si="86"/>
        <v>11260128</v>
      </c>
      <c r="L1789" s="39" t="s">
        <v>170</v>
      </c>
      <c r="M1789" s="39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IF(OR(TH!L1789=TH!$U$7,M1789=TH!$U$7),"x","")</f>
        <v/>
      </c>
      <c r="V1789" s="52" t="str">
        <f>IF(AND(B1789&gt;='IN-NX'!$P$3,B1789&lt;='IN-NX'!$Q$3,'IN-NX'!$D$7=D1789,OR(LEFT(L1789,2)="15",AND(LEFT(M1789,2)&lt;&gt;"15",LEFT(M1789,2)&lt;&gt;"33"))),"x","")</f>
        <v/>
      </c>
      <c r="W1789" s="52" t="str">
        <f>IF(AND(OR(LEFT(TH!L1789,2)="15",LEFT(TH!M1789,2)="15"),'152-CT'!$J$8=TH!F1789),"x","")</f>
        <v/>
      </c>
      <c r="X1789" s="52" t="str">
        <f>IF(AND(OR(LEFT(TH!L1789,2)="15",LEFT(TH!M1789,2)="15"),TK!$E$7=TH!F1789),"x","")</f>
        <v/>
      </c>
      <c r="Y1789" s="52" t="str">
        <f>IF(AND(B1789&lt;=NKC!$N$8,B1789&gt;=NKC!$M$8),"x","")</f>
        <v/>
      </c>
    </row>
    <row r="1790" spans="1:25" s="208" customFormat="1" ht="15.75" customHeight="1">
      <c r="A1790" s="201" t="str">
        <f>IF(B1790&lt;&gt;"",IF(AND(B1790&gt;=_TM1,B1790&lt;=_TM2,OR(TH!L1790="1111",TH!M1790="1111")),TH!D1790,""),"")</f>
        <v/>
      </c>
      <c r="B1790" s="36">
        <f t="shared" si="85"/>
        <v>3</v>
      </c>
      <c r="C1790" s="188">
        <f t="shared" si="87"/>
        <v>41346</v>
      </c>
      <c r="D1790" s="37" t="s">
        <v>457</v>
      </c>
      <c r="E1790" s="188">
        <v>41346</v>
      </c>
      <c r="F1790" s="189" t="s">
        <v>1094</v>
      </c>
      <c r="G1790" s="480" t="s">
        <v>743</v>
      </c>
      <c r="H1790" s="7" t="s">
        <v>1258</v>
      </c>
      <c r="I1790" s="249">
        <v>500</v>
      </c>
      <c r="J1790" s="249">
        <v>11770.331310043668</v>
      </c>
      <c r="K1790" s="595">
        <f t="shared" si="86"/>
        <v>5885166</v>
      </c>
      <c r="L1790" s="39" t="s">
        <v>170</v>
      </c>
      <c r="M1790" s="39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IF(OR(TH!L1790=TH!$U$7,M1790=TH!$U$7),"x","")</f>
        <v/>
      </c>
      <c r="V1790" s="52" t="str">
        <f>IF(AND(B1790&gt;='IN-NX'!$P$3,B1790&lt;='IN-NX'!$Q$3,'IN-NX'!$D$7=D1790,OR(LEFT(L1790,2)="15",AND(LEFT(M1790,2)&lt;&gt;"15",LEFT(M1790,2)&lt;&gt;"33"))),"x","")</f>
        <v/>
      </c>
      <c r="W1790" s="52" t="str">
        <f>IF(AND(OR(LEFT(TH!L1790,2)="15",LEFT(TH!M1790,2)="15"),'152-CT'!$J$8=TH!F1790),"x","")</f>
        <v/>
      </c>
      <c r="X1790" s="52" t="str">
        <f>IF(AND(OR(LEFT(TH!L1790,2)="15",LEFT(TH!M1790,2)="15"),TK!$E$7=TH!F1790),"x","")</f>
        <v/>
      </c>
      <c r="Y1790" s="52" t="str">
        <f>IF(AND(B1790&lt;=NKC!$N$8,B1790&gt;=NKC!$M$8),"x","")</f>
        <v/>
      </c>
    </row>
    <row r="1791" spans="1:25" s="208" customFormat="1" ht="15.75" customHeight="1">
      <c r="A1791" s="201" t="str">
        <f>IF(B1791&lt;&gt;"",IF(AND(B1791&gt;=_TM1,B1791&lt;=_TM2,OR(TH!L1791="1111",TH!M1791="1111")),TH!D1791,""),"")</f>
        <v/>
      </c>
      <c r="B1791" s="36">
        <f t="shared" si="85"/>
        <v>3</v>
      </c>
      <c r="C1791" s="188">
        <f t="shared" si="87"/>
        <v>41351</v>
      </c>
      <c r="D1791" s="37" t="s">
        <v>457</v>
      </c>
      <c r="E1791" s="37">
        <v>41351</v>
      </c>
      <c r="F1791" s="40" t="s">
        <v>745</v>
      </c>
      <c r="G1791" s="40" t="s">
        <v>746</v>
      </c>
      <c r="H1791" s="7" t="s">
        <v>1258</v>
      </c>
      <c r="I1791" s="249">
        <v>105</v>
      </c>
      <c r="J1791" s="249">
        <v>24843.301310043666</v>
      </c>
      <c r="K1791" s="595">
        <f t="shared" si="86"/>
        <v>2608547</v>
      </c>
      <c r="L1791" s="39" t="s">
        <v>170</v>
      </c>
      <c r="M1791" s="39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IF(OR(TH!L1791=TH!$U$7,M1791=TH!$U$7),"x","")</f>
        <v/>
      </c>
      <c r="V1791" s="52" t="str">
        <f>IF(AND(B1791&gt;='IN-NX'!$P$3,B1791&lt;='IN-NX'!$Q$3,'IN-NX'!$D$7=D1791,OR(LEFT(L1791,2)="15",AND(LEFT(M1791,2)&lt;&gt;"15",LEFT(M1791,2)&lt;&gt;"33"))),"x","")</f>
        <v/>
      </c>
      <c r="W1791" s="52" t="str">
        <f>IF(AND(OR(LEFT(TH!L1791,2)="15",LEFT(TH!M1791,2)="15"),'152-CT'!$J$8=TH!F1791),"x","")</f>
        <v/>
      </c>
      <c r="X1791" s="52" t="str">
        <f>IF(AND(OR(LEFT(TH!L1791,2)="15",LEFT(TH!M1791,2)="15"),TK!$E$7=TH!F1791),"x","")</f>
        <v/>
      </c>
      <c r="Y1791" s="52" t="str">
        <f>IF(AND(B1791&lt;=NKC!$N$8,B1791&gt;=NKC!$M$8),"x","")</f>
        <v/>
      </c>
    </row>
    <row r="1792" spans="1:25" s="208" customFormat="1" ht="15.75" customHeight="1">
      <c r="A1792" s="201" t="str">
        <f>IF(B1792&lt;&gt;"",IF(AND(B1792&gt;=_TM1,B1792&lt;=_TM2,OR(TH!L1792="1111",TH!M1792="1111")),TH!D1792,""),"")</f>
        <v/>
      </c>
      <c r="B1792" s="36">
        <f t="shared" si="85"/>
        <v>3</v>
      </c>
      <c r="C1792" s="188">
        <f t="shared" si="87"/>
        <v>41359</v>
      </c>
      <c r="D1792" s="37" t="s">
        <v>457</v>
      </c>
      <c r="E1792" s="37">
        <v>41359</v>
      </c>
      <c r="F1792" s="40" t="s">
        <v>747</v>
      </c>
      <c r="G1792" s="40" t="s">
        <v>748</v>
      </c>
      <c r="H1792" s="7" t="s">
        <v>1258</v>
      </c>
      <c r="I1792" s="249">
        <v>513</v>
      </c>
      <c r="J1792" s="249">
        <v>16736.353941622612</v>
      </c>
      <c r="K1792" s="595">
        <f t="shared" si="86"/>
        <v>8585750</v>
      </c>
      <c r="L1792" s="39" t="s">
        <v>170</v>
      </c>
      <c r="M1792" s="39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IF(OR(TH!L1792=TH!$U$7,M1792=TH!$U$7),"x","")</f>
        <v/>
      </c>
      <c r="V1792" s="52" t="str">
        <f>IF(AND(B1792&gt;='IN-NX'!$P$3,B1792&lt;='IN-NX'!$Q$3,'IN-NX'!$D$7=D1792,OR(LEFT(L1792,2)="15",AND(LEFT(M1792,2)&lt;&gt;"15",LEFT(M1792,2)&lt;&gt;"33"))),"x","")</f>
        <v/>
      </c>
      <c r="W1792" s="52" t="str">
        <f>IF(AND(OR(LEFT(TH!L1792,2)="15",LEFT(TH!M1792,2)="15"),'152-CT'!$J$8=TH!F1792),"x","")</f>
        <v/>
      </c>
      <c r="X1792" s="52" t="str">
        <f>IF(AND(OR(LEFT(TH!L1792,2)="15",LEFT(TH!M1792,2)="15"),TK!$E$7=TH!F1792),"x","")</f>
        <v/>
      </c>
      <c r="Y1792" s="52" t="str">
        <f>IF(AND(B1792&lt;=NKC!$N$8,B1792&gt;=NKC!$M$8),"x","")</f>
        <v/>
      </c>
    </row>
    <row r="1793" spans="1:25" s="208" customFormat="1" ht="15.75" customHeight="1">
      <c r="A1793" s="201" t="str">
        <f>IF(B1793&lt;&gt;"",IF(AND(B1793&gt;=_TM1,B1793&lt;=_TM2,OR(TH!L1793="1111",TH!M1793="1111")),TH!D1793,""),"")</f>
        <v/>
      </c>
      <c r="B1793" s="36">
        <f t="shared" si="85"/>
        <v>3</v>
      </c>
      <c r="C1793" s="188">
        <f t="shared" si="87"/>
        <v>41359</v>
      </c>
      <c r="D1793" s="37" t="s">
        <v>457</v>
      </c>
      <c r="E1793" s="181">
        <v>41359</v>
      </c>
      <c r="F1793" s="186" t="s">
        <v>786</v>
      </c>
      <c r="G1793" s="597" t="s">
        <v>748</v>
      </c>
      <c r="H1793" s="7" t="s">
        <v>1258</v>
      </c>
      <c r="I1793" s="249">
        <v>1100</v>
      </c>
      <c r="J1793" s="249">
        <v>1917.3649464073044</v>
      </c>
      <c r="K1793" s="595">
        <f t="shared" si="86"/>
        <v>2109101</v>
      </c>
      <c r="L1793" s="39" t="s">
        <v>170</v>
      </c>
      <c r="M1793" s="39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IF(OR(TH!L1793=TH!$U$7,M1793=TH!$U$7),"x","")</f>
        <v/>
      </c>
      <c r="V1793" s="52" t="str">
        <f>IF(AND(B1793&gt;='IN-NX'!$P$3,B1793&lt;='IN-NX'!$Q$3,'IN-NX'!$D$7=D1793,OR(LEFT(L1793,2)="15",AND(LEFT(M1793,2)&lt;&gt;"15",LEFT(M1793,2)&lt;&gt;"33"))),"x","")</f>
        <v/>
      </c>
      <c r="W1793" s="52" t="str">
        <f>IF(AND(OR(LEFT(TH!L1793,2)="15",LEFT(TH!M1793,2)="15"),'152-CT'!$J$8=TH!F1793),"x","")</f>
        <v/>
      </c>
      <c r="X1793" s="52" t="str">
        <f>IF(AND(OR(LEFT(TH!L1793,2)="15",LEFT(TH!M1793,2)="15"),TK!$E$7=TH!F1793),"x","")</f>
        <v/>
      </c>
      <c r="Y1793" s="52" t="str">
        <f>IF(AND(B1793&lt;=NKC!$N$8,B1793&gt;=NKC!$M$8),"x","")</f>
        <v/>
      </c>
    </row>
    <row r="1794" spans="1:25" s="208" customFormat="1" ht="15.75" customHeight="1">
      <c r="A1794" s="201" t="str">
        <f>IF(B1794&lt;&gt;"",IF(AND(B1794&gt;=_TM1,B1794&lt;=_TM2,OR(TH!L1794="1111",TH!M1794="1111")),TH!D1794,""),"")</f>
        <v/>
      </c>
      <c r="B1794" s="36">
        <f t="shared" si="85"/>
        <v>3</v>
      </c>
      <c r="C1794" s="188">
        <f t="shared" si="87"/>
        <v>41361</v>
      </c>
      <c r="D1794" s="37" t="s">
        <v>457</v>
      </c>
      <c r="E1794" s="181">
        <v>41361</v>
      </c>
      <c r="F1794" s="186" t="s">
        <v>745</v>
      </c>
      <c r="G1794" s="597" t="s">
        <v>749</v>
      </c>
      <c r="H1794" s="7" t="s">
        <v>1258</v>
      </c>
      <c r="I1794" s="249">
        <v>60</v>
      </c>
      <c r="J1794" s="249">
        <v>24843.301310043666</v>
      </c>
      <c r="K1794" s="595">
        <f t="shared" si="86"/>
        <v>1490598</v>
      </c>
      <c r="L1794" s="39" t="s">
        <v>170</v>
      </c>
      <c r="M1794" s="39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IF(OR(TH!L1794=TH!$U$7,M1794=TH!$U$7),"x","")</f>
        <v/>
      </c>
      <c r="V1794" s="52" t="str">
        <f>IF(AND(B1794&gt;='IN-NX'!$P$3,B1794&lt;='IN-NX'!$Q$3,'IN-NX'!$D$7=D1794,OR(LEFT(L1794,2)="15",AND(LEFT(M1794,2)&lt;&gt;"15",LEFT(M1794,2)&lt;&gt;"33"))),"x","")</f>
        <v/>
      </c>
      <c r="W1794" s="52" t="str">
        <f>IF(AND(OR(LEFT(TH!L1794,2)="15",LEFT(TH!M1794,2)="15"),'152-CT'!$J$8=TH!F1794),"x","")</f>
        <v/>
      </c>
      <c r="X1794" s="52" t="str">
        <f>IF(AND(OR(LEFT(TH!L1794,2)="15",LEFT(TH!M1794,2)="15"),TK!$E$7=TH!F1794),"x","")</f>
        <v/>
      </c>
      <c r="Y1794" s="52" t="str">
        <f>IF(AND(B1794&lt;=NKC!$N$8,B1794&gt;=NKC!$M$8),"x","")</f>
        <v/>
      </c>
    </row>
    <row r="1795" spans="1:25" s="208" customFormat="1" ht="15.75" customHeight="1">
      <c r="A1795" s="201" t="str">
        <f>IF(B1795&lt;&gt;"",IF(AND(B1795&gt;=_TM1,B1795&lt;=_TM2,OR(TH!L1795="1111",TH!M1795="1111")),TH!D1795,""),"")</f>
        <v/>
      </c>
      <c r="B1795" s="36">
        <f t="shared" si="85"/>
        <v>3</v>
      </c>
      <c r="C1795" s="188">
        <f t="shared" si="87"/>
        <v>41361</v>
      </c>
      <c r="D1795" s="37" t="s">
        <v>457</v>
      </c>
      <c r="E1795" s="181">
        <v>41361</v>
      </c>
      <c r="F1795" s="186" t="s">
        <v>723</v>
      </c>
      <c r="G1795" s="597" t="s">
        <v>750</v>
      </c>
      <c r="H1795" s="7" t="s">
        <v>1258</v>
      </c>
      <c r="I1795" s="249">
        <v>505</v>
      </c>
      <c r="J1795" s="249">
        <v>11790.043884301096</v>
      </c>
      <c r="K1795" s="595">
        <f t="shared" si="86"/>
        <v>5953972</v>
      </c>
      <c r="L1795" s="39" t="s">
        <v>170</v>
      </c>
      <c r="M1795" s="39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IF(OR(TH!L1795=TH!$U$7,M1795=TH!$U$7),"x","")</f>
        <v/>
      </c>
      <c r="V1795" s="52" t="str">
        <f>IF(AND(B1795&gt;='IN-NX'!$P$3,B1795&lt;='IN-NX'!$Q$3,'IN-NX'!$D$7=D1795,OR(LEFT(L1795,2)="15",AND(LEFT(M1795,2)&lt;&gt;"15",LEFT(M1795,2)&lt;&gt;"33"))),"x","")</f>
        <v/>
      </c>
      <c r="W1795" s="52" t="str">
        <f>IF(AND(OR(LEFT(TH!L1795,2)="15",LEFT(TH!M1795,2)="15"),'152-CT'!$J$8=TH!F1795),"x","")</f>
        <v/>
      </c>
      <c r="X1795" s="52" t="str">
        <f>IF(AND(OR(LEFT(TH!L1795,2)="15",LEFT(TH!M1795,2)="15"),TK!$E$7=TH!F1795),"x","")</f>
        <v/>
      </c>
      <c r="Y1795" s="52" t="str">
        <f>IF(AND(B1795&lt;=NKC!$N$8,B1795&gt;=NKC!$M$8),"x","")</f>
        <v/>
      </c>
    </row>
    <row r="1796" spans="1:25" s="208" customFormat="1" ht="15.75" customHeight="1">
      <c r="A1796" s="201" t="str">
        <f>IF(B1796&lt;&gt;"",IF(AND(B1796&gt;=_TM1,B1796&lt;=_TM2,OR(TH!L1796="1111",TH!M1796="1111")),TH!D1796,""),"")</f>
        <v/>
      </c>
      <c r="B1796" s="36">
        <f t="shared" si="85"/>
        <v>3</v>
      </c>
      <c r="C1796" s="188">
        <f t="shared" si="87"/>
        <v>41361</v>
      </c>
      <c r="D1796" s="37" t="s">
        <v>457</v>
      </c>
      <c r="E1796" s="181">
        <v>41361</v>
      </c>
      <c r="F1796" s="186" t="s">
        <v>751</v>
      </c>
      <c r="G1796" s="597" t="s">
        <v>750</v>
      </c>
      <c r="H1796" s="7" t="s">
        <v>1258</v>
      </c>
      <c r="I1796" s="249">
        <v>1990</v>
      </c>
      <c r="J1796" s="249">
        <v>7202.8013100436674</v>
      </c>
      <c r="K1796" s="595">
        <f t="shared" si="86"/>
        <v>14333575</v>
      </c>
      <c r="L1796" s="39" t="s">
        <v>170</v>
      </c>
      <c r="M1796" s="39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IF(OR(TH!L1796=TH!$U$7,M1796=TH!$U$7),"x","")</f>
        <v/>
      </c>
      <c r="V1796" s="52" t="str">
        <f>IF(AND(B1796&gt;='IN-NX'!$P$3,B1796&lt;='IN-NX'!$Q$3,'IN-NX'!$D$7=D1796,OR(LEFT(L1796,2)="15",AND(LEFT(M1796,2)&lt;&gt;"15",LEFT(M1796,2)&lt;&gt;"33"))),"x","")</f>
        <v/>
      </c>
      <c r="W1796" s="52" t="str">
        <f>IF(AND(OR(LEFT(TH!L1796,2)="15",LEFT(TH!M1796,2)="15"),'152-CT'!$J$8=TH!F1796),"x","")</f>
        <v/>
      </c>
      <c r="X1796" s="52" t="str">
        <f>IF(AND(OR(LEFT(TH!L1796,2)="15",LEFT(TH!M1796,2)="15"),TK!$E$7=TH!F1796),"x","")</f>
        <v/>
      </c>
      <c r="Y1796" s="52" t="str">
        <f>IF(AND(B1796&lt;=NKC!$N$8,B1796&gt;=NKC!$M$8),"x","")</f>
        <v/>
      </c>
    </row>
    <row r="1797" spans="1:25" s="208" customFormat="1" ht="15.75" customHeight="1">
      <c r="A1797" s="201" t="str">
        <f>IF(B1797&lt;&gt;"",IF(AND(B1797&gt;=_TM1,B1797&lt;=_TM2,OR(TH!L1797="1111",TH!M1797="1111")),TH!D1797,""),"")</f>
        <v/>
      </c>
      <c r="B1797" s="36">
        <f t="shared" si="85"/>
        <v>3</v>
      </c>
      <c r="C1797" s="188">
        <f t="shared" si="87"/>
        <v>41361</v>
      </c>
      <c r="D1797" s="37" t="s">
        <v>457</v>
      </c>
      <c r="E1797" s="181">
        <v>41361</v>
      </c>
      <c r="F1797" s="186" t="s">
        <v>752</v>
      </c>
      <c r="G1797" s="597" t="s">
        <v>750</v>
      </c>
      <c r="H1797" s="7" t="s">
        <v>1258</v>
      </c>
      <c r="I1797" s="249">
        <v>310</v>
      </c>
      <c r="J1797" s="249">
        <v>5599.172277785603</v>
      </c>
      <c r="K1797" s="595">
        <f t="shared" si="86"/>
        <v>1735743</v>
      </c>
      <c r="L1797" s="39" t="s">
        <v>170</v>
      </c>
      <c r="M1797" s="39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IF(OR(TH!L1797=TH!$U$7,M1797=TH!$U$7),"x","")</f>
        <v/>
      </c>
      <c r="V1797" s="52" t="str">
        <f>IF(AND(B1797&gt;='IN-NX'!$P$3,B1797&lt;='IN-NX'!$Q$3,'IN-NX'!$D$7=D1797,OR(LEFT(L1797,2)="15",AND(LEFT(M1797,2)&lt;&gt;"15",LEFT(M1797,2)&lt;&gt;"33"))),"x","")</f>
        <v/>
      </c>
      <c r="W1797" s="52" t="str">
        <f>IF(AND(OR(LEFT(TH!L1797,2)="15",LEFT(TH!M1797,2)="15"),'152-CT'!$J$8=TH!F1797),"x","")</f>
        <v/>
      </c>
      <c r="X1797" s="52" t="str">
        <f>IF(AND(OR(LEFT(TH!L1797,2)="15",LEFT(TH!M1797,2)="15"),TK!$E$7=TH!F1797),"x","")</f>
        <v/>
      </c>
      <c r="Y1797" s="52" t="str">
        <f>IF(AND(B1797&lt;=NKC!$N$8,B1797&gt;=NKC!$M$8),"x","")</f>
        <v/>
      </c>
    </row>
    <row r="1798" spans="1:25" s="208" customFormat="1" ht="15.75" customHeight="1">
      <c r="A1798" s="201" t="str">
        <f>IF(B1798&lt;&gt;"",IF(AND(B1798&gt;=_TM1,B1798&lt;=_TM2,OR(TH!L1798="1111",TH!M1798="1111")),TH!D1798,""),"")</f>
        <v/>
      </c>
      <c r="B1798" s="36">
        <f t="shared" si="85"/>
        <v>3</v>
      </c>
      <c r="C1798" s="188">
        <f t="shared" si="87"/>
        <v>41361</v>
      </c>
      <c r="D1798" s="37" t="s">
        <v>457</v>
      </c>
      <c r="E1798" s="735">
        <v>41361</v>
      </c>
      <c r="F1798" s="186" t="s">
        <v>753</v>
      </c>
      <c r="G1798" s="40" t="s">
        <v>750</v>
      </c>
      <c r="H1798" s="7" t="s">
        <v>1258</v>
      </c>
      <c r="I1798" s="249">
        <v>305</v>
      </c>
      <c r="J1798" s="249">
        <v>3917.9242608633404</v>
      </c>
      <c r="K1798" s="595">
        <f t="shared" si="86"/>
        <v>1194967</v>
      </c>
      <c r="L1798" s="39" t="s">
        <v>170</v>
      </c>
      <c r="M1798" s="39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IF(OR(TH!L1798=TH!$U$7,M1798=TH!$U$7),"x","")</f>
        <v/>
      </c>
      <c r="V1798" s="52" t="str">
        <f>IF(AND(B1798&gt;='IN-NX'!$P$3,B1798&lt;='IN-NX'!$Q$3,'IN-NX'!$D$7=D1798,OR(LEFT(L1798,2)="15",AND(LEFT(M1798,2)&lt;&gt;"15",LEFT(M1798,2)&lt;&gt;"33"))),"x","")</f>
        <v/>
      </c>
      <c r="W1798" s="52" t="str">
        <f>IF(AND(OR(LEFT(TH!L1798,2)="15",LEFT(TH!M1798,2)="15"),'152-CT'!$J$8=TH!F1798),"x","")</f>
        <v/>
      </c>
      <c r="X1798" s="52" t="str">
        <f>IF(AND(OR(LEFT(TH!L1798,2)="15",LEFT(TH!M1798,2)="15"),TK!$E$7=TH!F1798),"x","")</f>
        <v/>
      </c>
      <c r="Y1798" s="52" t="str">
        <f>IF(AND(B1798&lt;=NKC!$N$8,B1798&gt;=NKC!$M$8),"x","")</f>
        <v/>
      </c>
    </row>
    <row r="1799" spans="1:25" s="208" customFormat="1" ht="15.75" customHeight="1">
      <c r="A1799" s="201" t="str">
        <f>IF(B1799&lt;&gt;"",IF(AND(B1799&gt;=_TM1,B1799&lt;=_TM2,OR(TH!L1799="1111",TH!M1799="1111")),TH!D1799,""),"")</f>
        <v/>
      </c>
      <c r="B1799" s="36">
        <f t="shared" si="85"/>
        <v>3</v>
      </c>
      <c r="C1799" s="188">
        <f t="shared" si="87"/>
        <v>41361</v>
      </c>
      <c r="D1799" s="37" t="s">
        <v>457</v>
      </c>
      <c r="E1799" s="735">
        <v>41361</v>
      </c>
      <c r="F1799" s="186" t="s">
        <v>721</v>
      </c>
      <c r="G1799" s="40" t="s">
        <v>750</v>
      </c>
      <c r="H1799" s="7" t="s">
        <v>1258</v>
      </c>
      <c r="I1799" s="249">
        <v>500</v>
      </c>
      <c r="J1799" s="249">
        <v>11192.301310043669</v>
      </c>
      <c r="K1799" s="595">
        <f t="shared" si="86"/>
        <v>5596151</v>
      </c>
      <c r="L1799" s="39" t="s">
        <v>170</v>
      </c>
      <c r="M1799" s="39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IF(OR(TH!L1799=TH!$U$7,M1799=TH!$U$7),"x","")</f>
        <v/>
      </c>
      <c r="V1799" s="52" t="str">
        <f>IF(AND(B1799&gt;='IN-NX'!$P$3,B1799&lt;='IN-NX'!$Q$3,'IN-NX'!$D$7=D1799,OR(LEFT(L1799,2)="15",AND(LEFT(M1799,2)&lt;&gt;"15",LEFT(M1799,2)&lt;&gt;"33"))),"x","")</f>
        <v/>
      </c>
      <c r="W1799" s="52" t="str">
        <f>IF(AND(OR(LEFT(TH!L1799,2)="15",LEFT(TH!M1799,2)="15"),'152-CT'!$J$8=TH!F1799),"x","")</f>
        <v/>
      </c>
      <c r="X1799" s="52" t="str">
        <f>IF(AND(OR(LEFT(TH!L1799,2)="15",LEFT(TH!M1799,2)="15"),TK!$E$7=TH!F1799),"x","")</f>
        <v/>
      </c>
      <c r="Y1799" s="52" t="str">
        <f>IF(AND(B1799&lt;=NKC!$N$8,B1799&gt;=NKC!$M$8),"x","")</f>
        <v/>
      </c>
    </row>
    <row r="1800" spans="1:25" s="208" customFormat="1" ht="15.75" customHeight="1">
      <c r="A1800" s="201" t="str">
        <f>IF(B1800&lt;&gt;"",IF(AND(B1800&gt;=_TM1,B1800&lt;=_TM2,OR(TH!L1800="1111",TH!M1800="1111")),TH!D1800,""),"")</f>
        <v/>
      </c>
      <c r="B1800" s="36">
        <f t="shared" si="85"/>
        <v>3</v>
      </c>
      <c r="C1800" s="188">
        <f t="shared" si="87"/>
        <v>41363</v>
      </c>
      <c r="D1800" s="37" t="s">
        <v>457</v>
      </c>
      <c r="E1800" s="735">
        <v>41363</v>
      </c>
      <c r="F1800" s="186" t="s">
        <v>690</v>
      </c>
      <c r="G1800" s="40" t="s">
        <v>754</v>
      </c>
      <c r="H1800" s="7" t="s">
        <v>1258</v>
      </c>
      <c r="I1800" s="249">
        <v>1280</v>
      </c>
      <c r="J1800" s="249">
        <v>5614.1450600436674</v>
      </c>
      <c r="K1800" s="595">
        <f t="shared" si="86"/>
        <v>7186106</v>
      </c>
      <c r="L1800" s="39" t="s">
        <v>170</v>
      </c>
      <c r="M1800" s="39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IF(OR(TH!L1800=TH!$U$7,M1800=TH!$U$7),"x","")</f>
        <v/>
      </c>
      <c r="V1800" s="52" t="str">
        <f>IF(AND(B1800&gt;='IN-NX'!$P$3,B1800&lt;='IN-NX'!$Q$3,'IN-NX'!$D$7=D1800,OR(LEFT(L1800,2)="15",AND(LEFT(M1800,2)&lt;&gt;"15",LEFT(M1800,2)&lt;&gt;"33"))),"x","")</f>
        <v/>
      </c>
      <c r="W1800" s="52" t="str">
        <f>IF(AND(OR(LEFT(TH!L1800,2)="15",LEFT(TH!M1800,2)="15"),'152-CT'!$J$8=TH!F1800),"x","")</f>
        <v/>
      </c>
      <c r="X1800" s="52" t="str">
        <f>IF(AND(OR(LEFT(TH!L1800,2)="15",LEFT(TH!M1800,2)="15"),TK!$E$7=TH!F1800),"x","")</f>
        <v/>
      </c>
      <c r="Y1800" s="52" t="str">
        <f>IF(AND(B1800&lt;=NKC!$N$8,B1800&gt;=NKC!$M$8),"x","")</f>
        <v/>
      </c>
    </row>
    <row r="1801" spans="1:25" s="208" customFormat="1" ht="15.75" customHeight="1">
      <c r="A1801" s="201" t="str">
        <f>IF(B1801&lt;&gt;"",IF(AND(B1801&gt;=_TM1,B1801&lt;=_TM2,OR(TH!L1801="1111",TH!M1801="1111")),TH!D1801,""),"")</f>
        <v/>
      </c>
      <c r="B1801" s="36">
        <f t="shared" si="85"/>
        <v>3</v>
      </c>
      <c r="C1801" s="188">
        <f t="shared" si="87"/>
        <v>41363</v>
      </c>
      <c r="D1801" s="37" t="s">
        <v>457</v>
      </c>
      <c r="E1801" s="735">
        <v>41363</v>
      </c>
      <c r="F1801" s="186" t="s">
        <v>1103</v>
      </c>
      <c r="G1801" s="40" t="s">
        <v>755</v>
      </c>
      <c r="H1801" s="7" t="s">
        <v>1258</v>
      </c>
      <c r="I1801" s="249">
        <v>1200</v>
      </c>
      <c r="J1801" s="249">
        <v>6364.3013100436674</v>
      </c>
      <c r="K1801" s="595">
        <f t="shared" si="86"/>
        <v>7637162</v>
      </c>
      <c r="L1801" s="39" t="s">
        <v>170</v>
      </c>
      <c r="M1801" s="39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IF(OR(TH!L1801=TH!$U$7,M1801=TH!$U$7),"x","")</f>
        <v/>
      </c>
      <c r="V1801" s="52" t="str">
        <f>IF(AND(B1801&gt;='IN-NX'!$P$3,B1801&lt;='IN-NX'!$Q$3,'IN-NX'!$D$7=D1801,OR(LEFT(L1801,2)="15",AND(LEFT(M1801,2)&lt;&gt;"15",LEFT(M1801,2)&lt;&gt;"33"))),"x","")</f>
        <v/>
      </c>
      <c r="W1801" s="52" t="str">
        <f>IF(AND(OR(LEFT(TH!L1801,2)="15",LEFT(TH!M1801,2)="15"),'152-CT'!$J$8=TH!F1801),"x","")</f>
        <v/>
      </c>
      <c r="X1801" s="52" t="str">
        <f>IF(AND(OR(LEFT(TH!L1801,2)="15",LEFT(TH!M1801,2)="15"),TK!$E$7=TH!F1801),"x","")</f>
        <v/>
      </c>
      <c r="Y1801" s="52" t="str">
        <f>IF(AND(B1801&lt;=NKC!$N$8,B1801&gt;=NKC!$M$8),"x","")</f>
        <v/>
      </c>
    </row>
    <row r="1802" spans="1:25" s="798" customFormat="1" ht="15.75" customHeight="1">
      <c r="A1802" s="201" t="str">
        <f>IF(B1802&lt;&gt;"",IF(AND(B1802&gt;=_TM1,B1802&lt;=_TM2,OR(TH!L1802="1111",TH!M1802="1111")),TH!D1802,""),"")</f>
        <v/>
      </c>
      <c r="B1802" s="796">
        <f t="shared" si="85"/>
        <v>4</v>
      </c>
      <c r="C1802" s="853">
        <f t="shared" si="87"/>
        <v>41367</v>
      </c>
      <c r="D1802" s="37" t="s">
        <v>457</v>
      </c>
      <c r="E1802" s="872">
        <v>41367</v>
      </c>
      <c r="F1802" s="864" t="s">
        <v>1095</v>
      </c>
      <c r="G1802" s="855" t="s">
        <v>756</v>
      </c>
      <c r="H1802" s="856" t="s">
        <v>1258</v>
      </c>
      <c r="I1802" s="863">
        <v>515</v>
      </c>
      <c r="J1802" s="863">
        <v>15890.23495145631</v>
      </c>
      <c r="K1802" s="793">
        <f t="shared" si="86"/>
        <v>8183471</v>
      </c>
      <c r="L1802" s="786" t="s">
        <v>170</v>
      </c>
      <c r="M1802" s="786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IF(OR(TH!L1802=TH!$U$7,M1802=TH!$U$7),"x","")</f>
        <v/>
      </c>
      <c r="V1802" s="52" t="str">
        <f>IF(AND(B1802&gt;='IN-NX'!$P$3,B1802&lt;='IN-NX'!$Q$3,'IN-NX'!$D$7=D1802,OR(LEFT(L1802,2)="15",AND(LEFT(M1802,2)&lt;&gt;"15",LEFT(M1802,2)&lt;&gt;"33"))),"x","")</f>
        <v/>
      </c>
      <c r="W1802" s="52" t="str">
        <f>IF(AND(OR(LEFT(TH!L1802,2)="15",LEFT(TH!M1802,2)="15"),'152-CT'!$J$8=TH!F1802),"x","")</f>
        <v/>
      </c>
      <c r="X1802" s="52" t="str">
        <f>IF(AND(OR(LEFT(TH!L1802,2)="15",LEFT(TH!M1802,2)="15"),TK!$E$7=TH!F1802),"x","")</f>
        <v/>
      </c>
      <c r="Y1802" s="52" t="str">
        <f>IF(AND(B1802&lt;=NKC!$N$8,B1802&gt;=NKC!$M$8),"x","")</f>
        <v/>
      </c>
    </row>
    <row r="1803" spans="1:25" s="208" customFormat="1" ht="15.75" customHeight="1">
      <c r="A1803" s="201" t="str">
        <f>IF(B1803&lt;&gt;"",IF(AND(B1803&gt;=_TM1,B1803&lt;=_TM2,OR(TH!L1803="1111",TH!M1803="1111")),TH!D1803,""),"")</f>
        <v/>
      </c>
      <c r="B1803" s="36">
        <f t="shared" si="85"/>
        <v>4</v>
      </c>
      <c r="C1803" s="188">
        <f t="shared" si="87"/>
        <v>41368</v>
      </c>
      <c r="D1803" s="37" t="s">
        <v>457</v>
      </c>
      <c r="E1803" s="735">
        <v>41368</v>
      </c>
      <c r="F1803" s="186" t="s">
        <v>708</v>
      </c>
      <c r="G1803" s="40" t="s">
        <v>758</v>
      </c>
      <c r="H1803" s="7" t="s">
        <v>1258</v>
      </c>
      <c r="I1803" s="249">
        <v>500</v>
      </c>
      <c r="J1803" s="249">
        <v>7889.7359999999999</v>
      </c>
      <c r="K1803" s="595">
        <f t="shared" si="86"/>
        <v>3944868</v>
      </c>
      <c r="L1803" s="39" t="s">
        <v>170</v>
      </c>
      <c r="M1803" s="39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IF(OR(TH!L1803=TH!$U$7,M1803=TH!$U$7),"x","")</f>
        <v/>
      </c>
      <c r="V1803" s="52" t="str">
        <f>IF(AND(B1803&gt;='IN-NX'!$P$3,B1803&lt;='IN-NX'!$Q$3,'IN-NX'!$D$7=D1803,OR(LEFT(L1803,2)="15",AND(LEFT(M1803,2)&lt;&gt;"15",LEFT(M1803,2)&lt;&gt;"33"))),"x","")</f>
        <v/>
      </c>
      <c r="W1803" s="52" t="str">
        <f>IF(AND(OR(LEFT(TH!L1803,2)="15",LEFT(TH!M1803,2)="15"),'152-CT'!$J$8=TH!F1803),"x","")</f>
        <v/>
      </c>
      <c r="X1803" s="52" t="str">
        <f>IF(AND(OR(LEFT(TH!L1803,2)="15",LEFT(TH!M1803,2)="15"),TK!$E$7=TH!F1803),"x","")</f>
        <v/>
      </c>
      <c r="Y1803" s="52" t="str">
        <f>IF(AND(B1803&lt;=NKC!$N$8,B1803&gt;=NKC!$M$8),"x","")</f>
        <v/>
      </c>
    </row>
    <row r="1804" spans="1:25" s="208" customFormat="1" ht="15.75" customHeight="1">
      <c r="A1804" s="201" t="str">
        <f>IF(B1804&lt;&gt;"",IF(AND(B1804&gt;=_TM1,B1804&lt;=_TM2,OR(TH!L1804="1111",TH!M1804="1111")),TH!D1804,""),"")</f>
        <v/>
      </c>
      <c r="B1804" s="36">
        <f t="shared" si="85"/>
        <v>4</v>
      </c>
      <c r="C1804" s="188">
        <f t="shared" si="87"/>
        <v>41368</v>
      </c>
      <c r="D1804" s="37" t="s">
        <v>457</v>
      </c>
      <c r="E1804" s="735">
        <v>41368</v>
      </c>
      <c r="F1804" s="186" t="s">
        <v>451</v>
      </c>
      <c r="G1804" s="40" t="s">
        <v>759</v>
      </c>
      <c r="H1804" s="7" t="s">
        <v>1258</v>
      </c>
      <c r="I1804" s="249">
        <v>400</v>
      </c>
      <c r="J1804" s="249">
        <v>11491.195</v>
      </c>
      <c r="K1804" s="595">
        <f t="shared" si="86"/>
        <v>4596478</v>
      </c>
      <c r="L1804" s="39" t="s">
        <v>170</v>
      </c>
      <c r="M1804" s="39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IF(OR(TH!L1804=TH!$U$7,M1804=TH!$U$7),"x","")</f>
        <v/>
      </c>
      <c r="V1804" s="52" t="str">
        <f>IF(AND(B1804&gt;='IN-NX'!$P$3,B1804&lt;='IN-NX'!$Q$3,'IN-NX'!$D$7=D1804,OR(LEFT(L1804,2)="15",AND(LEFT(M1804,2)&lt;&gt;"15",LEFT(M1804,2)&lt;&gt;"33"))),"x","")</f>
        <v/>
      </c>
      <c r="W1804" s="52" t="str">
        <f>IF(AND(OR(LEFT(TH!L1804,2)="15",LEFT(TH!M1804,2)="15"),'152-CT'!$J$8=TH!F1804),"x","")</f>
        <v/>
      </c>
      <c r="X1804" s="52" t="str">
        <f>IF(AND(OR(LEFT(TH!L1804,2)="15",LEFT(TH!M1804,2)="15"),TK!$E$7=TH!F1804),"x","")</f>
        <v/>
      </c>
      <c r="Y1804" s="52" t="str">
        <f>IF(AND(B1804&lt;=NKC!$N$8,B1804&gt;=NKC!$M$8),"x","")</f>
        <v/>
      </c>
    </row>
    <row r="1805" spans="1:25" s="208" customFormat="1" ht="15.75" customHeight="1">
      <c r="A1805" s="201" t="str">
        <f>IF(B1805&lt;&gt;"",IF(AND(B1805&gt;=_TM1,B1805&lt;=_TM2,OR(TH!L1805="1111",TH!M1805="1111")),TH!D1805,""),"")</f>
        <v/>
      </c>
      <c r="B1805" s="36">
        <f t="shared" si="85"/>
        <v>4</v>
      </c>
      <c r="C1805" s="188">
        <f t="shared" si="87"/>
        <v>41369</v>
      </c>
      <c r="D1805" s="37" t="s">
        <v>457</v>
      </c>
      <c r="E1805" s="735">
        <v>41369</v>
      </c>
      <c r="F1805" s="290" t="s">
        <v>451</v>
      </c>
      <c r="G1805" s="40" t="s">
        <v>546</v>
      </c>
      <c r="H1805" s="7" t="s">
        <v>1258</v>
      </c>
      <c r="I1805" s="249">
        <v>500</v>
      </c>
      <c r="J1805" s="249">
        <v>11401.736000000001</v>
      </c>
      <c r="K1805" s="595">
        <f t="shared" si="86"/>
        <v>5700868</v>
      </c>
      <c r="L1805" s="39" t="s">
        <v>170</v>
      </c>
      <c r="M1805" s="39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IF(OR(TH!L1805=TH!$U$7,M1805=TH!$U$7),"x","")</f>
        <v/>
      </c>
      <c r="V1805" s="52" t="str">
        <f>IF(AND(B1805&gt;='IN-NX'!$P$3,B1805&lt;='IN-NX'!$Q$3,'IN-NX'!$D$7=D1805,OR(LEFT(L1805,2)="15",AND(LEFT(M1805,2)&lt;&gt;"15",LEFT(M1805,2)&lt;&gt;"33"))),"x","")</f>
        <v/>
      </c>
      <c r="W1805" s="52" t="str">
        <f>IF(AND(OR(LEFT(TH!L1805,2)="15",LEFT(TH!M1805,2)="15"),'152-CT'!$J$8=TH!F1805),"x","")</f>
        <v/>
      </c>
      <c r="X1805" s="52" t="str">
        <f>IF(AND(OR(LEFT(TH!L1805,2)="15",LEFT(TH!M1805,2)="15"),TK!$E$7=TH!F1805),"x","")</f>
        <v/>
      </c>
      <c r="Y1805" s="52" t="str">
        <f>IF(AND(B1805&lt;=NKC!$N$8,B1805&gt;=NKC!$M$8),"x","")</f>
        <v/>
      </c>
    </row>
    <row r="1806" spans="1:25" s="208" customFormat="1" ht="15.75" customHeight="1">
      <c r="A1806" s="201" t="str">
        <f>IF(B1806&lt;&gt;"",IF(AND(B1806&gt;=_TM1,B1806&lt;=_TM2,OR(TH!L1806="1111",TH!M1806="1111")),TH!D1806,""),"")</f>
        <v/>
      </c>
      <c r="B1806" s="36">
        <f t="shared" si="85"/>
        <v>4</v>
      </c>
      <c r="C1806" s="188">
        <f t="shared" si="87"/>
        <v>41369</v>
      </c>
      <c r="D1806" s="37" t="s">
        <v>457</v>
      </c>
      <c r="E1806" s="735">
        <v>41369</v>
      </c>
      <c r="F1806" s="40" t="s">
        <v>762</v>
      </c>
      <c r="G1806" s="40" t="s">
        <v>763</v>
      </c>
      <c r="H1806" s="7" t="s">
        <v>1258</v>
      </c>
      <c r="I1806" s="249">
        <v>1000</v>
      </c>
      <c r="J1806" s="249">
        <v>12403.04</v>
      </c>
      <c r="K1806" s="595">
        <f t="shared" si="86"/>
        <v>12403040</v>
      </c>
      <c r="L1806" s="39" t="s">
        <v>170</v>
      </c>
      <c r="M1806" s="39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IF(OR(TH!L1806=TH!$U$7,M1806=TH!$U$7),"x","")</f>
        <v/>
      </c>
      <c r="V1806" s="52" t="str">
        <f>IF(AND(B1806&gt;='IN-NX'!$P$3,B1806&lt;='IN-NX'!$Q$3,'IN-NX'!$D$7=D1806,OR(LEFT(L1806,2)="15",AND(LEFT(M1806,2)&lt;&gt;"15",LEFT(M1806,2)&lt;&gt;"33"))),"x","")</f>
        <v/>
      </c>
      <c r="W1806" s="52" t="str">
        <f>IF(AND(OR(LEFT(TH!L1806,2)="15",LEFT(TH!M1806,2)="15"),'152-CT'!$J$8=TH!F1806),"x","")</f>
        <v/>
      </c>
      <c r="X1806" s="52" t="str">
        <f>IF(AND(OR(LEFT(TH!L1806,2)="15",LEFT(TH!M1806,2)="15"),TK!$E$7=TH!F1806),"x","")</f>
        <v/>
      </c>
      <c r="Y1806" s="52" t="str">
        <f>IF(AND(B1806&lt;=NKC!$N$8,B1806&gt;=NKC!$M$8),"x","")</f>
        <v/>
      </c>
    </row>
    <row r="1807" spans="1:25" s="208" customFormat="1" ht="15.75" customHeight="1">
      <c r="A1807" s="201" t="str">
        <f>IF(B1807&lt;&gt;"",IF(AND(B1807&gt;=_TM1,B1807&lt;=_TM2,OR(TH!L1807="1111",TH!M1807="1111")),TH!D1807,""),"")</f>
        <v/>
      </c>
      <c r="B1807" s="36">
        <f t="shared" si="85"/>
        <v>4</v>
      </c>
      <c r="C1807" s="188">
        <f t="shared" si="87"/>
        <v>41370</v>
      </c>
      <c r="D1807" s="37" t="s">
        <v>457</v>
      </c>
      <c r="E1807" s="735">
        <v>41370</v>
      </c>
      <c r="F1807" s="186" t="s">
        <v>764</v>
      </c>
      <c r="G1807" s="40" t="s">
        <v>765</v>
      </c>
      <c r="H1807" s="7" t="s">
        <v>1258</v>
      </c>
      <c r="I1807" s="249">
        <v>500</v>
      </c>
      <c r="J1807" s="249">
        <v>12221.736000000001</v>
      </c>
      <c r="K1807" s="595">
        <f t="shared" si="86"/>
        <v>6110868</v>
      </c>
      <c r="L1807" s="39" t="s">
        <v>170</v>
      </c>
      <c r="M1807" s="39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IF(OR(TH!L1807=TH!$U$7,M1807=TH!$U$7),"x","")</f>
        <v/>
      </c>
      <c r="V1807" s="52" t="str">
        <f>IF(AND(B1807&gt;='IN-NX'!$P$3,B1807&lt;='IN-NX'!$Q$3,'IN-NX'!$D$7=D1807,OR(LEFT(L1807,2)="15",AND(LEFT(M1807,2)&lt;&gt;"15",LEFT(M1807,2)&lt;&gt;"33"))),"x","")</f>
        <v/>
      </c>
      <c r="W1807" s="52" t="str">
        <f>IF(AND(OR(LEFT(TH!L1807,2)="15",LEFT(TH!M1807,2)="15"),'152-CT'!$J$8=TH!F1807),"x","")</f>
        <v/>
      </c>
      <c r="X1807" s="52" t="str">
        <f>IF(AND(OR(LEFT(TH!L1807,2)="15",LEFT(TH!M1807,2)="15"),TK!$E$7=TH!F1807),"x","")</f>
        <v/>
      </c>
      <c r="Y1807" s="52" t="str">
        <f>IF(AND(B1807&lt;=NKC!$N$8,B1807&gt;=NKC!$M$8),"x","")</f>
        <v/>
      </c>
    </row>
    <row r="1808" spans="1:25" s="208" customFormat="1" ht="15.75" customHeight="1">
      <c r="A1808" s="201" t="str">
        <f>IF(B1808&lt;&gt;"",IF(AND(B1808&gt;=_TM1,B1808&lt;=_TM2,OR(TH!L1808="1111",TH!M1808="1111")),TH!D1808,""),"")</f>
        <v/>
      </c>
      <c r="B1808" s="36">
        <f t="shared" si="85"/>
        <v>4</v>
      </c>
      <c r="C1808" s="188">
        <f t="shared" si="87"/>
        <v>41370</v>
      </c>
      <c r="D1808" s="37" t="s">
        <v>457</v>
      </c>
      <c r="E1808" s="735">
        <v>41370</v>
      </c>
      <c r="F1808" s="186" t="s">
        <v>764</v>
      </c>
      <c r="G1808" s="40" t="s">
        <v>765</v>
      </c>
      <c r="H1808" s="7" t="s">
        <v>1258</v>
      </c>
      <c r="I1808" s="249">
        <v>100</v>
      </c>
      <c r="J1808" s="249">
        <v>12221.74</v>
      </c>
      <c r="K1808" s="595">
        <f t="shared" si="86"/>
        <v>1222174</v>
      </c>
      <c r="L1808" s="39" t="s">
        <v>170</v>
      </c>
      <c r="M1808" s="39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IF(OR(TH!L1808=TH!$U$7,M1808=TH!$U$7),"x","")</f>
        <v/>
      </c>
      <c r="V1808" s="52" t="str">
        <f>IF(AND(B1808&gt;='IN-NX'!$P$3,B1808&lt;='IN-NX'!$Q$3,'IN-NX'!$D$7=D1808,OR(LEFT(L1808,2)="15",AND(LEFT(M1808,2)&lt;&gt;"15",LEFT(M1808,2)&lt;&gt;"33"))),"x","")</f>
        <v/>
      </c>
      <c r="W1808" s="52" t="str">
        <f>IF(AND(OR(LEFT(TH!L1808,2)="15",LEFT(TH!M1808,2)="15"),'152-CT'!$J$8=TH!F1808),"x","")</f>
        <v/>
      </c>
      <c r="X1808" s="52" t="str">
        <f>IF(AND(OR(LEFT(TH!L1808,2)="15",LEFT(TH!M1808,2)="15"),TK!$E$7=TH!F1808),"x","")</f>
        <v/>
      </c>
      <c r="Y1808" s="52" t="str">
        <f>IF(AND(B1808&lt;=NKC!$N$8,B1808&gt;=NKC!$M$8),"x","")</f>
        <v/>
      </c>
    </row>
    <row r="1809" spans="1:25" s="208" customFormat="1" ht="15.75" customHeight="1">
      <c r="A1809" s="201" t="str">
        <f>IF(B1809&lt;&gt;"",IF(AND(B1809&gt;=_TM1,B1809&lt;=_TM2,OR(TH!L1809="1111",TH!M1809="1111")),TH!D1809,""),"")</f>
        <v/>
      </c>
      <c r="B1809" s="36">
        <f t="shared" si="85"/>
        <v>4</v>
      </c>
      <c r="C1809" s="188">
        <f t="shared" si="87"/>
        <v>41375</v>
      </c>
      <c r="D1809" s="37" t="s">
        <v>457</v>
      </c>
      <c r="E1809" s="735">
        <v>41375</v>
      </c>
      <c r="F1809" s="186" t="s">
        <v>1129</v>
      </c>
      <c r="G1809" s="40" t="s">
        <v>766</v>
      </c>
      <c r="H1809" s="7" t="s">
        <v>1258</v>
      </c>
      <c r="I1809" s="249">
        <v>3990</v>
      </c>
      <c r="J1809" s="249">
        <v>5307.5290726817038</v>
      </c>
      <c r="K1809" s="595">
        <f t="shared" si="86"/>
        <v>21177041</v>
      </c>
      <c r="L1809" s="39" t="s">
        <v>170</v>
      </c>
      <c r="M1809" s="39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IF(OR(TH!L1809=TH!$U$7,M1809=TH!$U$7),"x","")</f>
        <v/>
      </c>
      <c r="V1809" s="52" t="str">
        <f>IF(AND(B1809&gt;='IN-NX'!$P$3,B1809&lt;='IN-NX'!$Q$3,'IN-NX'!$D$7=D1809,OR(LEFT(L1809,2)="15",AND(LEFT(M1809,2)&lt;&gt;"15",LEFT(M1809,2)&lt;&gt;"33"))),"x","")</f>
        <v/>
      </c>
      <c r="W1809" s="52" t="str">
        <f>IF(AND(OR(LEFT(TH!L1809,2)="15",LEFT(TH!M1809,2)="15"),'152-CT'!$J$8=TH!F1809),"x","")</f>
        <v/>
      </c>
      <c r="X1809" s="52" t="str">
        <f>IF(AND(OR(LEFT(TH!L1809,2)="15",LEFT(TH!M1809,2)="15"),TK!$E$7=TH!F1809),"x","")</f>
        <v/>
      </c>
      <c r="Y1809" s="52" t="str">
        <f>IF(AND(B1809&lt;=NKC!$N$8,B1809&gt;=NKC!$M$8),"x","")</f>
        <v/>
      </c>
    </row>
    <row r="1810" spans="1:25" s="208" customFormat="1" ht="15.75" customHeight="1">
      <c r="A1810" s="201" t="str">
        <f>IF(B1810&lt;&gt;"",IF(AND(B1810&gt;=_TM1,B1810&lt;=_TM2,OR(TH!L1810="1111",TH!M1810="1111")),TH!D1810,""),"")</f>
        <v/>
      </c>
      <c r="B1810" s="36">
        <f t="shared" si="85"/>
        <v>4</v>
      </c>
      <c r="C1810" s="188">
        <f t="shared" si="87"/>
        <v>41375</v>
      </c>
      <c r="D1810" s="37" t="s">
        <v>457</v>
      </c>
      <c r="E1810" s="735">
        <v>41375</v>
      </c>
      <c r="F1810" s="186" t="s">
        <v>1103</v>
      </c>
      <c r="G1810" s="40" t="s">
        <v>766</v>
      </c>
      <c r="H1810" s="7" t="s">
        <v>1258</v>
      </c>
      <c r="I1810" s="249">
        <v>2763</v>
      </c>
      <c r="J1810" s="249">
        <v>5869.5522982265657</v>
      </c>
      <c r="K1810" s="595">
        <f t="shared" si="86"/>
        <v>16217573</v>
      </c>
      <c r="L1810" s="39" t="s">
        <v>170</v>
      </c>
      <c r="M1810" s="39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IF(OR(TH!L1810=TH!$U$7,M1810=TH!$U$7),"x","")</f>
        <v/>
      </c>
      <c r="V1810" s="52" t="str">
        <f>IF(AND(B1810&gt;='IN-NX'!$P$3,B1810&lt;='IN-NX'!$Q$3,'IN-NX'!$D$7=D1810,OR(LEFT(L1810,2)="15",AND(LEFT(M1810,2)&lt;&gt;"15",LEFT(M1810,2)&lt;&gt;"33"))),"x","")</f>
        <v/>
      </c>
      <c r="W1810" s="52" t="str">
        <f>IF(AND(OR(LEFT(TH!L1810,2)="15",LEFT(TH!M1810,2)="15"),'152-CT'!$J$8=TH!F1810),"x","")</f>
        <v/>
      </c>
      <c r="X1810" s="52" t="str">
        <f>IF(AND(OR(LEFT(TH!L1810,2)="15",LEFT(TH!M1810,2)="15"),TK!$E$7=TH!F1810),"x","")</f>
        <v/>
      </c>
      <c r="Y1810" s="52" t="str">
        <f>IF(AND(B1810&lt;=NKC!$N$8,B1810&gt;=NKC!$M$8),"x","")</f>
        <v/>
      </c>
    </row>
    <row r="1811" spans="1:25" s="208" customFormat="1" ht="15.75" customHeight="1">
      <c r="A1811" s="201" t="str">
        <f>IF(B1811&lt;&gt;"",IF(AND(B1811&gt;=_TM1,B1811&lt;=_TM2,OR(TH!L1811="1111",TH!M1811="1111")),TH!D1811,""),"")</f>
        <v/>
      </c>
      <c r="B1811" s="36">
        <f t="shared" si="85"/>
        <v>4</v>
      </c>
      <c r="C1811" s="188">
        <f t="shared" si="87"/>
        <v>41375</v>
      </c>
      <c r="D1811" s="37" t="s">
        <v>457</v>
      </c>
      <c r="E1811" s="735">
        <v>41375</v>
      </c>
      <c r="F1811" s="40" t="s">
        <v>1110</v>
      </c>
      <c r="G1811" s="40" t="s">
        <v>767</v>
      </c>
      <c r="H1811" s="7" t="s">
        <v>1258</v>
      </c>
      <c r="I1811" s="249">
        <v>103</v>
      </c>
      <c r="J1811" s="249">
        <v>17168.233009708736</v>
      </c>
      <c r="K1811" s="595">
        <f t="shared" si="86"/>
        <v>1768328</v>
      </c>
      <c r="L1811" s="39" t="s">
        <v>170</v>
      </c>
      <c r="M1811" s="39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IF(OR(TH!L1811=TH!$U$7,M1811=TH!$U$7),"x","")</f>
        <v/>
      </c>
      <c r="V1811" s="52" t="str">
        <f>IF(AND(B1811&gt;='IN-NX'!$P$3,B1811&lt;='IN-NX'!$Q$3,'IN-NX'!$D$7=D1811,OR(LEFT(L1811,2)="15",AND(LEFT(M1811,2)&lt;&gt;"15",LEFT(M1811,2)&lt;&gt;"33"))),"x","")</f>
        <v/>
      </c>
      <c r="W1811" s="52" t="str">
        <f>IF(AND(OR(LEFT(TH!L1811,2)="15",LEFT(TH!M1811,2)="15"),'152-CT'!$J$8=TH!F1811),"x","")</f>
        <v/>
      </c>
      <c r="X1811" s="52" t="str">
        <f>IF(AND(OR(LEFT(TH!L1811,2)="15",LEFT(TH!M1811,2)="15"),TK!$E$7=TH!F1811),"x","")</f>
        <v/>
      </c>
      <c r="Y1811" s="52" t="str">
        <f>IF(AND(B1811&lt;=NKC!$N$8,B1811&gt;=NKC!$M$8),"x","")</f>
        <v/>
      </c>
    </row>
    <row r="1812" spans="1:25" s="208" customFormat="1" ht="15.75" customHeight="1">
      <c r="A1812" s="201" t="str">
        <f>IF(B1812&lt;&gt;"",IF(AND(B1812&gt;=_TM1,B1812&lt;=_TM2,OR(TH!L1812="1111",TH!M1812="1111")),TH!D1812,""),"")</f>
        <v/>
      </c>
      <c r="B1812" s="36">
        <f t="shared" si="85"/>
        <v>4</v>
      </c>
      <c r="C1812" s="188">
        <f t="shared" si="87"/>
        <v>41375</v>
      </c>
      <c r="D1812" s="37" t="s">
        <v>457</v>
      </c>
      <c r="E1812" s="735">
        <v>41375</v>
      </c>
      <c r="F1812" s="40" t="s">
        <v>768</v>
      </c>
      <c r="G1812" s="40" t="s">
        <v>767</v>
      </c>
      <c r="H1812" s="7" t="s">
        <v>1258</v>
      </c>
      <c r="I1812" s="249">
        <v>200</v>
      </c>
      <c r="J1812" s="249">
        <v>1356.4349999999999</v>
      </c>
      <c r="K1812" s="595">
        <f t="shared" si="86"/>
        <v>271287</v>
      </c>
      <c r="L1812" s="39" t="s">
        <v>170</v>
      </c>
      <c r="M1812" s="39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IF(OR(TH!L1812=TH!$U$7,M1812=TH!$U$7),"x","")</f>
        <v/>
      </c>
      <c r="V1812" s="52" t="str">
        <f>IF(AND(B1812&gt;='IN-NX'!$P$3,B1812&lt;='IN-NX'!$Q$3,'IN-NX'!$D$7=D1812,OR(LEFT(L1812,2)="15",AND(LEFT(M1812,2)&lt;&gt;"15",LEFT(M1812,2)&lt;&gt;"33"))),"x","")</f>
        <v/>
      </c>
      <c r="W1812" s="52" t="str">
        <f>IF(AND(OR(LEFT(TH!L1812,2)="15",LEFT(TH!M1812,2)="15"),'152-CT'!$J$8=TH!F1812),"x","")</f>
        <v/>
      </c>
      <c r="X1812" s="52" t="str">
        <f>IF(AND(OR(LEFT(TH!L1812,2)="15",LEFT(TH!M1812,2)="15"),TK!$E$7=TH!F1812),"x","")</f>
        <v/>
      </c>
      <c r="Y1812" s="52" t="str">
        <f>IF(AND(B1812&lt;=NKC!$N$8,B1812&gt;=NKC!$M$8),"x","")</f>
        <v/>
      </c>
    </row>
    <row r="1813" spans="1:25" s="208" customFormat="1" ht="15.75" customHeight="1">
      <c r="A1813" s="201" t="str">
        <f>IF(B1813&lt;&gt;"",IF(AND(B1813&gt;=_TM1,B1813&lt;=_TM2,OR(TH!L1813="1111",TH!M1813="1111")),TH!D1813,""),"")</f>
        <v/>
      </c>
      <c r="B1813" s="36">
        <f t="shared" si="85"/>
        <v>4</v>
      </c>
      <c r="C1813" s="188">
        <f t="shared" si="87"/>
        <v>41375</v>
      </c>
      <c r="D1813" s="37" t="s">
        <v>457</v>
      </c>
      <c r="E1813" s="735">
        <v>41375</v>
      </c>
      <c r="F1813" s="186" t="s">
        <v>1108</v>
      </c>
      <c r="G1813" s="40" t="s">
        <v>767</v>
      </c>
      <c r="H1813" s="7" t="s">
        <v>1258</v>
      </c>
      <c r="I1813" s="249">
        <v>990</v>
      </c>
      <c r="J1813" s="249">
        <v>5263.3616161616164</v>
      </c>
      <c r="K1813" s="595">
        <f t="shared" si="86"/>
        <v>5210728</v>
      </c>
      <c r="L1813" s="39" t="s">
        <v>170</v>
      </c>
      <c r="M1813" s="39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IF(OR(TH!L1813=TH!$U$7,M1813=TH!$U$7),"x","")</f>
        <v/>
      </c>
      <c r="V1813" s="52" t="str">
        <f>IF(AND(B1813&gt;='IN-NX'!$P$3,B1813&lt;='IN-NX'!$Q$3,'IN-NX'!$D$7=D1813,OR(LEFT(L1813,2)="15",AND(LEFT(M1813,2)&lt;&gt;"15",LEFT(M1813,2)&lt;&gt;"33"))),"x","")</f>
        <v/>
      </c>
      <c r="W1813" s="52" t="str">
        <f>IF(AND(OR(LEFT(TH!L1813,2)="15",LEFT(TH!M1813,2)="15"),'152-CT'!$J$8=TH!F1813),"x","")</f>
        <v/>
      </c>
      <c r="X1813" s="52" t="str">
        <f>IF(AND(OR(LEFT(TH!L1813,2)="15",LEFT(TH!M1813,2)="15"),TK!$E$7=TH!F1813),"x","")</f>
        <v/>
      </c>
      <c r="Y1813" s="52" t="str">
        <f>IF(AND(B1813&lt;=NKC!$N$8,B1813&gt;=NKC!$M$8),"x","")</f>
        <v/>
      </c>
    </row>
    <row r="1814" spans="1:25" s="208" customFormat="1" ht="15.75" customHeight="1">
      <c r="A1814" s="201" t="str">
        <f>IF(B1814&lt;&gt;"",IF(AND(B1814&gt;=_TM1,B1814&lt;=_TM2,OR(TH!L1814="1111",TH!M1814="1111")),TH!D1814,""),"")</f>
        <v/>
      </c>
      <c r="B1814" s="36">
        <f t="shared" ref="B1814:B1877" si="88">IF(C1814&lt;&gt;"",MONTH(C1814),"")</f>
        <v>4</v>
      </c>
      <c r="C1814" s="188">
        <f t="shared" si="87"/>
        <v>41376</v>
      </c>
      <c r="D1814" s="37" t="s">
        <v>457</v>
      </c>
      <c r="E1814" s="188">
        <v>41376</v>
      </c>
      <c r="F1814" s="189" t="s">
        <v>722</v>
      </c>
      <c r="G1814" s="480" t="s">
        <v>769</v>
      </c>
      <c r="H1814" s="7" t="s">
        <v>1258</v>
      </c>
      <c r="I1814" s="249">
        <v>1095</v>
      </c>
      <c r="J1814" s="249">
        <v>13151.806392694063</v>
      </c>
      <c r="K1814" s="595">
        <f t="shared" si="86"/>
        <v>14401228</v>
      </c>
      <c r="L1814" s="39" t="s">
        <v>170</v>
      </c>
      <c r="M1814" s="39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IF(OR(TH!L1814=TH!$U$7,M1814=TH!$U$7),"x","")</f>
        <v/>
      </c>
      <c r="V1814" s="52" t="str">
        <f>IF(AND(B1814&gt;='IN-NX'!$P$3,B1814&lt;='IN-NX'!$Q$3,'IN-NX'!$D$7=D1814,OR(LEFT(L1814,2)="15",AND(LEFT(M1814,2)&lt;&gt;"15",LEFT(M1814,2)&lt;&gt;"33"))),"x","")</f>
        <v/>
      </c>
      <c r="W1814" s="52" t="str">
        <f>IF(AND(OR(LEFT(TH!L1814,2)="15",LEFT(TH!M1814,2)="15"),'152-CT'!$J$8=TH!F1814),"x","")</f>
        <v/>
      </c>
      <c r="X1814" s="52" t="str">
        <f>IF(AND(OR(LEFT(TH!L1814,2)="15",LEFT(TH!M1814,2)="15"),TK!$E$7=TH!F1814),"x","")</f>
        <v/>
      </c>
      <c r="Y1814" s="52" t="str">
        <f>IF(AND(B1814&lt;=NKC!$N$8,B1814&gt;=NKC!$M$8),"x","")</f>
        <v/>
      </c>
    </row>
    <row r="1815" spans="1:25" s="208" customFormat="1" ht="15.75" customHeight="1">
      <c r="A1815" s="201" t="str">
        <f>IF(B1815&lt;&gt;"",IF(AND(B1815&gt;=_TM1,B1815&lt;=_TM2,OR(TH!L1815="1111",TH!M1815="1111")),TH!D1815,""),"")</f>
        <v/>
      </c>
      <c r="B1815" s="36">
        <f t="shared" si="88"/>
        <v>4</v>
      </c>
      <c r="C1815" s="188">
        <f t="shared" si="87"/>
        <v>41376</v>
      </c>
      <c r="D1815" s="37" t="s">
        <v>457</v>
      </c>
      <c r="E1815" s="188">
        <v>41376</v>
      </c>
      <c r="F1815" s="189" t="s">
        <v>719</v>
      </c>
      <c r="G1815" s="480" t="s">
        <v>769</v>
      </c>
      <c r="H1815" s="7" t="s">
        <v>1258</v>
      </c>
      <c r="I1815" s="249">
        <v>360</v>
      </c>
      <c r="J1815" s="249">
        <v>12221.736111111111</v>
      </c>
      <c r="K1815" s="595">
        <f t="shared" si="86"/>
        <v>4399825</v>
      </c>
      <c r="L1815" s="39" t="s">
        <v>170</v>
      </c>
      <c r="M1815" s="39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IF(OR(TH!L1815=TH!$U$7,M1815=TH!$U$7),"x","")</f>
        <v/>
      </c>
      <c r="V1815" s="52" t="str">
        <f>IF(AND(B1815&gt;='IN-NX'!$P$3,B1815&lt;='IN-NX'!$Q$3,'IN-NX'!$D$7=D1815,OR(LEFT(L1815,2)="15",AND(LEFT(M1815,2)&lt;&gt;"15",LEFT(M1815,2)&lt;&gt;"33"))),"x","")</f>
        <v/>
      </c>
      <c r="W1815" s="52" t="str">
        <f>IF(AND(OR(LEFT(TH!L1815,2)="15",LEFT(TH!M1815,2)="15"),'152-CT'!$J$8=TH!F1815),"x","")</f>
        <v/>
      </c>
      <c r="X1815" s="52" t="str">
        <f>IF(AND(OR(LEFT(TH!L1815,2)="15",LEFT(TH!M1815,2)="15"),TK!$E$7=TH!F1815),"x","")</f>
        <v/>
      </c>
      <c r="Y1815" s="52" t="str">
        <f>IF(AND(B1815&lt;=NKC!$N$8,B1815&gt;=NKC!$M$8),"x","")</f>
        <v/>
      </c>
    </row>
    <row r="1816" spans="1:25" s="208" customFormat="1" ht="15.75" customHeight="1">
      <c r="A1816" s="201" t="str">
        <f>IF(B1816&lt;&gt;"",IF(AND(B1816&gt;=_TM1,B1816&lt;=_TM2,OR(TH!L1816="1111",TH!M1816="1111")),TH!D1816,""),"")</f>
        <v/>
      </c>
      <c r="B1816" s="36">
        <f t="shared" si="88"/>
        <v>4</v>
      </c>
      <c r="C1816" s="188">
        <f t="shared" si="87"/>
        <v>41380</v>
      </c>
      <c r="D1816" s="37" t="s">
        <v>457</v>
      </c>
      <c r="E1816" s="181">
        <v>41380</v>
      </c>
      <c r="F1816" s="186" t="s">
        <v>1103</v>
      </c>
      <c r="G1816" s="597" t="s">
        <v>770</v>
      </c>
      <c r="H1816" s="7" t="s">
        <v>1258</v>
      </c>
      <c r="I1816" s="249">
        <v>3930</v>
      </c>
      <c r="J1816" s="249">
        <v>5870.2837150127225</v>
      </c>
      <c r="K1816" s="595">
        <f t="shared" si="86"/>
        <v>23070215</v>
      </c>
      <c r="L1816" s="39" t="s">
        <v>170</v>
      </c>
      <c r="M1816" s="39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IF(OR(TH!L1816=TH!$U$7,M1816=TH!$U$7),"x","")</f>
        <v/>
      </c>
      <c r="V1816" s="52" t="str">
        <f>IF(AND(B1816&gt;='IN-NX'!$P$3,B1816&lt;='IN-NX'!$Q$3,'IN-NX'!$D$7=D1816,OR(LEFT(L1816,2)="15",AND(LEFT(M1816,2)&lt;&gt;"15",LEFT(M1816,2)&lt;&gt;"33"))),"x","")</f>
        <v/>
      </c>
      <c r="W1816" s="52" t="str">
        <f>IF(AND(OR(LEFT(TH!L1816,2)="15",LEFT(TH!M1816,2)="15"),'152-CT'!$J$8=TH!F1816),"x","")</f>
        <v/>
      </c>
      <c r="X1816" s="52" t="str">
        <f>IF(AND(OR(LEFT(TH!L1816,2)="15",LEFT(TH!M1816,2)="15"),TK!$E$7=TH!F1816),"x","")</f>
        <v/>
      </c>
      <c r="Y1816" s="52" t="str">
        <f>IF(AND(B1816&lt;=NKC!$N$8,B1816&gt;=NKC!$M$8),"x","")</f>
        <v/>
      </c>
    </row>
    <row r="1817" spans="1:25" s="208" customFormat="1" ht="15.75" customHeight="1">
      <c r="A1817" s="201" t="str">
        <f>IF(B1817&lt;&gt;"",IF(AND(B1817&gt;=_TM1,B1817&lt;=_TM2,OR(TH!L1817="1111",TH!M1817="1111")),TH!D1817,""),"")</f>
        <v/>
      </c>
      <c r="B1817" s="36">
        <f t="shared" si="88"/>
        <v>4</v>
      </c>
      <c r="C1817" s="188">
        <f t="shared" si="87"/>
        <v>41380</v>
      </c>
      <c r="D1817" s="37" t="s">
        <v>457</v>
      </c>
      <c r="E1817" s="188">
        <v>41380</v>
      </c>
      <c r="F1817" s="189" t="s">
        <v>807</v>
      </c>
      <c r="G1817" s="480" t="s">
        <v>771</v>
      </c>
      <c r="H1817" s="7" t="s">
        <v>1258</v>
      </c>
      <c r="I1817" s="249">
        <v>1040</v>
      </c>
      <c r="J1817" s="249">
        <v>6391.9182692307695</v>
      </c>
      <c r="K1817" s="595">
        <f t="shared" si="86"/>
        <v>6647595</v>
      </c>
      <c r="L1817" s="39" t="s">
        <v>170</v>
      </c>
      <c r="M1817" s="39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IF(OR(TH!L1817=TH!$U$7,M1817=TH!$U$7),"x","")</f>
        <v/>
      </c>
      <c r="V1817" s="52" t="str">
        <f>IF(AND(B1817&gt;='IN-NX'!$P$3,B1817&lt;='IN-NX'!$Q$3,'IN-NX'!$D$7=D1817,OR(LEFT(L1817,2)="15",AND(LEFT(M1817,2)&lt;&gt;"15",LEFT(M1817,2)&lt;&gt;"33"))),"x","")</f>
        <v/>
      </c>
      <c r="W1817" s="52" t="str">
        <f>IF(AND(OR(LEFT(TH!L1817,2)="15",LEFT(TH!M1817,2)="15"),'152-CT'!$J$8=TH!F1817),"x","")</f>
        <v/>
      </c>
      <c r="X1817" s="52" t="str">
        <f>IF(AND(OR(LEFT(TH!L1817,2)="15",LEFT(TH!M1817,2)="15"),TK!$E$7=TH!F1817),"x","")</f>
        <v/>
      </c>
      <c r="Y1817" s="52" t="str">
        <f>IF(AND(B1817&lt;=NKC!$N$8,B1817&gt;=NKC!$M$8),"x","")</f>
        <v/>
      </c>
    </row>
    <row r="1818" spans="1:25" s="208" customFormat="1" ht="15.75" customHeight="1">
      <c r="A1818" s="201" t="str">
        <f>IF(B1818&lt;&gt;"",IF(AND(B1818&gt;=_TM1,B1818&lt;=_TM2,OR(TH!L1818="1111",TH!M1818="1111")),TH!D1818,""),"")</f>
        <v/>
      </c>
      <c r="B1818" s="36">
        <f t="shared" si="88"/>
        <v>4</v>
      </c>
      <c r="C1818" s="188">
        <f t="shared" si="87"/>
        <v>41381</v>
      </c>
      <c r="D1818" s="37" t="s">
        <v>457</v>
      </c>
      <c r="E1818" s="188">
        <v>41381</v>
      </c>
      <c r="F1818" s="189" t="s">
        <v>708</v>
      </c>
      <c r="G1818" s="480" t="s">
        <v>452</v>
      </c>
      <c r="H1818" s="7" t="s">
        <v>1258</v>
      </c>
      <c r="I1818" s="249">
        <v>670</v>
      </c>
      <c r="J1818" s="249">
        <v>7767.429850746269</v>
      </c>
      <c r="K1818" s="595">
        <f t="shared" ref="K1818:K1881" si="89">ROUND(I1818*J1818,0)</f>
        <v>5204178</v>
      </c>
      <c r="L1818" s="39" t="s">
        <v>170</v>
      </c>
      <c r="M1818" s="39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IF(OR(TH!L1818=TH!$U$7,M1818=TH!$U$7),"x","")</f>
        <v/>
      </c>
      <c r="V1818" s="52" t="str">
        <f>IF(AND(B1818&gt;='IN-NX'!$P$3,B1818&lt;='IN-NX'!$Q$3,'IN-NX'!$D$7=D1818,OR(LEFT(L1818,2)="15",AND(LEFT(M1818,2)&lt;&gt;"15",LEFT(M1818,2)&lt;&gt;"33"))),"x","")</f>
        <v/>
      </c>
      <c r="W1818" s="52" t="str">
        <f>IF(AND(OR(LEFT(TH!L1818,2)="15",LEFT(TH!M1818,2)="15"),'152-CT'!$J$8=TH!F1818),"x","")</f>
        <v/>
      </c>
      <c r="X1818" s="52" t="str">
        <f>IF(AND(OR(LEFT(TH!L1818,2)="15",LEFT(TH!M1818,2)="15"),TK!$E$7=TH!F1818),"x","")</f>
        <v/>
      </c>
      <c r="Y1818" s="52" t="str">
        <f>IF(AND(B1818&lt;=NKC!$N$8,B1818&gt;=NKC!$M$8),"x","")</f>
        <v/>
      </c>
    </row>
    <row r="1819" spans="1:25" s="208" customFormat="1" ht="15.75" customHeight="1">
      <c r="A1819" s="201" t="str">
        <f>IF(B1819&lt;&gt;"",IF(AND(B1819&gt;=_TM1,B1819&lt;=_TM2,OR(TH!L1819="1111",TH!M1819="1111")),TH!D1819,""),"")</f>
        <v/>
      </c>
      <c r="B1819" s="36">
        <f t="shared" si="88"/>
        <v>4</v>
      </c>
      <c r="C1819" s="188">
        <f t="shared" si="87"/>
        <v>41387</v>
      </c>
      <c r="D1819" s="37" t="s">
        <v>457</v>
      </c>
      <c r="E1819" s="188">
        <v>41387</v>
      </c>
      <c r="F1819" s="189" t="s">
        <v>772</v>
      </c>
      <c r="G1819" s="480" t="s">
        <v>773</v>
      </c>
      <c r="H1819" s="7" t="s">
        <v>1258</v>
      </c>
      <c r="I1819" s="249">
        <v>514</v>
      </c>
      <c r="J1819" s="249">
        <v>7971.4416342412451</v>
      </c>
      <c r="K1819" s="595">
        <f t="shared" si="89"/>
        <v>4097321</v>
      </c>
      <c r="L1819" s="39" t="s">
        <v>170</v>
      </c>
      <c r="M1819" s="39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IF(OR(TH!L1819=TH!$U$7,M1819=TH!$U$7),"x","")</f>
        <v/>
      </c>
      <c r="V1819" s="52" t="str">
        <f>IF(AND(B1819&gt;='IN-NX'!$P$3,B1819&lt;='IN-NX'!$Q$3,'IN-NX'!$D$7=D1819,OR(LEFT(L1819,2)="15",AND(LEFT(M1819,2)&lt;&gt;"15",LEFT(M1819,2)&lt;&gt;"33"))),"x","")</f>
        <v/>
      </c>
      <c r="W1819" s="52" t="str">
        <f>IF(AND(OR(LEFT(TH!L1819,2)="15",LEFT(TH!M1819,2)="15"),'152-CT'!$J$8=TH!F1819),"x","")</f>
        <v/>
      </c>
      <c r="X1819" s="52" t="str">
        <f>IF(AND(OR(LEFT(TH!L1819,2)="15",LEFT(TH!M1819,2)="15"),TK!$E$7=TH!F1819),"x","")</f>
        <v/>
      </c>
      <c r="Y1819" s="52" t="str">
        <f>IF(AND(B1819&lt;=NKC!$N$8,B1819&gt;=NKC!$M$8),"x","")</f>
        <v/>
      </c>
    </row>
    <row r="1820" spans="1:25" s="208" customFormat="1" ht="15.75" customHeight="1">
      <c r="A1820" s="201" t="str">
        <f>IF(B1820&lt;&gt;"",IF(AND(B1820&gt;=_TM1,B1820&lt;=_TM2,OR(TH!L1820="1111",TH!M1820="1111")),TH!D1820,""),"")</f>
        <v/>
      </c>
      <c r="B1820" s="36">
        <f t="shared" si="88"/>
        <v>4</v>
      </c>
      <c r="C1820" s="188">
        <f t="shared" si="87"/>
        <v>41387</v>
      </c>
      <c r="D1820" s="37" t="s">
        <v>457</v>
      </c>
      <c r="E1820" s="188">
        <v>41387</v>
      </c>
      <c r="F1820" s="189" t="s">
        <v>775</v>
      </c>
      <c r="G1820" s="480" t="s">
        <v>773</v>
      </c>
      <c r="H1820" s="7" t="s">
        <v>1258</v>
      </c>
      <c r="I1820" s="249">
        <v>520</v>
      </c>
      <c r="J1820" s="249">
        <v>8935.3250000000007</v>
      </c>
      <c r="K1820" s="595">
        <f t="shared" si="89"/>
        <v>4646369</v>
      </c>
      <c r="L1820" s="39" t="s">
        <v>170</v>
      </c>
      <c r="M1820" s="39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IF(OR(TH!L1820=TH!$U$7,M1820=TH!$U$7),"x","")</f>
        <v/>
      </c>
      <c r="V1820" s="52" t="str">
        <f>IF(AND(B1820&gt;='IN-NX'!$P$3,B1820&lt;='IN-NX'!$Q$3,'IN-NX'!$D$7=D1820,OR(LEFT(L1820,2)="15",AND(LEFT(M1820,2)&lt;&gt;"15",LEFT(M1820,2)&lt;&gt;"33"))),"x","")</f>
        <v/>
      </c>
      <c r="W1820" s="52" t="str">
        <f>IF(AND(OR(LEFT(TH!L1820,2)="15",LEFT(TH!M1820,2)="15"),'152-CT'!$J$8=TH!F1820),"x","")</f>
        <v/>
      </c>
      <c r="X1820" s="52" t="str">
        <f>IF(AND(OR(LEFT(TH!L1820,2)="15",LEFT(TH!M1820,2)="15"),TK!$E$7=TH!F1820),"x","")</f>
        <v/>
      </c>
      <c r="Y1820" s="52" t="str">
        <f>IF(AND(B1820&lt;=NKC!$N$8,B1820&gt;=NKC!$M$8),"x","")</f>
        <v/>
      </c>
    </row>
    <row r="1821" spans="1:25" s="208" customFormat="1" ht="15.75" customHeight="1">
      <c r="A1821" s="201" t="str">
        <f>IF(B1821&lt;&gt;"",IF(AND(B1821&gt;=_TM1,B1821&lt;=_TM2,OR(TH!L1821="1111",TH!M1821="1111")),TH!D1821,""),"")</f>
        <v/>
      </c>
      <c r="B1821" s="36">
        <f t="shared" si="88"/>
        <v>4</v>
      </c>
      <c r="C1821" s="188">
        <f t="shared" si="87"/>
        <v>41388</v>
      </c>
      <c r="D1821" s="37" t="s">
        <v>457</v>
      </c>
      <c r="E1821" s="188">
        <v>41388</v>
      </c>
      <c r="F1821" s="189" t="s">
        <v>1107</v>
      </c>
      <c r="G1821" s="480" t="s">
        <v>776</v>
      </c>
      <c r="H1821" s="7" t="s">
        <v>1258</v>
      </c>
      <c r="I1821" s="249">
        <v>100</v>
      </c>
      <c r="J1821" s="249">
        <v>16434.240000000002</v>
      </c>
      <c r="K1821" s="595">
        <f t="shared" si="89"/>
        <v>1643424</v>
      </c>
      <c r="L1821" s="39" t="s">
        <v>170</v>
      </c>
      <c r="M1821" s="39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IF(OR(TH!L1821=TH!$U$7,M1821=TH!$U$7),"x","")</f>
        <v/>
      </c>
      <c r="V1821" s="52" t="str">
        <f>IF(AND(B1821&gt;='IN-NX'!$P$3,B1821&lt;='IN-NX'!$Q$3,'IN-NX'!$D$7=D1821,OR(LEFT(L1821,2)="15",AND(LEFT(M1821,2)&lt;&gt;"15",LEFT(M1821,2)&lt;&gt;"33"))),"x","")</f>
        <v/>
      </c>
      <c r="W1821" s="52" t="str">
        <f>IF(AND(OR(LEFT(TH!L1821,2)="15",LEFT(TH!M1821,2)="15"),'152-CT'!$J$8=TH!F1821),"x","")</f>
        <v/>
      </c>
      <c r="X1821" s="52" t="str">
        <f>IF(AND(OR(LEFT(TH!L1821,2)="15",LEFT(TH!M1821,2)="15"),TK!$E$7=TH!F1821),"x","")</f>
        <v/>
      </c>
      <c r="Y1821" s="52" t="str">
        <f>IF(AND(B1821&lt;=NKC!$N$8,B1821&gt;=NKC!$M$8),"x","")</f>
        <v/>
      </c>
    </row>
    <row r="1822" spans="1:25" s="208" customFormat="1" ht="15.75" customHeight="1">
      <c r="A1822" s="201" t="str">
        <f>IF(B1822&lt;&gt;"",IF(AND(B1822&gt;=_TM1,B1822&lt;=_TM2,OR(TH!L1822="1111",TH!M1822="1111")),TH!D1822,""),"")</f>
        <v/>
      </c>
      <c r="B1822" s="36">
        <f t="shared" si="88"/>
        <v>4</v>
      </c>
      <c r="C1822" s="188">
        <f t="shared" si="87"/>
        <v>41388</v>
      </c>
      <c r="D1822" s="37" t="s">
        <v>457</v>
      </c>
      <c r="E1822" s="188">
        <v>41388</v>
      </c>
      <c r="F1822" s="189" t="s">
        <v>1113</v>
      </c>
      <c r="G1822" s="480" t="s">
        <v>776</v>
      </c>
      <c r="H1822" s="7" t="s">
        <v>1258</v>
      </c>
      <c r="I1822" s="249">
        <v>99</v>
      </c>
      <c r="J1822" s="249">
        <v>14861.232323232323</v>
      </c>
      <c r="K1822" s="595">
        <f t="shared" si="89"/>
        <v>1471262</v>
      </c>
      <c r="L1822" s="39" t="s">
        <v>170</v>
      </c>
      <c r="M1822" s="39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IF(OR(TH!L1822=TH!$U$7,M1822=TH!$U$7),"x","")</f>
        <v/>
      </c>
      <c r="V1822" s="52" t="str">
        <f>IF(AND(B1822&gt;='IN-NX'!$P$3,B1822&lt;='IN-NX'!$Q$3,'IN-NX'!$D$7=D1822,OR(LEFT(L1822,2)="15",AND(LEFT(M1822,2)&lt;&gt;"15",LEFT(M1822,2)&lt;&gt;"33"))),"x","")</f>
        <v/>
      </c>
      <c r="W1822" s="52" t="str">
        <f>IF(AND(OR(LEFT(TH!L1822,2)="15",LEFT(TH!M1822,2)="15"),'152-CT'!$J$8=TH!F1822),"x","")</f>
        <v/>
      </c>
      <c r="X1822" s="52" t="str">
        <f>IF(AND(OR(LEFT(TH!L1822,2)="15",LEFT(TH!M1822,2)="15"),TK!$E$7=TH!F1822),"x","")</f>
        <v/>
      </c>
      <c r="Y1822" s="52" t="str">
        <f>IF(AND(B1822&lt;=NKC!$N$8,B1822&gt;=NKC!$M$8),"x","")</f>
        <v/>
      </c>
    </row>
    <row r="1823" spans="1:25" s="208" customFormat="1" ht="15.75" customHeight="1">
      <c r="A1823" s="201" t="str">
        <f>IF(B1823&lt;&gt;"",IF(AND(B1823&gt;=_TM1,B1823&lt;=_TM2,OR(TH!L1823="1111",TH!M1823="1111")),TH!D1823,""),"")</f>
        <v/>
      </c>
      <c r="B1823" s="36">
        <f t="shared" si="88"/>
        <v>4</v>
      </c>
      <c r="C1823" s="188">
        <f t="shared" si="87"/>
        <v>41388</v>
      </c>
      <c r="D1823" s="37" t="s">
        <v>457</v>
      </c>
      <c r="E1823" s="188">
        <v>41388</v>
      </c>
      <c r="F1823" s="189" t="s">
        <v>777</v>
      </c>
      <c r="G1823" s="480" t="s">
        <v>778</v>
      </c>
      <c r="H1823" s="7" t="s">
        <v>1258</v>
      </c>
      <c r="I1823" s="249">
        <v>200</v>
      </c>
      <c r="J1823" s="249">
        <v>5954.2349999999997</v>
      </c>
      <c r="K1823" s="595">
        <f t="shared" si="89"/>
        <v>1190847</v>
      </c>
      <c r="L1823" s="39" t="s">
        <v>170</v>
      </c>
      <c r="M1823" s="39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IF(OR(TH!L1823=TH!$U$7,M1823=TH!$U$7),"x","")</f>
        <v/>
      </c>
      <c r="V1823" s="52" t="str">
        <f>IF(AND(B1823&gt;='IN-NX'!$P$3,B1823&lt;='IN-NX'!$Q$3,'IN-NX'!$D$7=D1823,OR(LEFT(L1823,2)="15",AND(LEFT(M1823,2)&lt;&gt;"15",LEFT(M1823,2)&lt;&gt;"33"))),"x","")</f>
        <v/>
      </c>
      <c r="W1823" s="52" t="str">
        <f>IF(AND(OR(LEFT(TH!L1823,2)="15",LEFT(TH!M1823,2)="15"),'152-CT'!$J$8=TH!F1823),"x","")</f>
        <v/>
      </c>
      <c r="X1823" s="52" t="str">
        <f>IF(AND(OR(LEFT(TH!L1823,2)="15",LEFT(TH!M1823,2)="15"),TK!$E$7=TH!F1823),"x","")</f>
        <v/>
      </c>
      <c r="Y1823" s="52" t="str">
        <f>IF(AND(B1823&lt;=NKC!$N$8,B1823&gt;=NKC!$M$8),"x","")</f>
        <v/>
      </c>
    </row>
    <row r="1824" spans="1:25" s="208" customFormat="1" ht="15.75" customHeight="1">
      <c r="A1824" s="201" t="str">
        <f>IF(B1824&lt;&gt;"",IF(AND(B1824&gt;=_TM1,B1824&lt;=_TM2,OR(TH!L1824="1111",TH!M1824="1111")),TH!D1824,""),"")</f>
        <v/>
      </c>
      <c r="B1824" s="36">
        <f t="shared" si="88"/>
        <v>4</v>
      </c>
      <c r="C1824" s="188">
        <f t="shared" si="87"/>
        <v>41388</v>
      </c>
      <c r="D1824" s="37" t="s">
        <v>457</v>
      </c>
      <c r="E1824" s="188">
        <v>41388</v>
      </c>
      <c r="F1824" s="189" t="s">
        <v>779</v>
      </c>
      <c r="G1824" s="480" t="s">
        <v>778</v>
      </c>
      <c r="H1824" s="7" t="s">
        <v>1258</v>
      </c>
      <c r="I1824" s="249">
        <v>204</v>
      </c>
      <c r="J1824" s="249">
        <v>5033.1960784313724</v>
      </c>
      <c r="K1824" s="595">
        <f t="shared" si="89"/>
        <v>1026772</v>
      </c>
      <c r="L1824" s="39" t="s">
        <v>170</v>
      </c>
      <c r="M1824" s="39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IF(OR(TH!L1824=TH!$U$7,M1824=TH!$U$7),"x","")</f>
        <v/>
      </c>
      <c r="V1824" s="52" t="str">
        <f>IF(AND(B1824&gt;='IN-NX'!$P$3,B1824&lt;='IN-NX'!$Q$3,'IN-NX'!$D$7=D1824,OR(LEFT(L1824,2)="15",AND(LEFT(M1824,2)&lt;&gt;"15",LEFT(M1824,2)&lt;&gt;"33"))),"x","")</f>
        <v/>
      </c>
      <c r="W1824" s="52" t="str">
        <f>IF(AND(OR(LEFT(TH!L1824,2)="15",LEFT(TH!M1824,2)="15"),'152-CT'!$J$8=TH!F1824),"x","")</f>
        <v/>
      </c>
      <c r="X1824" s="52" t="str">
        <f>IF(AND(OR(LEFT(TH!L1824,2)="15",LEFT(TH!M1824,2)="15"),TK!$E$7=TH!F1824),"x","")</f>
        <v/>
      </c>
      <c r="Y1824" s="52" t="str">
        <f>IF(AND(B1824&lt;=NKC!$N$8,B1824&gt;=NKC!$M$8),"x","")</f>
        <v/>
      </c>
    </row>
    <row r="1825" spans="1:25" s="208" customFormat="1" ht="15.75" customHeight="1">
      <c r="A1825" s="201" t="str">
        <f>IF(B1825&lt;&gt;"",IF(AND(B1825&gt;=_TM1,B1825&lt;=_TM2,OR(TH!L1825="1111",TH!M1825="1111")),TH!D1825,""),"")</f>
        <v/>
      </c>
      <c r="B1825" s="36">
        <f t="shared" si="88"/>
        <v>4</v>
      </c>
      <c r="C1825" s="188">
        <f t="shared" si="87"/>
        <v>41389</v>
      </c>
      <c r="D1825" s="37" t="s">
        <v>457</v>
      </c>
      <c r="E1825" s="188">
        <v>41389</v>
      </c>
      <c r="F1825" s="189" t="s">
        <v>1103</v>
      </c>
      <c r="G1825" s="480" t="s">
        <v>780</v>
      </c>
      <c r="H1825" s="7" t="s">
        <v>1258</v>
      </c>
      <c r="I1825" s="249">
        <v>4080</v>
      </c>
      <c r="J1825" s="249">
        <v>5867.7507352941175</v>
      </c>
      <c r="K1825" s="595">
        <f t="shared" si="89"/>
        <v>23940423</v>
      </c>
      <c r="L1825" s="39" t="s">
        <v>170</v>
      </c>
      <c r="M1825" s="39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IF(OR(TH!L1825=TH!$U$7,M1825=TH!$U$7),"x","")</f>
        <v/>
      </c>
      <c r="V1825" s="52" t="str">
        <f>IF(AND(B1825&gt;='IN-NX'!$P$3,B1825&lt;='IN-NX'!$Q$3,'IN-NX'!$D$7=D1825,OR(LEFT(L1825,2)="15",AND(LEFT(M1825,2)&lt;&gt;"15",LEFT(M1825,2)&lt;&gt;"33"))),"x","")</f>
        <v/>
      </c>
      <c r="W1825" s="52" t="str">
        <f>IF(AND(OR(LEFT(TH!L1825,2)="15",LEFT(TH!M1825,2)="15"),'152-CT'!$J$8=TH!F1825),"x","")</f>
        <v/>
      </c>
      <c r="X1825" s="52" t="str">
        <f>IF(AND(OR(LEFT(TH!L1825,2)="15",LEFT(TH!M1825,2)="15"),TK!$E$7=TH!F1825),"x","")</f>
        <v/>
      </c>
      <c r="Y1825" s="52" t="str">
        <f>IF(AND(B1825&lt;=NKC!$N$8,B1825&gt;=NKC!$M$8),"x","")</f>
        <v/>
      </c>
    </row>
    <row r="1826" spans="1:25" s="208" customFormat="1" ht="15.75" customHeight="1">
      <c r="A1826" s="201" t="str">
        <f>IF(B1826&lt;&gt;"",IF(AND(B1826&gt;=_TM1,B1826&lt;=_TM2,OR(TH!L1826="1111",TH!M1826="1111")),TH!D1826,""),"")</f>
        <v/>
      </c>
      <c r="B1826" s="36">
        <f t="shared" si="88"/>
        <v>4</v>
      </c>
      <c r="C1826" s="188">
        <f t="shared" si="87"/>
        <v>41391</v>
      </c>
      <c r="D1826" s="37" t="s">
        <v>457</v>
      </c>
      <c r="E1826" s="188">
        <v>41391</v>
      </c>
      <c r="F1826" s="189" t="s">
        <v>781</v>
      </c>
      <c r="G1826" s="480" t="s">
        <v>782</v>
      </c>
      <c r="H1826" s="7" t="s">
        <v>1258</v>
      </c>
      <c r="I1826" s="249">
        <v>310</v>
      </c>
      <c r="J1826" s="249">
        <v>10033.977419354838</v>
      </c>
      <c r="K1826" s="595">
        <f t="shared" si="89"/>
        <v>3110533</v>
      </c>
      <c r="L1826" s="39" t="s">
        <v>170</v>
      </c>
      <c r="M1826" s="39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IF(OR(TH!L1826=TH!$U$7,M1826=TH!$U$7),"x","")</f>
        <v/>
      </c>
      <c r="V1826" s="52" t="str">
        <f>IF(AND(B1826&gt;='IN-NX'!$P$3,B1826&lt;='IN-NX'!$Q$3,'IN-NX'!$D$7=D1826,OR(LEFT(L1826,2)="15",AND(LEFT(M1826,2)&lt;&gt;"15",LEFT(M1826,2)&lt;&gt;"33"))),"x","")</f>
        <v/>
      </c>
      <c r="W1826" s="52" t="str">
        <f>IF(AND(OR(LEFT(TH!L1826,2)="15",LEFT(TH!M1826,2)="15"),'152-CT'!$J$8=TH!F1826),"x","")</f>
        <v/>
      </c>
      <c r="X1826" s="52" t="str">
        <f>IF(AND(OR(LEFT(TH!L1826,2)="15",LEFT(TH!M1826,2)="15"),TK!$E$7=TH!F1826),"x","")</f>
        <v/>
      </c>
      <c r="Y1826" s="52" t="str">
        <f>IF(AND(B1826&lt;=NKC!$N$8,B1826&gt;=NKC!$M$8),"x","")</f>
        <v/>
      </c>
    </row>
    <row r="1827" spans="1:25" s="208" customFormat="1" ht="15.75" customHeight="1">
      <c r="A1827" s="201" t="str">
        <f>IF(B1827&lt;&gt;"",IF(AND(B1827&gt;=_TM1,B1827&lt;=_TM2,OR(TH!L1827="1111",TH!M1827="1111")),TH!D1827,""),"")</f>
        <v/>
      </c>
      <c r="B1827" s="36">
        <f t="shared" si="88"/>
        <v>4</v>
      </c>
      <c r="C1827" s="188">
        <f t="shared" si="87"/>
        <v>41391</v>
      </c>
      <c r="D1827" s="37" t="s">
        <v>457</v>
      </c>
      <c r="E1827" s="188">
        <v>41391</v>
      </c>
      <c r="F1827" s="189" t="s">
        <v>783</v>
      </c>
      <c r="G1827" s="480" t="s">
        <v>782</v>
      </c>
      <c r="H1827" s="7" t="s">
        <v>1258</v>
      </c>
      <c r="I1827" s="249">
        <v>225</v>
      </c>
      <c r="J1827" s="249">
        <v>7983.0622222222219</v>
      </c>
      <c r="K1827" s="595">
        <f t="shared" si="89"/>
        <v>1796189</v>
      </c>
      <c r="L1827" s="39" t="s">
        <v>170</v>
      </c>
      <c r="M1827" s="39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IF(OR(TH!L1827=TH!$U$7,M1827=TH!$U$7),"x","")</f>
        <v/>
      </c>
      <c r="V1827" s="52" t="str">
        <f>IF(AND(B1827&gt;='IN-NX'!$P$3,B1827&lt;='IN-NX'!$Q$3,'IN-NX'!$D$7=D1827,OR(LEFT(L1827,2)="15",AND(LEFT(M1827,2)&lt;&gt;"15",LEFT(M1827,2)&lt;&gt;"33"))),"x","")</f>
        <v/>
      </c>
      <c r="W1827" s="52" t="str">
        <f>IF(AND(OR(LEFT(TH!L1827,2)="15",LEFT(TH!M1827,2)="15"),'152-CT'!$J$8=TH!F1827),"x","")</f>
        <v/>
      </c>
      <c r="X1827" s="52" t="str">
        <f>IF(AND(OR(LEFT(TH!L1827,2)="15",LEFT(TH!M1827,2)="15"),TK!$E$7=TH!F1827),"x","")</f>
        <v/>
      </c>
      <c r="Y1827" s="52" t="str">
        <f>IF(AND(B1827&lt;=NKC!$N$8,B1827&gt;=NKC!$M$8),"x","")</f>
        <v/>
      </c>
    </row>
    <row r="1828" spans="1:25" s="208" customFormat="1" ht="15.75" customHeight="1">
      <c r="A1828" s="201" t="str">
        <f>IF(B1828&lt;&gt;"",IF(AND(B1828&gt;=_TM1,B1828&lt;=_TM2,OR(TH!L1828="1111",TH!M1828="1111")),TH!D1828,""),"")</f>
        <v/>
      </c>
      <c r="B1828" s="36">
        <f t="shared" si="88"/>
        <v>5</v>
      </c>
      <c r="C1828" s="188">
        <f t="shared" si="87"/>
        <v>41400</v>
      </c>
      <c r="D1828" s="37" t="s">
        <v>457</v>
      </c>
      <c r="E1828" s="188">
        <v>41400</v>
      </c>
      <c r="F1828" s="189" t="s">
        <v>784</v>
      </c>
      <c r="G1828" s="480" t="s">
        <v>785</v>
      </c>
      <c r="H1828" s="7" t="s">
        <v>1258</v>
      </c>
      <c r="I1828" s="249">
        <v>514</v>
      </c>
      <c r="J1828" s="249">
        <v>17050.9766536965</v>
      </c>
      <c r="K1828" s="595">
        <f t="shared" si="89"/>
        <v>8764202</v>
      </c>
      <c r="L1828" s="39" t="s">
        <v>170</v>
      </c>
      <c r="M1828" s="39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IF(OR(TH!L1828=TH!$U$7,M1828=TH!$U$7),"x","")</f>
        <v/>
      </c>
      <c r="V1828" s="52" t="str">
        <f>IF(AND(B1828&gt;='IN-NX'!$P$3,B1828&lt;='IN-NX'!$Q$3,'IN-NX'!$D$7=D1828,OR(LEFT(L1828,2)="15",AND(LEFT(M1828,2)&lt;&gt;"15",LEFT(M1828,2)&lt;&gt;"33"))),"x","")</f>
        <v/>
      </c>
      <c r="W1828" s="52" t="str">
        <f>IF(AND(OR(LEFT(TH!L1828,2)="15",LEFT(TH!M1828,2)="15"),'152-CT'!$J$8=TH!F1828),"x","")</f>
        <v/>
      </c>
      <c r="X1828" s="52" t="str">
        <f>IF(AND(OR(LEFT(TH!L1828,2)="15",LEFT(TH!M1828,2)="15"),TK!$E$7=TH!F1828),"x","")</f>
        <v/>
      </c>
      <c r="Y1828" s="52" t="str">
        <f>IF(AND(B1828&lt;=NKC!$N$8,B1828&gt;=NKC!$M$8),"x","")</f>
        <v/>
      </c>
    </row>
    <row r="1829" spans="1:25" s="208" customFormat="1" ht="15.75" customHeight="1">
      <c r="A1829" s="201" t="str">
        <f>IF(B1829&lt;&gt;"",IF(AND(B1829&gt;=_TM1,B1829&lt;=_TM2,OR(TH!L1829="1111",TH!M1829="1111")),TH!D1829,""),"")</f>
        <v/>
      </c>
      <c r="B1829" s="36">
        <f t="shared" si="88"/>
        <v>5</v>
      </c>
      <c r="C1829" s="188">
        <f t="shared" si="87"/>
        <v>41400</v>
      </c>
      <c r="D1829" s="37" t="s">
        <v>457</v>
      </c>
      <c r="E1829" s="37">
        <v>41400</v>
      </c>
      <c r="F1829" s="40" t="s">
        <v>786</v>
      </c>
      <c r="G1829" s="40" t="s">
        <v>785</v>
      </c>
      <c r="H1829" s="7" t="s">
        <v>1258</v>
      </c>
      <c r="I1829" s="249">
        <v>1000</v>
      </c>
      <c r="J1829" s="249">
        <v>1049.252</v>
      </c>
      <c r="K1829" s="595">
        <f t="shared" si="89"/>
        <v>1049252</v>
      </c>
      <c r="L1829" s="39" t="s">
        <v>170</v>
      </c>
      <c r="M1829" s="39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IF(OR(TH!L1829=TH!$U$7,M1829=TH!$U$7),"x","")</f>
        <v/>
      </c>
      <c r="V1829" s="52" t="str">
        <f>IF(AND(B1829&gt;='IN-NX'!$P$3,B1829&lt;='IN-NX'!$Q$3,'IN-NX'!$D$7=D1829,OR(LEFT(L1829,2)="15",AND(LEFT(M1829,2)&lt;&gt;"15",LEFT(M1829,2)&lt;&gt;"33"))),"x","")</f>
        <v/>
      </c>
      <c r="W1829" s="52" t="str">
        <f>IF(AND(OR(LEFT(TH!L1829,2)="15",LEFT(TH!M1829,2)="15"),'152-CT'!$J$8=TH!F1829),"x","")</f>
        <v/>
      </c>
      <c r="X1829" s="52" t="str">
        <f>IF(AND(OR(LEFT(TH!L1829,2)="15",LEFT(TH!M1829,2)="15"),TK!$E$7=TH!F1829),"x","")</f>
        <v/>
      </c>
      <c r="Y1829" s="52" t="str">
        <f>IF(AND(B1829&lt;=NKC!$N$8,B1829&gt;=NKC!$M$8),"x","")</f>
        <v/>
      </c>
    </row>
    <row r="1830" spans="1:25" s="208" customFormat="1" ht="15.75" customHeight="1">
      <c r="A1830" s="201" t="str">
        <f>IF(B1830&lt;&gt;"",IF(AND(B1830&gt;=_TM1,B1830&lt;=_TM2,OR(TH!L1830="1111",TH!M1830="1111")),TH!D1830,""),"")</f>
        <v/>
      </c>
      <c r="B1830" s="36">
        <f t="shared" si="88"/>
        <v>5</v>
      </c>
      <c r="C1830" s="188">
        <f t="shared" si="87"/>
        <v>41401</v>
      </c>
      <c r="D1830" s="37" t="s">
        <v>457</v>
      </c>
      <c r="E1830" s="37">
        <v>41401</v>
      </c>
      <c r="F1830" s="40" t="s">
        <v>787</v>
      </c>
      <c r="G1830" s="40" t="s">
        <v>788</v>
      </c>
      <c r="H1830" s="7" t="s">
        <v>1258</v>
      </c>
      <c r="I1830" s="249">
        <v>500</v>
      </c>
      <c r="J1830" s="249">
        <v>8253.2360000000008</v>
      </c>
      <c r="K1830" s="595">
        <f t="shared" si="89"/>
        <v>4126618</v>
      </c>
      <c r="L1830" s="39" t="s">
        <v>170</v>
      </c>
      <c r="M1830" s="39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IF(OR(TH!L1830=TH!$U$7,M1830=TH!$U$7),"x","")</f>
        <v/>
      </c>
      <c r="V1830" s="52" t="str">
        <f>IF(AND(B1830&gt;='IN-NX'!$P$3,B1830&lt;='IN-NX'!$Q$3,'IN-NX'!$D$7=D1830,OR(LEFT(L1830,2)="15",AND(LEFT(M1830,2)&lt;&gt;"15",LEFT(M1830,2)&lt;&gt;"33"))),"x","")</f>
        <v/>
      </c>
      <c r="W1830" s="52" t="str">
        <f>IF(AND(OR(LEFT(TH!L1830,2)="15",LEFT(TH!M1830,2)="15"),'152-CT'!$J$8=TH!F1830),"x","")</f>
        <v/>
      </c>
      <c r="X1830" s="52" t="str">
        <f>IF(AND(OR(LEFT(TH!L1830,2)="15",LEFT(TH!M1830,2)="15"),TK!$E$7=TH!F1830),"x","")</f>
        <v/>
      </c>
      <c r="Y1830" s="52" t="str">
        <f>IF(AND(B1830&lt;=NKC!$N$8,B1830&gt;=NKC!$M$8),"x","")</f>
        <v/>
      </c>
    </row>
    <row r="1831" spans="1:25" s="208" customFormat="1" ht="15.75" customHeight="1">
      <c r="A1831" s="201" t="str">
        <f>IF(B1831&lt;&gt;"",IF(AND(B1831&gt;=_TM1,B1831&lt;=_TM2,OR(TH!L1831="1111",TH!M1831="1111")),TH!D1831,""),"")</f>
        <v/>
      </c>
      <c r="B1831" s="36">
        <f t="shared" si="88"/>
        <v>5</v>
      </c>
      <c r="C1831" s="188">
        <f t="shared" si="87"/>
        <v>41409</v>
      </c>
      <c r="D1831" s="37" t="s">
        <v>457</v>
      </c>
      <c r="E1831" s="37">
        <v>41409</v>
      </c>
      <c r="F1831" s="40" t="s">
        <v>781</v>
      </c>
      <c r="G1831" s="40" t="s">
        <v>789</v>
      </c>
      <c r="H1831" s="7" t="s">
        <v>1258</v>
      </c>
      <c r="I1831" s="249">
        <v>113</v>
      </c>
      <c r="J1831" s="249">
        <v>10296.964601769912</v>
      </c>
      <c r="K1831" s="595">
        <f t="shared" si="89"/>
        <v>1163557</v>
      </c>
      <c r="L1831" s="39" t="s">
        <v>170</v>
      </c>
      <c r="M1831" s="39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IF(OR(TH!L1831=TH!$U$7,M1831=TH!$U$7),"x","")</f>
        <v/>
      </c>
      <c r="V1831" s="52" t="str">
        <f>IF(AND(B1831&gt;='IN-NX'!$P$3,B1831&lt;='IN-NX'!$Q$3,'IN-NX'!$D$7=D1831,OR(LEFT(L1831,2)="15",AND(LEFT(M1831,2)&lt;&gt;"15",LEFT(M1831,2)&lt;&gt;"33"))),"x","")</f>
        <v/>
      </c>
      <c r="W1831" s="52" t="str">
        <f>IF(AND(OR(LEFT(TH!L1831,2)="15",LEFT(TH!M1831,2)="15"),'152-CT'!$J$8=TH!F1831),"x","")</f>
        <v/>
      </c>
      <c r="X1831" s="52" t="str">
        <f>IF(AND(OR(LEFT(TH!L1831,2)="15",LEFT(TH!M1831,2)="15"),TK!$E$7=TH!F1831),"x","")</f>
        <v/>
      </c>
      <c r="Y1831" s="52" t="str">
        <f>IF(AND(B1831&lt;=NKC!$N$8,B1831&gt;=NKC!$M$8),"x","")</f>
        <v/>
      </c>
    </row>
    <row r="1832" spans="1:25" s="208" customFormat="1" ht="15.75" customHeight="1">
      <c r="A1832" s="201" t="str">
        <f>IF(B1832&lt;&gt;"",IF(AND(B1832&gt;=_TM1,B1832&lt;=_TM2,OR(TH!L1832="1111",TH!M1832="1111")),TH!D1832,""),"")</f>
        <v/>
      </c>
      <c r="B1832" s="36">
        <f t="shared" si="88"/>
        <v>5</v>
      </c>
      <c r="C1832" s="188">
        <f t="shared" si="87"/>
        <v>41409</v>
      </c>
      <c r="D1832" s="37" t="s">
        <v>457</v>
      </c>
      <c r="E1832" s="37">
        <v>41409</v>
      </c>
      <c r="F1832" s="40" t="s">
        <v>1097</v>
      </c>
      <c r="G1832" s="40" t="s">
        <v>789</v>
      </c>
      <c r="H1832" s="7" t="s">
        <v>1258</v>
      </c>
      <c r="I1832" s="249">
        <v>198</v>
      </c>
      <c r="J1832" s="249">
        <v>6385.6919191919196</v>
      </c>
      <c r="K1832" s="595">
        <f t="shared" si="89"/>
        <v>1264367</v>
      </c>
      <c r="L1832" s="39" t="s">
        <v>170</v>
      </c>
      <c r="M1832" s="39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IF(OR(TH!L1832=TH!$U$7,M1832=TH!$U$7),"x","")</f>
        <v/>
      </c>
      <c r="V1832" s="52" t="str">
        <f>IF(AND(B1832&gt;='IN-NX'!$P$3,B1832&lt;='IN-NX'!$Q$3,'IN-NX'!$D$7=D1832,OR(LEFT(L1832,2)="15",AND(LEFT(M1832,2)&lt;&gt;"15",LEFT(M1832,2)&lt;&gt;"33"))),"x","")</f>
        <v/>
      </c>
      <c r="W1832" s="52" t="str">
        <f>IF(AND(OR(LEFT(TH!L1832,2)="15",LEFT(TH!M1832,2)="15"),'152-CT'!$J$8=TH!F1832),"x","")</f>
        <v/>
      </c>
      <c r="X1832" s="52" t="str">
        <f>IF(AND(OR(LEFT(TH!L1832,2)="15",LEFT(TH!M1832,2)="15"),TK!$E$7=TH!F1832),"x","")</f>
        <v/>
      </c>
      <c r="Y1832" s="52" t="str">
        <f>IF(AND(B1832&lt;=NKC!$N$8,B1832&gt;=NKC!$M$8),"x","")</f>
        <v/>
      </c>
    </row>
    <row r="1833" spans="1:25" s="208" customFormat="1" ht="15.75" customHeight="1">
      <c r="A1833" s="201" t="str">
        <f>IF(B1833&lt;&gt;"",IF(AND(B1833&gt;=_TM1,B1833&lt;=_TM2,OR(TH!L1833="1111",TH!M1833="1111")),TH!D1833,""),"")</f>
        <v/>
      </c>
      <c r="B1833" s="36">
        <f t="shared" si="88"/>
        <v>5</v>
      </c>
      <c r="C1833" s="188">
        <f t="shared" si="87"/>
        <v>41409</v>
      </c>
      <c r="D1833" s="37" t="s">
        <v>457</v>
      </c>
      <c r="E1833" s="37">
        <v>41409</v>
      </c>
      <c r="F1833" s="40" t="s">
        <v>1096</v>
      </c>
      <c r="G1833" s="40" t="s">
        <v>789</v>
      </c>
      <c r="H1833" s="7" t="s">
        <v>1258</v>
      </c>
      <c r="I1833" s="249">
        <v>104</v>
      </c>
      <c r="J1833" s="249">
        <v>13660.567307692309</v>
      </c>
      <c r="K1833" s="595">
        <f t="shared" si="89"/>
        <v>1420699</v>
      </c>
      <c r="L1833" s="39" t="s">
        <v>170</v>
      </c>
      <c r="M1833" s="39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IF(OR(TH!L1833=TH!$U$7,M1833=TH!$U$7),"x","")</f>
        <v/>
      </c>
      <c r="V1833" s="52" t="str">
        <f>IF(AND(B1833&gt;='IN-NX'!$P$3,B1833&lt;='IN-NX'!$Q$3,'IN-NX'!$D$7=D1833,OR(LEFT(L1833,2)="15",AND(LEFT(M1833,2)&lt;&gt;"15",LEFT(M1833,2)&lt;&gt;"33"))),"x","")</f>
        <v/>
      </c>
      <c r="W1833" s="52" t="str">
        <f>IF(AND(OR(LEFT(TH!L1833,2)="15",LEFT(TH!M1833,2)="15"),'152-CT'!$J$8=TH!F1833),"x","")</f>
        <v/>
      </c>
      <c r="X1833" s="52" t="str">
        <f>IF(AND(OR(LEFT(TH!L1833,2)="15",LEFT(TH!M1833,2)="15"),TK!$E$7=TH!F1833),"x","")</f>
        <v/>
      </c>
      <c r="Y1833" s="52" t="str">
        <f>IF(AND(B1833&lt;=NKC!$N$8,B1833&gt;=NKC!$M$8),"x","")</f>
        <v/>
      </c>
    </row>
    <row r="1834" spans="1:25" s="208" customFormat="1" ht="15.75" customHeight="1">
      <c r="A1834" s="201" t="str">
        <f>IF(B1834&lt;&gt;"",IF(AND(B1834&gt;=_TM1,B1834&lt;=_TM2,OR(TH!L1834="1111",TH!M1834="1111")),TH!D1834,""),"")</f>
        <v/>
      </c>
      <c r="B1834" s="36">
        <f t="shared" si="88"/>
        <v>5</v>
      </c>
      <c r="C1834" s="188">
        <f t="shared" si="87"/>
        <v>41409</v>
      </c>
      <c r="D1834" s="37" t="s">
        <v>457</v>
      </c>
      <c r="E1834" s="37">
        <v>41409</v>
      </c>
      <c r="F1834" s="40" t="s">
        <v>783</v>
      </c>
      <c r="G1834" s="40" t="s">
        <v>789</v>
      </c>
      <c r="H1834" s="7" t="s">
        <v>1258</v>
      </c>
      <c r="I1834" s="249">
        <v>211</v>
      </c>
      <c r="J1834" s="249">
        <v>7922.9099526066348</v>
      </c>
      <c r="K1834" s="595">
        <f t="shared" si="89"/>
        <v>1671734</v>
      </c>
      <c r="L1834" s="39" t="s">
        <v>170</v>
      </c>
      <c r="M1834" s="39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IF(OR(TH!L1834=TH!$U$7,M1834=TH!$U$7),"x","")</f>
        <v/>
      </c>
      <c r="V1834" s="52" t="str">
        <f>IF(AND(B1834&gt;='IN-NX'!$P$3,B1834&lt;='IN-NX'!$Q$3,'IN-NX'!$D$7=D1834,OR(LEFT(L1834,2)="15",AND(LEFT(M1834,2)&lt;&gt;"15",LEFT(M1834,2)&lt;&gt;"33"))),"x","")</f>
        <v/>
      </c>
      <c r="W1834" s="52" t="str">
        <f>IF(AND(OR(LEFT(TH!L1834,2)="15",LEFT(TH!M1834,2)="15"),'152-CT'!$J$8=TH!F1834),"x","")</f>
        <v/>
      </c>
      <c r="X1834" s="52" t="str">
        <f>IF(AND(OR(LEFT(TH!L1834,2)="15",LEFT(TH!M1834,2)="15"),TK!$E$7=TH!F1834),"x","")</f>
        <v/>
      </c>
      <c r="Y1834" s="52" t="str">
        <f>IF(AND(B1834&lt;=NKC!$N$8,B1834&gt;=NKC!$M$8),"x","")</f>
        <v/>
      </c>
    </row>
    <row r="1835" spans="1:25" s="208" customFormat="1" ht="15.75" customHeight="1">
      <c r="A1835" s="201" t="str">
        <f>IF(B1835&lt;&gt;"",IF(AND(B1835&gt;=_TM1,B1835&lt;=_TM2,OR(TH!L1835="1111",TH!M1835="1111")),TH!D1835,""),"")</f>
        <v/>
      </c>
      <c r="B1835" s="36">
        <f t="shared" si="88"/>
        <v>5</v>
      </c>
      <c r="C1835" s="188">
        <f t="shared" si="87"/>
        <v>41409</v>
      </c>
      <c r="D1835" s="37" t="s">
        <v>457</v>
      </c>
      <c r="E1835" s="37">
        <v>41409</v>
      </c>
      <c r="F1835" s="40" t="s">
        <v>451</v>
      </c>
      <c r="G1835" s="40" t="s">
        <v>790</v>
      </c>
      <c r="H1835" s="7" t="s">
        <v>1258</v>
      </c>
      <c r="I1835" s="249">
        <v>2000</v>
      </c>
      <c r="J1835" s="249">
        <v>8799.9359999999997</v>
      </c>
      <c r="K1835" s="595">
        <f t="shared" si="89"/>
        <v>17599872</v>
      </c>
      <c r="L1835" s="39" t="s">
        <v>170</v>
      </c>
      <c r="M1835" s="39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IF(OR(TH!L1835=TH!$U$7,M1835=TH!$U$7),"x","")</f>
        <v/>
      </c>
      <c r="V1835" s="52" t="str">
        <f>IF(AND(B1835&gt;='IN-NX'!$P$3,B1835&lt;='IN-NX'!$Q$3,'IN-NX'!$D$7=D1835,OR(LEFT(L1835,2)="15",AND(LEFT(M1835,2)&lt;&gt;"15",LEFT(M1835,2)&lt;&gt;"33"))),"x","")</f>
        <v/>
      </c>
      <c r="W1835" s="52" t="str">
        <f>IF(AND(OR(LEFT(TH!L1835,2)="15",LEFT(TH!M1835,2)="15"),'152-CT'!$J$8=TH!F1835),"x","")</f>
        <v/>
      </c>
      <c r="X1835" s="52" t="str">
        <f>IF(AND(OR(LEFT(TH!L1835,2)="15",LEFT(TH!M1835,2)="15"),TK!$E$7=TH!F1835),"x","")</f>
        <v/>
      </c>
      <c r="Y1835" s="52" t="str">
        <f>IF(AND(B1835&lt;=NKC!$N$8,B1835&gt;=NKC!$M$8),"x","")</f>
        <v/>
      </c>
    </row>
    <row r="1836" spans="1:25" s="208" customFormat="1" ht="15.75" customHeight="1">
      <c r="A1836" s="201" t="str">
        <f>IF(B1836&lt;&gt;"",IF(AND(B1836&gt;=_TM1,B1836&lt;=_TM2,OR(TH!L1836="1111",TH!M1836="1111")),TH!D1836,""),"")</f>
        <v/>
      </c>
      <c r="B1836" s="36">
        <f t="shared" si="88"/>
        <v>5</v>
      </c>
      <c r="C1836" s="188">
        <f t="shared" si="87"/>
        <v>41410</v>
      </c>
      <c r="D1836" s="37" t="s">
        <v>457</v>
      </c>
      <c r="E1836" s="37">
        <v>41410</v>
      </c>
      <c r="F1836" s="40" t="s">
        <v>451</v>
      </c>
      <c r="G1836" s="40" t="s">
        <v>792</v>
      </c>
      <c r="H1836" s="7" t="s">
        <v>1258</v>
      </c>
      <c r="I1836" s="249">
        <v>2500</v>
      </c>
      <c r="J1836" s="249">
        <v>6677.4856</v>
      </c>
      <c r="K1836" s="595">
        <f t="shared" si="89"/>
        <v>16693714</v>
      </c>
      <c r="L1836" s="39" t="s">
        <v>170</v>
      </c>
      <c r="M1836" s="39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IF(OR(TH!L1836=TH!$U$7,M1836=TH!$U$7),"x","")</f>
        <v/>
      </c>
      <c r="V1836" s="52" t="str">
        <f>IF(AND(B1836&gt;='IN-NX'!$P$3,B1836&lt;='IN-NX'!$Q$3,'IN-NX'!$D$7=D1836,OR(LEFT(L1836,2)="15",AND(LEFT(M1836,2)&lt;&gt;"15",LEFT(M1836,2)&lt;&gt;"33"))),"x","")</f>
        <v/>
      </c>
      <c r="W1836" s="52" t="str">
        <f>IF(AND(OR(LEFT(TH!L1836,2)="15",LEFT(TH!M1836,2)="15"),'152-CT'!$J$8=TH!F1836),"x","")</f>
        <v/>
      </c>
      <c r="X1836" s="52" t="str">
        <f>IF(AND(OR(LEFT(TH!L1836,2)="15",LEFT(TH!M1836,2)="15"),TK!$E$7=TH!F1836),"x","")</f>
        <v/>
      </c>
      <c r="Y1836" s="52" t="str">
        <f>IF(AND(B1836&lt;=NKC!$N$8,B1836&gt;=NKC!$M$8),"x","")</f>
        <v/>
      </c>
    </row>
    <row r="1837" spans="1:25" s="208" customFormat="1" ht="15.75" customHeight="1">
      <c r="A1837" s="201" t="str">
        <f>IF(B1837&lt;&gt;"",IF(AND(B1837&gt;=_TM1,B1837&lt;=_TM2,OR(TH!L1837="1111",TH!M1837="1111")),TH!D1837,""),"")</f>
        <v/>
      </c>
      <c r="B1837" s="36">
        <f t="shared" si="88"/>
        <v>5</v>
      </c>
      <c r="C1837" s="188">
        <f t="shared" si="87"/>
        <v>41410</v>
      </c>
      <c r="D1837" s="37" t="s">
        <v>457</v>
      </c>
      <c r="E1837" s="37">
        <v>41410</v>
      </c>
      <c r="F1837" s="40" t="s">
        <v>698</v>
      </c>
      <c r="G1837" s="40" t="s">
        <v>793</v>
      </c>
      <c r="H1837" s="7" t="s">
        <v>1258</v>
      </c>
      <c r="I1837" s="249">
        <v>1035</v>
      </c>
      <c r="J1837" s="249">
        <v>7923.5497584541063</v>
      </c>
      <c r="K1837" s="595">
        <f t="shared" si="89"/>
        <v>8200874</v>
      </c>
      <c r="L1837" s="39" t="s">
        <v>170</v>
      </c>
      <c r="M1837" s="39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IF(OR(TH!L1837=TH!$U$7,M1837=TH!$U$7),"x","")</f>
        <v/>
      </c>
      <c r="V1837" s="52" t="str">
        <f>IF(AND(B1837&gt;='IN-NX'!$P$3,B1837&lt;='IN-NX'!$Q$3,'IN-NX'!$D$7=D1837,OR(LEFT(L1837,2)="15",AND(LEFT(M1837,2)&lt;&gt;"15",LEFT(M1837,2)&lt;&gt;"33"))),"x","")</f>
        <v/>
      </c>
      <c r="W1837" s="52" t="str">
        <f>IF(AND(OR(LEFT(TH!L1837,2)="15",LEFT(TH!M1837,2)="15"),'152-CT'!$J$8=TH!F1837),"x","")</f>
        <v/>
      </c>
      <c r="X1837" s="52" t="str">
        <f>IF(AND(OR(LEFT(TH!L1837,2)="15",LEFT(TH!M1837,2)="15"),TK!$E$7=TH!F1837),"x","")</f>
        <v/>
      </c>
      <c r="Y1837" s="52" t="str">
        <f>IF(AND(B1837&lt;=NKC!$N$8,B1837&gt;=NKC!$M$8),"x","")</f>
        <v/>
      </c>
    </row>
    <row r="1838" spans="1:25" s="208" customFormat="1" ht="15.75" customHeight="1">
      <c r="A1838" s="201" t="str">
        <f>IF(B1838&lt;&gt;"",IF(AND(B1838&gt;=_TM1,B1838&lt;=_TM2,OR(TH!L1838="1111",TH!M1838="1111")),TH!D1838,""),"")</f>
        <v/>
      </c>
      <c r="B1838" s="36">
        <f t="shared" si="88"/>
        <v>5</v>
      </c>
      <c r="C1838" s="188">
        <f t="shared" si="87"/>
        <v>41410</v>
      </c>
      <c r="D1838" s="37" t="s">
        <v>457</v>
      </c>
      <c r="E1838" s="37">
        <v>41410</v>
      </c>
      <c r="F1838" s="40" t="s">
        <v>794</v>
      </c>
      <c r="G1838" s="40" t="s">
        <v>795</v>
      </c>
      <c r="H1838" s="7" t="s">
        <v>1258</v>
      </c>
      <c r="I1838" s="249">
        <v>553</v>
      </c>
      <c r="J1838" s="249">
        <v>8817.0433996383363</v>
      </c>
      <c r="K1838" s="595">
        <f t="shared" si="89"/>
        <v>4875825</v>
      </c>
      <c r="L1838" s="39" t="s">
        <v>170</v>
      </c>
      <c r="M1838" s="39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IF(OR(TH!L1838=TH!$U$7,M1838=TH!$U$7),"x","")</f>
        <v/>
      </c>
      <c r="V1838" s="52" t="str">
        <f>IF(AND(B1838&gt;='IN-NX'!$P$3,B1838&lt;='IN-NX'!$Q$3,'IN-NX'!$D$7=D1838,OR(LEFT(L1838,2)="15",AND(LEFT(M1838,2)&lt;&gt;"15",LEFT(M1838,2)&lt;&gt;"33"))),"x","")</f>
        <v/>
      </c>
      <c r="W1838" s="52" t="str">
        <f>IF(AND(OR(LEFT(TH!L1838,2)="15",LEFT(TH!M1838,2)="15"),'152-CT'!$J$8=TH!F1838),"x","")</f>
        <v/>
      </c>
      <c r="X1838" s="52" t="str">
        <f>IF(AND(OR(LEFT(TH!L1838,2)="15",LEFT(TH!M1838,2)="15"),TK!$E$7=TH!F1838),"x","")</f>
        <v/>
      </c>
      <c r="Y1838" s="52" t="str">
        <f>IF(AND(B1838&lt;=NKC!$N$8,B1838&gt;=NKC!$M$8),"x","")</f>
        <v/>
      </c>
    </row>
    <row r="1839" spans="1:25" s="208" customFormat="1" ht="15.75" customHeight="1">
      <c r="A1839" s="201" t="str">
        <f>IF(B1839&lt;&gt;"",IF(AND(B1839&gt;=_TM1,B1839&lt;=_TM2,OR(TH!L1839="1111",TH!M1839="1111")),TH!D1839,""),"")</f>
        <v/>
      </c>
      <c r="B1839" s="36">
        <f t="shared" si="88"/>
        <v>5</v>
      </c>
      <c r="C1839" s="188">
        <f t="shared" si="87"/>
        <v>41411</v>
      </c>
      <c r="D1839" s="37" t="s">
        <v>457</v>
      </c>
      <c r="E1839" s="37">
        <v>41411</v>
      </c>
      <c r="F1839" s="40" t="s">
        <v>781</v>
      </c>
      <c r="G1839" s="40" t="s">
        <v>797</v>
      </c>
      <c r="H1839" s="7" t="s">
        <v>1258</v>
      </c>
      <c r="I1839" s="249">
        <v>297</v>
      </c>
      <c r="J1839" s="249">
        <v>8829.3771043771048</v>
      </c>
      <c r="K1839" s="595">
        <f t="shared" si="89"/>
        <v>2622325</v>
      </c>
      <c r="L1839" s="39" t="s">
        <v>170</v>
      </c>
      <c r="M1839" s="39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IF(OR(TH!L1839=TH!$U$7,M1839=TH!$U$7),"x","")</f>
        <v/>
      </c>
      <c r="V1839" s="52" t="str">
        <f>IF(AND(B1839&gt;='IN-NX'!$P$3,B1839&lt;='IN-NX'!$Q$3,'IN-NX'!$D$7=D1839,OR(LEFT(L1839,2)="15",AND(LEFT(M1839,2)&lt;&gt;"15",LEFT(M1839,2)&lt;&gt;"33"))),"x","")</f>
        <v/>
      </c>
      <c r="W1839" s="52" t="str">
        <f>IF(AND(OR(LEFT(TH!L1839,2)="15",LEFT(TH!M1839,2)="15"),'152-CT'!$J$8=TH!F1839),"x","")</f>
        <v/>
      </c>
      <c r="X1839" s="52" t="str">
        <f>IF(AND(OR(LEFT(TH!L1839,2)="15",LEFT(TH!M1839,2)="15"),TK!$E$7=TH!F1839),"x","")</f>
        <v/>
      </c>
      <c r="Y1839" s="52" t="str">
        <f>IF(AND(B1839&lt;=NKC!$N$8,B1839&gt;=NKC!$M$8),"x","")</f>
        <v/>
      </c>
    </row>
    <row r="1840" spans="1:25" s="208" customFormat="1" ht="15.75" customHeight="1">
      <c r="A1840" s="201" t="str">
        <f>IF(B1840&lt;&gt;"",IF(AND(B1840&gt;=_TM1,B1840&lt;=_TM2,OR(TH!L1840="1111",TH!M1840="1111")),TH!D1840,""),"")</f>
        <v/>
      </c>
      <c r="B1840" s="36">
        <f t="shared" si="88"/>
        <v>5</v>
      </c>
      <c r="C1840" s="188">
        <f t="shared" si="87"/>
        <v>41415</v>
      </c>
      <c r="D1840" s="37" t="s">
        <v>457</v>
      </c>
      <c r="E1840" s="37">
        <v>41415</v>
      </c>
      <c r="F1840" s="40" t="s">
        <v>798</v>
      </c>
      <c r="G1840" s="40" t="s">
        <v>799</v>
      </c>
      <c r="H1840" s="7" t="s">
        <v>1258</v>
      </c>
      <c r="I1840" s="249">
        <v>303</v>
      </c>
      <c r="J1840" s="249">
        <v>4812.2013201320133</v>
      </c>
      <c r="K1840" s="595">
        <f t="shared" si="89"/>
        <v>1458097</v>
      </c>
      <c r="L1840" s="39" t="s">
        <v>170</v>
      </c>
      <c r="M1840" s="39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IF(OR(TH!L1840=TH!$U$7,M1840=TH!$U$7),"x","")</f>
        <v/>
      </c>
      <c r="V1840" s="52" t="str">
        <f>IF(AND(B1840&gt;='IN-NX'!$P$3,B1840&lt;='IN-NX'!$Q$3,'IN-NX'!$D$7=D1840,OR(LEFT(L1840,2)="15",AND(LEFT(M1840,2)&lt;&gt;"15",LEFT(M1840,2)&lt;&gt;"33"))),"x","")</f>
        <v/>
      </c>
      <c r="W1840" s="52" t="str">
        <f>IF(AND(OR(LEFT(TH!L1840,2)="15",LEFT(TH!M1840,2)="15"),'152-CT'!$J$8=TH!F1840),"x","")</f>
        <v/>
      </c>
      <c r="X1840" s="52" t="str">
        <f>IF(AND(OR(LEFT(TH!L1840,2)="15",LEFT(TH!M1840,2)="15"),TK!$E$7=TH!F1840),"x","")</f>
        <v/>
      </c>
      <c r="Y1840" s="52" t="str">
        <f>IF(AND(B1840&lt;=NKC!$N$8,B1840&gt;=NKC!$M$8),"x","")</f>
        <v/>
      </c>
    </row>
    <row r="1841" spans="1:25" s="208" customFormat="1" ht="15.75" customHeight="1">
      <c r="A1841" s="201" t="str">
        <f>IF(B1841&lt;&gt;"",IF(AND(B1841&gt;=_TM1,B1841&lt;=_TM2,OR(TH!L1841="1111",TH!M1841="1111")),TH!D1841,""),"")</f>
        <v/>
      </c>
      <c r="B1841" s="36">
        <f t="shared" si="88"/>
        <v>5</v>
      </c>
      <c r="C1841" s="188">
        <f t="shared" si="87"/>
        <v>41415</v>
      </c>
      <c r="D1841" s="37" t="s">
        <v>457</v>
      </c>
      <c r="E1841" s="37">
        <v>41415</v>
      </c>
      <c r="F1841" s="40" t="s">
        <v>800</v>
      </c>
      <c r="G1841" s="40" t="s">
        <v>799</v>
      </c>
      <c r="H1841" s="7" t="s">
        <v>1258</v>
      </c>
      <c r="I1841" s="249">
        <v>209</v>
      </c>
      <c r="J1841" s="249">
        <v>1625.5502392344497</v>
      </c>
      <c r="K1841" s="595">
        <f t="shared" si="89"/>
        <v>339740</v>
      </c>
      <c r="L1841" s="39" t="s">
        <v>170</v>
      </c>
      <c r="M1841" s="39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IF(OR(TH!L1841=TH!$U$7,M1841=TH!$U$7),"x","")</f>
        <v/>
      </c>
      <c r="V1841" s="52" t="str">
        <f>IF(AND(B1841&gt;='IN-NX'!$P$3,B1841&lt;='IN-NX'!$Q$3,'IN-NX'!$D$7=D1841,OR(LEFT(L1841,2)="15",AND(LEFT(M1841,2)&lt;&gt;"15",LEFT(M1841,2)&lt;&gt;"33"))),"x","")</f>
        <v/>
      </c>
      <c r="W1841" s="52" t="str">
        <f>IF(AND(OR(LEFT(TH!L1841,2)="15",LEFT(TH!M1841,2)="15"),'152-CT'!$J$8=TH!F1841),"x","")</f>
        <v/>
      </c>
      <c r="X1841" s="52" t="str">
        <f>IF(AND(OR(LEFT(TH!L1841,2)="15",LEFT(TH!M1841,2)="15"),TK!$E$7=TH!F1841),"x","")</f>
        <v/>
      </c>
      <c r="Y1841" s="52" t="str">
        <f>IF(AND(B1841&lt;=NKC!$N$8,B1841&gt;=NKC!$M$8),"x","")</f>
        <v/>
      </c>
    </row>
    <row r="1842" spans="1:25" s="208" customFormat="1" ht="15.75" customHeight="1">
      <c r="A1842" s="201" t="str">
        <f>IF(B1842&lt;&gt;"",IF(AND(B1842&gt;=_TM1,B1842&lt;=_TM2,OR(TH!L1842="1111",TH!M1842="1111")),TH!D1842,""),"")</f>
        <v/>
      </c>
      <c r="B1842" s="36">
        <f t="shared" si="88"/>
        <v>5</v>
      </c>
      <c r="C1842" s="188">
        <f t="shared" si="87"/>
        <v>41415</v>
      </c>
      <c r="D1842" s="37" t="s">
        <v>457</v>
      </c>
      <c r="E1842" s="37">
        <v>41415</v>
      </c>
      <c r="F1842" s="40" t="s">
        <v>801</v>
      </c>
      <c r="G1842" s="40" t="s">
        <v>799</v>
      </c>
      <c r="H1842" s="7" t="s">
        <v>1258</v>
      </c>
      <c r="I1842" s="249">
        <v>305</v>
      </c>
      <c r="J1842" s="249">
        <v>2140.5049180327869</v>
      </c>
      <c r="K1842" s="595">
        <f t="shared" si="89"/>
        <v>652854</v>
      </c>
      <c r="L1842" s="39" t="s">
        <v>170</v>
      </c>
      <c r="M1842" s="39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IF(OR(TH!L1842=TH!$U$7,M1842=TH!$U$7),"x","")</f>
        <v/>
      </c>
      <c r="V1842" s="52" t="str">
        <f>IF(AND(B1842&gt;='IN-NX'!$P$3,B1842&lt;='IN-NX'!$Q$3,'IN-NX'!$D$7=D1842,OR(LEFT(L1842,2)="15",AND(LEFT(M1842,2)&lt;&gt;"15",LEFT(M1842,2)&lt;&gt;"33"))),"x","")</f>
        <v/>
      </c>
      <c r="W1842" s="52" t="str">
        <f>IF(AND(OR(LEFT(TH!L1842,2)="15",LEFT(TH!M1842,2)="15"),'152-CT'!$J$8=TH!F1842),"x","")</f>
        <v/>
      </c>
      <c r="X1842" s="52" t="str">
        <f>IF(AND(OR(LEFT(TH!L1842,2)="15",LEFT(TH!M1842,2)="15"),TK!$E$7=TH!F1842),"x","")</f>
        <v/>
      </c>
      <c r="Y1842" s="52" t="str">
        <f>IF(AND(B1842&lt;=NKC!$N$8,B1842&gt;=NKC!$M$8),"x","")</f>
        <v/>
      </c>
    </row>
    <row r="1843" spans="1:25" s="208" customFormat="1" ht="15.75" customHeight="1">
      <c r="A1843" s="201" t="str">
        <f>IF(B1843&lt;&gt;"",IF(AND(B1843&gt;=_TM1,B1843&lt;=_TM2,OR(TH!L1843="1111",TH!M1843="1111")),TH!D1843,""),"")</f>
        <v/>
      </c>
      <c r="B1843" s="36">
        <f t="shared" si="88"/>
        <v>5</v>
      </c>
      <c r="C1843" s="188">
        <f t="shared" si="87"/>
        <v>41415</v>
      </c>
      <c r="D1843" s="37" t="s">
        <v>457</v>
      </c>
      <c r="E1843" s="37">
        <v>41415</v>
      </c>
      <c r="F1843" s="40" t="s">
        <v>802</v>
      </c>
      <c r="G1843" s="40" t="s">
        <v>799</v>
      </c>
      <c r="H1843" s="7" t="s">
        <v>1258</v>
      </c>
      <c r="I1843" s="249">
        <v>303</v>
      </c>
      <c r="J1843" s="249">
        <v>4202.1155115511547</v>
      </c>
      <c r="K1843" s="595">
        <f t="shared" si="89"/>
        <v>1273241</v>
      </c>
      <c r="L1843" s="39" t="s">
        <v>170</v>
      </c>
      <c r="M1843" s="39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IF(OR(TH!L1843=TH!$U$7,M1843=TH!$U$7),"x","")</f>
        <v/>
      </c>
      <c r="V1843" s="52" t="str">
        <f>IF(AND(B1843&gt;='IN-NX'!$P$3,B1843&lt;='IN-NX'!$Q$3,'IN-NX'!$D$7=D1843,OR(LEFT(L1843,2)="15",AND(LEFT(M1843,2)&lt;&gt;"15",LEFT(M1843,2)&lt;&gt;"33"))),"x","")</f>
        <v/>
      </c>
      <c r="W1843" s="52" t="str">
        <f>IF(AND(OR(LEFT(TH!L1843,2)="15",LEFT(TH!M1843,2)="15"),'152-CT'!$J$8=TH!F1843),"x","")</f>
        <v/>
      </c>
      <c r="X1843" s="52" t="str">
        <f>IF(AND(OR(LEFT(TH!L1843,2)="15",LEFT(TH!M1843,2)="15"),TK!$E$7=TH!F1843),"x","")</f>
        <v/>
      </c>
      <c r="Y1843" s="52" t="str">
        <f>IF(AND(B1843&lt;=NKC!$N$8,B1843&gt;=NKC!$M$8),"x","")</f>
        <v/>
      </c>
    </row>
    <row r="1844" spans="1:25" s="208" customFormat="1" ht="15.75" customHeight="1">
      <c r="A1844" s="201" t="str">
        <f>IF(B1844&lt;&gt;"",IF(AND(B1844&gt;=_TM1,B1844&lt;=_TM2,OR(TH!L1844="1111",TH!M1844="1111")),TH!D1844,""),"")</f>
        <v/>
      </c>
      <c r="B1844" s="36">
        <f t="shared" si="88"/>
        <v>5</v>
      </c>
      <c r="C1844" s="188">
        <f t="shared" si="87"/>
        <v>41415</v>
      </c>
      <c r="D1844" s="37" t="s">
        <v>457</v>
      </c>
      <c r="E1844" s="37">
        <v>41415</v>
      </c>
      <c r="F1844" s="40" t="s">
        <v>1123</v>
      </c>
      <c r="G1844" s="40" t="s">
        <v>799</v>
      </c>
      <c r="H1844" s="7" t="s">
        <v>1258</v>
      </c>
      <c r="I1844" s="249">
        <v>270</v>
      </c>
      <c r="J1844" s="249">
        <v>6807.2740740740737</v>
      </c>
      <c r="K1844" s="595">
        <f t="shared" si="89"/>
        <v>1837964</v>
      </c>
      <c r="L1844" s="39" t="s">
        <v>170</v>
      </c>
      <c r="M1844" s="39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IF(OR(TH!L1844=TH!$U$7,M1844=TH!$U$7),"x","")</f>
        <v/>
      </c>
      <c r="V1844" s="52" t="str">
        <f>IF(AND(B1844&gt;='IN-NX'!$P$3,B1844&lt;='IN-NX'!$Q$3,'IN-NX'!$D$7=D1844,OR(LEFT(L1844,2)="15",AND(LEFT(M1844,2)&lt;&gt;"15",LEFT(M1844,2)&lt;&gt;"33"))),"x","")</f>
        <v/>
      </c>
      <c r="W1844" s="52" t="str">
        <f>IF(AND(OR(LEFT(TH!L1844,2)="15",LEFT(TH!M1844,2)="15"),'152-CT'!$J$8=TH!F1844),"x","")</f>
        <v/>
      </c>
      <c r="X1844" s="52" t="str">
        <f>IF(AND(OR(LEFT(TH!L1844,2)="15",LEFT(TH!M1844,2)="15"),TK!$E$7=TH!F1844),"x","")</f>
        <v/>
      </c>
      <c r="Y1844" s="52" t="str">
        <f>IF(AND(B1844&lt;=NKC!$N$8,B1844&gt;=NKC!$M$8),"x","")</f>
        <v/>
      </c>
    </row>
    <row r="1845" spans="1:25" s="208" customFormat="1" ht="15.75" customHeight="1">
      <c r="A1845" s="201" t="str">
        <f>IF(B1845&lt;&gt;"",IF(AND(B1845&gt;=_TM1,B1845&lt;=_TM2,OR(TH!L1845="1111",TH!M1845="1111")),TH!D1845,""),"")</f>
        <v/>
      </c>
      <c r="B1845" s="36">
        <f t="shared" si="88"/>
        <v>5</v>
      </c>
      <c r="C1845" s="188">
        <f t="shared" si="87"/>
        <v>41418</v>
      </c>
      <c r="D1845" s="37" t="s">
        <v>457</v>
      </c>
      <c r="E1845" s="37">
        <v>41418</v>
      </c>
      <c r="F1845" s="40" t="s">
        <v>1109</v>
      </c>
      <c r="G1845" s="40" t="s">
        <v>803</v>
      </c>
      <c r="H1845" s="7" t="s">
        <v>1258</v>
      </c>
      <c r="I1845" s="249">
        <v>1034</v>
      </c>
      <c r="J1845" s="249">
        <v>5941.5996131528045</v>
      </c>
      <c r="K1845" s="595">
        <f t="shared" si="89"/>
        <v>6143614</v>
      </c>
      <c r="L1845" s="39" t="s">
        <v>170</v>
      </c>
      <c r="M1845" s="39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IF(OR(TH!L1845=TH!$U$7,M1845=TH!$U$7),"x","")</f>
        <v/>
      </c>
      <c r="V1845" s="52" t="str">
        <f>IF(AND(B1845&gt;='IN-NX'!$P$3,B1845&lt;='IN-NX'!$Q$3,'IN-NX'!$D$7=D1845,OR(LEFT(L1845,2)="15",AND(LEFT(M1845,2)&lt;&gt;"15",LEFT(M1845,2)&lt;&gt;"33"))),"x","")</f>
        <v/>
      </c>
      <c r="W1845" s="52" t="str">
        <f>IF(AND(OR(LEFT(TH!L1845,2)="15",LEFT(TH!M1845,2)="15"),'152-CT'!$J$8=TH!F1845),"x","")</f>
        <v/>
      </c>
      <c r="X1845" s="52" t="str">
        <f>IF(AND(OR(LEFT(TH!L1845,2)="15",LEFT(TH!M1845,2)="15"),TK!$E$7=TH!F1845),"x","")</f>
        <v/>
      </c>
      <c r="Y1845" s="52" t="str">
        <f>IF(AND(B1845&lt;=NKC!$N$8,B1845&gt;=NKC!$M$8),"x","")</f>
        <v/>
      </c>
    </row>
    <row r="1846" spans="1:25" s="208" customFormat="1" ht="15.75" customHeight="1">
      <c r="A1846" s="201" t="str">
        <f>IF(B1846&lt;&gt;"",IF(AND(B1846&gt;=_TM1,B1846&lt;=_TM2,OR(TH!L1846="1111",TH!M1846="1111")),TH!D1846,""),"")</f>
        <v/>
      </c>
      <c r="B1846" s="36">
        <f t="shared" si="88"/>
        <v>6</v>
      </c>
      <c r="C1846" s="188">
        <f t="shared" si="87"/>
        <v>41429</v>
      </c>
      <c r="D1846" s="37" t="s">
        <v>457</v>
      </c>
      <c r="E1846" s="37">
        <v>41429</v>
      </c>
      <c r="F1846" s="40" t="s">
        <v>1107</v>
      </c>
      <c r="G1846" s="40" t="s">
        <v>804</v>
      </c>
      <c r="H1846" s="7" t="s">
        <v>1258</v>
      </c>
      <c r="I1846" s="249">
        <v>296</v>
      </c>
      <c r="J1846" s="249">
        <v>14861.236486486487</v>
      </c>
      <c r="K1846" s="595">
        <f t="shared" si="89"/>
        <v>4398926</v>
      </c>
      <c r="L1846" s="39" t="s">
        <v>170</v>
      </c>
      <c r="M1846" s="39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IF(OR(TH!L1846=TH!$U$7,M1846=TH!$U$7),"x","")</f>
        <v/>
      </c>
      <c r="V1846" s="52" t="str">
        <f>IF(AND(B1846&gt;='IN-NX'!$P$3,B1846&lt;='IN-NX'!$Q$3,'IN-NX'!$D$7=D1846,OR(LEFT(L1846,2)="15",AND(LEFT(M1846,2)&lt;&gt;"15",LEFT(M1846,2)&lt;&gt;"33"))),"x","")</f>
        <v/>
      </c>
      <c r="W1846" s="52" t="str">
        <f>IF(AND(OR(LEFT(TH!L1846,2)="15",LEFT(TH!M1846,2)="15"),'152-CT'!$J$8=TH!F1846),"x","")</f>
        <v/>
      </c>
      <c r="X1846" s="52" t="str">
        <f>IF(AND(OR(LEFT(TH!L1846,2)="15",LEFT(TH!M1846,2)="15"),TK!$E$7=TH!F1846),"x","")</f>
        <v/>
      </c>
      <c r="Y1846" s="52" t="str">
        <f>IF(AND(B1846&lt;=NKC!$N$8,B1846&gt;=NKC!$M$8),"x","")</f>
        <v/>
      </c>
    </row>
    <row r="1847" spans="1:25" s="208" customFormat="1" ht="15.75" customHeight="1">
      <c r="A1847" s="201" t="str">
        <f>IF(B1847&lt;&gt;"",IF(AND(B1847&gt;=_TM1,B1847&lt;=_TM2,OR(TH!L1847="1111",TH!M1847="1111")),TH!D1847,""),"")</f>
        <v/>
      </c>
      <c r="B1847" s="36">
        <f t="shared" si="88"/>
        <v>6</v>
      </c>
      <c r="C1847" s="188">
        <f t="shared" si="87"/>
        <v>41429</v>
      </c>
      <c r="D1847" s="37" t="s">
        <v>457</v>
      </c>
      <c r="E1847" s="188">
        <v>41429</v>
      </c>
      <c r="F1847" s="189" t="s">
        <v>805</v>
      </c>
      <c r="G1847" s="480" t="s">
        <v>806</v>
      </c>
      <c r="H1847" s="7" t="s">
        <v>1258</v>
      </c>
      <c r="I1847" s="249">
        <v>847</v>
      </c>
      <c r="J1847" s="249">
        <v>10880.525383707201</v>
      </c>
      <c r="K1847" s="595">
        <f t="shared" si="89"/>
        <v>9215805</v>
      </c>
      <c r="L1847" s="39" t="s">
        <v>170</v>
      </c>
      <c r="M1847" s="39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IF(OR(TH!L1847=TH!$U$7,M1847=TH!$U$7),"x","")</f>
        <v/>
      </c>
      <c r="V1847" s="52" t="str">
        <f>IF(AND(B1847&gt;='IN-NX'!$P$3,B1847&lt;='IN-NX'!$Q$3,'IN-NX'!$D$7=D1847,OR(LEFT(L1847,2)="15",AND(LEFT(M1847,2)&lt;&gt;"15",LEFT(M1847,2)&lt;&gt;"33"))),"x","")</f>
        <v/>
      </c>
      <c r="W1847" s="52" t="str">
        <f>IF(AND(OR(LEFT(TH!L1847,2)="15",LEFT(TH!M1847,2)="15"),'152-CT'!$J$8=TH!F1847),"x","")</f>
        <v/>
      </c>
      <c r="X1847" s="52" t="str">
        <f>IF(AND(OR(LEFT(TH!L1847,2)="15",LEFT(TH!M1847,2)="15"),TK!$E$7=TH!F1847),"x","")</f>
        <v/>
      </c>
      <c r="Y1847" s="52" t="str">
        <f>IF(AND(B1847&lt;=NKC!$N$8,B1847&gt;=NKC!$M$8),"x","")</f>
        <v/>
      </c>
    </row>
    <row r="1848" spans="1:25" s="208" customFormat="1" ht="15.75" customHeight="1">
      <c r="A1848" s="201" t="str">
        <f>IF(B1848&lt;&gt;"",IF(AND(B1848&gt;=_TM1,B1848&lt;=_TM2,OR(TH!L1848="1111",TH!M1848="1111")),TH!D1848,""),"")</f>
        <v/>
      </c>
      <c r="B1848" s="36">
        <f t="shared" si="88"/>
        <v>6</v>
      </c>
      <c r="C1848" s="188">
        <f t="shared" si="87"/>
        <v>41430</v>
      </c>
      <c r="D1848" s="37" t="s">
        <v>457</v>
      </c>
      <c r="E1848" s="188">
        <v>41430</v>
      </c>
      <c r="F1848" s="189" t="s">
        <v>807</v>
      </c>
      <c r="G1848" s="480" t="s">
        <v>808</v>
      </c>
      <c r="H1848" s="7" t="s">
        <v>1258</v>
      </c>
      <c r="I1848" s="249">
        <v>2399</v>
      </c>
      <c r="J1848" s="249">
        <v>5869.8253438932888</v>
      </c>
      <c r="K1848" s="595">
        <f t="shared" si="89"/>
        <v>14081711</v>
      </c>
      <c r="L1848" s="39" t="s">
        <v>170</v>
      </c>
      <c r="M1848" s="39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IF(OR(TH!L1848=TH!$U$7,M1848=TH!$U$7),"x","")</f>
        <v/>
      </c>
      <c r="V1848" s="52" t="str">
        <f>IF(AND(B1848&gt;='IN-NX'!$P$3,B1848&lt;='IN-NX'!$Q$3,'IN-NX'!$D$7=D1848,OR(LEFT(L1848,2)="15",AND(LEFT(M1848,2)&lt;&gt;"15",LEFT(M1848,2)&lt;&gt;"33"))),"x","")</f>
        <v/>
      </c>
      <c r="W1848" s="52" t="str">
        <f>IF(AND(OR(LEFT(TH!L1848,2)="15",LEFT(TH!M1848,2)="15"),'152-CT'!$J$8=TH!F1848),"x","")</f>
        <v/>
      </c>
      <c r="X1848" s="52" t="str">
        <f>IF(AND(OR(LEFT(TH!L1848,2)="15",LEFT(TH!M1848,2)="15"),TK!$E$7=TH!F1848),"x","")</f>
        <v/>
      </c>
      <c r="Y1848" s="52" t="str">
        <f>IF(AND(B1848&lt;=NKC!$N$8,B1848&gt;=NKC!$M$8),"x","")</f>
        <v/>
      </c>
    </row>
    <row r="1849" spans="1:25" s="208" customFormat="1" ht="15.75" customHeight="1">
      <c r="A1849" s="201" t="str">
        <f>IF(B1849&lt;&gt;"",IF(AND(B1849&gt;=_TM1,B1849&lt;=_TM2,OR(TH!L1849="1111",TH!M1849="1111")),TH!D1849,""),"")</f>
        <v/>
      </c>
      <c r="B1849" s="36">
        <f t="shared" si="88"/>
        <v>6</v>
      </c>
      <c r="C1849" s="188">
        <f t="shared" si="87"/>
        <v>41430</v>
      </c>
      <c r="D1849" s="37" t="s">
        <v>457</v>
      </c>
      <c r="E1849" s="188">
        <v>41430</v>
      </c>
      <c r="F1849" s="189" t="s">
        <v>807</v>
      </c>
      <c r="G1849" s="480" t="s">
        <v>808</v>
      </c>
      <c r="H1849" s="7" t="s">
        <v>1258</v>
      </c>
      <c r="I1849" s="249">
        <v>2542</v>
      </c>
      <c r="J1849" s="249">
        <v>6662.8768686073954</v>
      </c>
      <c r="K1849" s="595">
        <f t="shared" si="89"/>
        <v>16937033</v>
      </c>
      <c r="L1849" s="39" t="s">
        <v>170</v>
      </c>
      <c r="M1849" s="39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IF(OR(TH!L1849=TH!$U$7,M1849=TH!$U$7),"x","")</f>
        <v/>
      </c>
      <c r="V1849" s="52" t="str">
        <f>IF(AND(B1849&gt;='IN-NX'!$P$3,B1849&lt;='IN-NX'!$Q$3,'IN-NX'!$D$7=D1849,OR(LEFT(L1849,2)="15",AND(LEFT(M1849,2)&lt;&gt;"15",LEFT(M1849,2)&lt;&gt;"33"))),"x","")</f>
        <v/>
      </c>
      <c r="W1849" s="52" t="str">
        <f>IF(AND(OR(LEFT(TH!L1849,2)="15",LEFT(TH!M1849,2)="15"),'152-CT'!$J$8=TH!F1849),"x","")</f>
        <v/>
      </c>
      <c r="X1849" s="52" t="str">
        <f>IF(AND(OR(LEFT(TH!L1849,2)="15",LEFT(TH!M1849,2)="15"),TK!$E$7=TH!F1849),"x","")</f>
        <v/>
      </c>
      <c r="Y1849" s="52" t="str">
        <f>IF(AND(B1849&lt;=NKC!$N$8,B1849&gt;=NKC!$M$8),"x","")</f>
        <v/>
      </c>
    </row>
    <row r="1850" spans="1:25" s="208" customFormat="1" ht="15.75" customHeight="1">
      <c r="A1850" s="201" t="str">
        <f>IF(B1850&lt;&gt;"",IF(AND(B1850&gt;=_TM1,B1850&lt;=_TM2,OR(TH!L1850="1111",TH!M1850="1111")),TH!D1850,""),"")</f>
        <v/>
      </c>
      <c r="B1850" s="36">
        <f t="shared" si="88"/>
        <v>6</v>
      </c>
      <c r="C1850" s="188">
        <f t="shared" si="87"/>
        <v>41432</v>
      </c>
      <c r="D1850" s="37" t="s">
        <v>457</v>
      </c>
      <c r="E1850" s="188">
        <v>41432</v>
      </c>
      <c r="F1850" s="189" t="s">
        <v>1096</v>
      </c>
      <c r="G1850" s="480" t="s">
        <v>809</v>
      </c>
      <c r="H1850" s="7" t="s">
        <v>1258</v>
      </c>
      <c r="I1850" s="250">
        <v>106</v>
      </c>
      <c r="J1850" s="250">
        <v>13419.613207547171</v>
      </c>
      <c r="K1850" s="595">
        <f t="shared" si="89"/>
        <v>1422479</v>
      </c>
      <c r="L1850" s="39" t="s">
        <v>170</v>
      </c>
      <c r="M1850" s="39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IF(OR(TH!L1850=TH!$U$7,M1850=TH!$U$7),"x","")</f>
        <v/>
      </c>
      <c r="V1850" s="52" t="str">
        <f>IF(AND(B1850&gt;='IN-NX'!$P$3,B1850&lt;='IN-NX'!$Q$3,'IN-NX'!$D$7=D1850,OR(LEFT(L1850,2)="15",AND(LEFT(M1850,2)&lt;&gt;"15",LEFT(M1850,2)&lt;&gt;"33"))),"x","")</f>
        <v/>
      </c>
      <c r="W1850" s="52" t="str">
        <f>IF(AND(OR(LEFT(TH!L1850,2)="15",LEFT(TH!M1850,2)="15"),'152-CT'!$J$8=TH!F1850),"x","")</f>
        <v/>
      </c>
      <c r="X1850" s="52" t="str">
        <f>IF(AND(OR(LEFT(TH!L1850,2)="15",LEFT(TH!M1850,2)="15"),TK!$E$7=TH!F1850),"x","")</f>
        <v/>
      </c>
      <c r="Y1850" s="52" t="str">
        <f>IF(AND(B1850&lt;=NKC!$N$8,B1850&gt;=NKC!$M$8),"x","")</f>
        <v/>
      </c>
    </row>
    <row r="1851" spans="1:25" s="208" customFormat="1" ht="15.75" customHeight="1">
      <c r="A1851" s="201" t="str">
        <f>IF(B1851&lt;&gt;"",IF(AND(B1851&gt;=_TM1,B1851&lt;=_TM2,OR(TH!L1851="1111",TH!M1851="1111")),TH!D1851,""),"")</f>
        <v/>
      </c>
      <c r="B1851" s="36">
        <f t="shared" si="88"/>
        <v>6</v>
      </c>
      <c r="C1851" s="188">
        <f t="shared" si="87"/>
        <v>41432</v>
      </c>
      <c r="D1851" s="37" t="s">
        <v>457</v>
      </c>
      <c r="E1851" s="188">
        <v>41432</v>
      </c>
      <c r="F1851" s="189" t="s">
        <v>1099</v>
      </c>
      <c r="G1851" s="480" t="s">
        <v>809</v>
      </c>
      <c r="H1851" s="7" t="s">
        <v>1258</v>
      </c>
      <c r="I1851" s="249">
        <v>197</v>
      </c>
      <c r="J1851" s="249">
        <v>9349.6243654822338</v>
      </c>
      <c r="K1851" s="595">
        <f t="shared" si="89"/>
        <v>1841876</v>
      </c>
      <c r="L1851" s="39" t="s">
        <v>170</v>
      </c>
      <c r="M1851" s="39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IF(OR(TH!L1851=TH!$U$7,M1851=TH!$U$7),"x","")</f>
        <v/>
      </c>
      <c r="V1851" s="52" t="str">
        <f>IF(AND(B1851&gt;='IN-NX'!$P$3,B1851&lt;='IN-NX'!$Q$3,'IN-NX'!$D$7=D1851,OR(LEFT(L1851,2)="15",AND(LEFT(M1851,2)&lt;&gt;"15",LEFT(M1851,2)&lt;&gt;"33"))),"x","")</f>
        <v/>
      </c>
      <c r="W1851" s="52" t="str">
        <f>IF(AND(OR(LEFT(TH!L1851,2)="15",LEFT(TH!M1851,2)="15"),'152-CT'!$J$8=TH!F1851),"x","")</f>
        <v/>
      </c>
      <c r="X1851" s="52" t="str">
        <f>IF(AND(OR(LEFT(TH!L1851,2)="15",LEFT(TH!M1851,2)="15"),TK!$E$7=TH!F1851),"x","")</f>
        <v/>
      </c>
      <c r="Y1851" s="52" t="str">
        <f>IF(AND(B1851&lt;=NKC!$N$8,B1851&gt;=NKC!$M$8),"x","")</f>
        <v/>
      </c>
    </row>
    <row r="1852" spans="1:25" s="208" customFormat="1" ht="15.75" customHeight="1">
      <c r="A1852" s="201" t="str">
        <f>IF(B1852&lt;&gt;"",IF(AND(B1852&gt;=_TM1,B1852&lt;=_TM2,OR(TH!L1852="1111",TH!M1852="1111")),TH!D1852,""),"")</f>
        <v/>
      </c>
      <c r="B1852" s="36">
        <f t="shared" si="88"/>
        <v>6</v>
      </c>
      <c r="C1852" s="188">
        <f t="shared" ref="C1852:C1915" si="90">E1852</f>
        <v>41432</v>
      </c>
      <c r="D1852" s="37" t="s">
        <v>457</v>
      </c>
      <c r="E1852" s="188">
        <v>41432</v>
      </c>
      <c r="F1852" s="189" t="s">
        <v>810</v>
      </c>
      <c r="G1852" s="480" t="s">
        <v>809</v>
      </c>
      <c r="H1852" s="7" t="s">
        <v>1258</v>
      </c>
      <c r="I1852" s="249">
        <v>104</v>
      </c>
      <c r="J1852" s="249">
        <v>11401.740384615385</v>
      </c>
      <c r="K1852" s="595">
        <f t="shared" si="89"/>
        <v>1185781</v>
      </c>
      <c r="L1852" s="39" t="s">
        <v>170</v>
      </c>
      <c r="M1852" s="39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IF(OR(TH!L1852=TH!$U$7,M1852=TH!$U$7),"x","")</f>
        <v/>
      </c>
      <c r="V1852" s="52" t="str">
        <f>IF(AND(B1852&gt;='IN-NX'!$P$3,B1852&lt;='IN-NX'!$Q$3,'IN-NX'!$D$7=D1852,OR(LEFT(L1852,2)="15",AND(LEFT(M1852,2)&lt;&gt;"15",LEFT(M1852,2)&lt;&gt;"33"))),"x","")</f>
        <v/>
      </c>
      <c r="W1852" s="52" t="str">
        <f>IF(AND(OR(LEFT(TH!L1852,2)="15",LEFT(TH!M1852,2)="15"),'152-CT'!$J$8=TH!F1852),"x","")</f>
        <v/>
      </c>
      <c r="X1852" s="52" t="str">
        <f>IF(AND(OR(LEFT(TH!L1852,2)="15",LEFT(TH!M1852,2)="15"),TK!$E$7=TH!F1852),"x","")</f>
        <v/>
      </c>
      <c r="Y1852" s="52" t="str">
        <f>IF(AND(B1852&lt;=NKC!$N$8,B1852&gt;=NKC!$M$8),"x","")</f>
        <v/>
      </c>
    </row>
    <row r="1853" spans="1:25" s="208" customFormat="1" ht="15.75" customHeight="1">
      <c r="A1853" s="201" t="str">
        <f>IF(B1853&lt;&gt;"",IF(AND(B1853&gt;=_TM1,B1853&lt;=_TM2,OR(TH!L1853="1111",TH!M1853="1111")),TH!D1853,""),"")</f>
        <v/>
      </c>
      <c r="B1853" s="36">
        <f t="shared" si="88"/>
        <v>6</v>
      </c>
      <c r="C1853" s="188">
        <f t="shared" si="90"/>
        <v>41432</v>
      </c>
      <c r="D1853" s="37" t="s">
        <v>457</v>
      </c>
      <c r="E1853" s="188">
        <v>41432</v>
      </c>
      <c r="F1853" s="189" t="s">
        <v>811</v>
      </c>
      <c r="G1853" s="480" t="s">
        <v>809</v>
      </c>
      <c r="H1853" s="7" t="s">
        <v>1258</v>
      </c>
      <c r="I1853" s="249">
        <v>141</v>
      </c>
      <c r="J1853" s="249">
        <v>10915.86524822695</v>
      </c>
      <c r="K1853" s="595">
        <f t="shared" si="89"/>
        <v>1539137</v>
      </c>
      <c r="L1853" s="39" t="s">
        <v>170</v>
      </c>
      <c r="M1853" s="39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IF(OR(TH!L1853=TH!$U$7,M1853=TH!$U$7),"x","")</f>
        <v/>
      </c>
      <c r="V1853" s="52" t="str">
        <f>IF(AND(B1853&gt;='IN-NX'!$P$3,B1853&lt;='IN-NX'!$Q$3,'IN-NX'!$D$7=D1853,OR(LEFT(L1853,2)="15",AND(LEFT(M1853,2)&lt;&gt;"15",LEFT(M1853,2)&lt;&gt;"33"))),"x","")</f>
        <v/>
      </c>
      <c r="W1853" s="52" t="str">
        <f>IF(AND(OR(LEFT(TH!L1853,2)="15",LEFT(TH!M1853,2)="15"),'152-CT'!$J$8=TH!F1853),"x","")</f>
        <v/>
      </c>
      <c r="X1853" s="52" t="str">
        <f>IF(AND(OR(LEFT(TH!L1853,2)="15",LEFT(TH!M1853,2)="15"),TK!$E$7=TH!F1853),"x","")</f>
        <v/>
      </c>
      <c r="Y1853" s="52" t="str">
        <f>IF(AND(B1853&lt;=NKC!$N$8,B1853&gt;=NKC!$M$8),"x","")</f>
        <v/>
      </c>
    </row>
    <row r="1854" spans="1:25" s="208" customFormat="1" ht="15.75" customHeight="1">
      <c r="A1854" s="201" t="str">
        <f>IF(B1854&lt;&gt;"",IF(AND(B1854&gt;=_TM1,B1854&lt;=_TM2,OR(TH!L1854="1111",TH!M1854="1111")),TH!D1854,""),"")</f>
        <v/>
      </c>
      <c r="B1854" s="36">
        <f t="shared" si="88"/>
        <v>6</v>
      </c>
      <c r="C1854" s="188">
        <f t="shared" si="90"/>
        <v>41432</v>
      </c>
      <c r="D1854" s="37" t="s">
        <v>457</v>
      </c>
      <c r="E1854" s="188">
        <v>41432</v>
      </c>
      <c r="F1854" s="186" t="s">
        <v>1114</v>
      </c>
      <c r="G1854" s="480" t="s">
        <v>812</v>
      </c>
      <c r="H1854" s="7" t="s">
        <v>1258</v>
      </c>
      <c r="I1854" s="249">
        <v>305</v>
      </c>
      <c r="J1854" s="249">
        <v>5072.8590163934423</v>
      </c>
      <c r="K1854" s="595">
        <f t="shared" si="89"/>
        <v>1547222</v>
      </c>
      <c r="L1854" s="39" t="s">
        <v>170</v>
      </c>
      <c r="M1854" s="39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IF(OR(TH!L1854=TH!$U$7,M1854=TH!$U$7),"x","")</f>
        <v/>
      </c>
      <c r="V1854" s="52" t="str">
        <f>IF(AND(B1854&gt;='IN-NX'!$P$3,B1854&lt;='IN-NX'!$Q$3,'IN-NX'!$D$7=D1854,OR(LEFT(L1854,2)="15",AND(LEFT(M1854,2)&lt;&gt;"15",LEFT(M1854,2)&lt;&gt;"33"))),"x","")</f>
        <v/>
      </c>
      <c r="W1854" s="52" t="str">
        <f>IF(AND(OR(LEFT(TH!L1854,2)="15",LEFT(TH!M1854,2)="15"),'152-CT'!$J$8=TH!F1854),"x","")</f>
        <v/>
      </c>
      <c r="X1854" s="52" t="str">
        <f>IF(AND(OR(LEFT(TH!L1854,2)="15",LEFT(TH!M1854,2)="15"),TK!$E$7=TH!F1854),"x","")</f>
        <v/>
      </c>
      <c r="Y1854" s="52" t="str">
        <f>IF(AND(B1854&lt;=NKC!$N$8,B1854&gt;=NKC!$M$8),"x","")</f>
        <v/>
      </c>
    </row>
    <row r="1855" spans="1:25" s="208" customFormat="1" ht="15.75" customHeight="1">
      <c r="A1855" s="201" t="str">
        <f>IF(B1855&lt;&gt;"",IF(AND(B1855&gt;=_TM1,B1855&lt;=_TM2,OR(TH!L1855="1111",TH!M1855="1111")),TH!D1855,""),"")</f>
        <v/>
      </c>
      <c r="B1855" s="36">
        <f t="shared" si="88"/>
        <v>6</v>
      </c>
      <c r="C1855" s="188">
        <f t="shared" si="90"/>
        <v>41432</v>
      </c>
      <c r="D1855" s="37" t="s">
        <v>457</v>
      </c>
      <c r="E1855" s="188">
        <v>41432</v>
      </c>
      <c r="F1855" s="189" t="s">
        <v>777</v>
      </c>
      <c r="G1855" s="480" t="s">
        <v>812</v>
      </c>
      <c r="H1855" s="7" t="s">
        <v>1258</v>
      </c>
      <c r="I1855" s="249">
        <v>318</v>
      </c>
      <c r="J1855" s="249">
        <v>6196.2735849056608</v>
      </c>
      <c r="K1855" s="595">
        <f t="shared" si="89"/>
        <v>1970415</v>
      </c>
      <c r="L1855" s="39" t="s">
        <v>170</v>
      </c>
      <c r="M1855" s="39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IF(OR(TH!L1855=TH!$U$7,M1855=TH!$U$7),"x","")</f>
        <v/>
      </c>
      <c r="V1855" s="52" t="str">
        <f>IF(AND(B1855&gt;='IN-NX'!$P$3,B1855&lt;='IN-NX'!$Q$3,'IN-NX'!$D$7=D1855,OR(LEFT(L1855,2)="15",AND(LEFT(M1855,2)&lt;&gt;"15",LEFT(M1855,2)&lt;&gt;"33"))),"x","")</f>
        <v/>
      </c>
      <c r="W1855" s="52" t="str">
        <f>IF(AND(OR(LEFT(TH!L1855,2)="15",LEFT(TH!M1855,2)="15"),'152-CT'!$J$8=TH!F1855),"x","")</f>
        <v/>
      </c>
      <c r="X1855" s="52" t="str">
        <f>IF(AND(OR(LEFT(TH!L1855,2)="15",LEFT(TH!M1855,2)="15"),TK!$E$7=TH!F1855),"x","")</f>
        <v/>
      </c>
      <c r="Y1855" s="52" t="str">
        <f>IF(AND(B1855&lt;=NKC!$N$8,B1855&gt;=NKC!$M$8),"x","")</f>
        <v/>
      </c>
    </row>
    <row r="1856" spans="1:25" s="208" customFormat="1" ht="15.75" customHeight="1">
      <c r="A1856" s="201" t="str">
        <f>IF(B1856&lt;&gt;"",IF(AND(B1856&gt;=_TM1,B1856&lt;=_TM2,OR(TH!L1856="1111",TH!M1856="1111")),TH!D1856,""),"")</f>
        <v/>
      </c>
      <c r="B1856" s="36">
        <f t="shared" si="88"/>
        <v>6</v>
      </c>
      <c r="C1856" s="188">
        <f t="shared" si="90"/>
        <v>41432</v>
      </c>
      <c r="D1856" s="37" t="s">
        <v>457</v>
      </c>
      <c r="E1856" s="37">
        <v>41432</v>
      </c>
      <c r="F1856" s="40" t="s">
        <v>813</v>
      </c>
      <c r="G1856" s="40" t="s">
        <v>812</v>
      </c>
      <c r="H1856" s="7" t="s">
        <v>1258</v>
      </c>
      <c r="I1856" s="249">
        <v>296</v>
      </c>
      <c r="J1856" s="249">
        <v>4382.9864864864867</v>
      </c>
      <c r="K1856" s="595">
        <f t="shared" si="89"/>
        <v>1297364</v>
      </c>
      <c r="L1856" s="39" t="s">
        <v>170</v>
      </c>
      <c r="M1856" s="39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IF(OR(TH!L1856=TH!$U$7,M1856=TH!$U$7),"x","")</f>
        <v/>
      </c>
      <c r="V1856" s="52" t="str">
        <f>IF(AND(B1856&gt;='IN-NX'!$P$3,B1856&lt;='IN-NX'!$Q$3,'IN-NX'!$D$7=D1856,OR(LEFT(L1856,2)="15",AND(LEFT(M1856,2)&lt;&gt;"15",LEFT(M1856,2)&lt;&gt;"33"))),"x","")</f>
        <v/>
      </c>
      <c r="W1856" s="52" t="str">
        <f>IF(AND(OR(LEFT(TH!L1856,2)="15",LEFT(TH!M1856,2)="15"),'152-CT'!$J$8=TH!F1856),"x","")</f>
        <v/>
      </c>
      <c r="X1856" s="52" t="str">
        <f>IF(AND(OR(LEFT(TH!L1856,2)="15",LEFT(TH!M1856,2)="15"),TK!$E$7=TH!F1856),"x","")</f>
        <v/>
      </c>
      <c r="Y1856" s="52" t="str">
        <f>IF(AND(B1856&lt;=NKC!$N$8,B1856&gt;=NKC!$M$8),"x","")</f>
        <v/>
      </c>
    </row>
    <row r="1857" spans="1:25" s="208" customFormat="1" ht="15.75" customHeight="1">
      <c r="A1857" s="201" t="str">
        <f>IF(B1857&lt;&gt;"",IF(AND(B1857&gt;=_TM1,B1857&lt;=_TM2,OR(TH!L1857="1111",TH!M1857="1111")),TH!D1857,""),"")</f>
        <v/>
      </c>
      <c r="B1857" s="36">
        <f t="shared" si="88"/>
        <v>6</v>
      </c>
      <c r="C1857" s="188">
        <f t="shared" si="90"/>
        <v>41432</v>
      </c>
      <c r="D1857" s="37" t="s">
        <v>457</v>
      </c>
      <c r="E1857" s="37">
        <v>41432</v>
      </c>
      <c r="F1857" s="40" t="s">
        <v>1105</v>
      </c>
      <c r="G1857" s="40" t="s">
        <v>812</v>
      </c>
      <c r="H1857" s="7" t="s">
        <v>1258</v>
      </c>
      <c r="I1857" s="249">
        <v>510</v>
      </c>
      <c r="J1857" s="249">
        <v>4919.5215686274514</v>
      </c>
      <c r="K1857" s="595">
        <f t="shared" si="89"/>
        <v>2508956</v>
      </c>
      <c r="L1857" s="39" t="s">
        <v>170</v>
      </c>
      <c r="M1857" s="39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IF(OR(TH!L1857=TH!$U$7,M1857=TH!$U$7),"x","")</f>
        <v/>
      </c>
      <c r="V1857" s="52" t="str">
        <f>IF(AND(B1857&gt;='IN-NX'!$P$3,B1857&lt;='IN-NX'!$Q$3,'IN-NX'!$D$7=D1857,OR(LEFT(L1857,2)="15",AND(LEFT(M1857,2)&lt;&gt;"15",LEFT(M1857,2)&lt;&gt;"33"))),"x","")</f>
        <v/>
      </c>
      <c r="W1857" s="52" t="str">
        <f>IF(AND(OR(LEFT(TH!L1857,2)="15",LEFT(TH!M1857,2)="15"),'152-CT'!$J$8=TH!F1857),"x","")</f>
        <v/>
      </c>
      <c r="X1857" s="52" t="str">
        <f>IF(AND(OR(LEFT(TH!L1857,2)="15",LEFT(TH!M1857,2)="15"),TK!$E$7=TH!F1857),"x","")</f>
        <v/>
      </c>
      <c r="Y1857" s="52" t="str">
        <f>IF(AND(B1857&lt;=NKC!$N$8,B1857&gt;=NKC!$M$8),"x","")</f>
        <v/>
      </c>
    </row>
    <row r="1858" spans="1:25" s="208" customFormat="1" ht="15.75" customHeight="1">
      <c r="A1858" s="201" t="str">
        <f>IF(B1858&lt;&gt;"",IF(AND(B1858&gt;=_TM1,B1858&lt;=_TM2,OR(TH!L1858="1111",TH!M1858="1111")),TH!D1858,""),"")</f>
        <v/>
      </c>
      <c r="B1858" s="36">
        <f t="shared" si="88"/>
        <v>6</v>
      </c>
      <c r="C1858" s="188">
        <f t="shared" si="90"/>
        <v>41435</v>
      </c>
      <c r="D1858" s="37" t="s">
        <v>457</v>
      </c>
      <c r="E1858" s="37">
        <v>41435</v>
      </c>
      <c r="F1858" s="40" t="s">
        <v>814</v>
      </c>
      <c r="G1858" s="40" t="s">
        <v>815</v>
      </c>
      <c r="H1858" s="7" t="s">
        <v>1258</v>
      </c>
      <c r="I1858" s="249">
        <v>204</v>
      </c>
      <c r="J1858" s="249">
        <v>18464.235294117647</v>
      </c>
      <c r="K1858" s="595">
        <f t="shared" si="89"/>
        <v>3766704</v>
      </c>
      <c r="L1858" s="39" t="s">
        <v>170</v>
      </c>
      <c r="M1858" s="39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IF(OR(TH!L1858=TH!$U$7,M1858=TH!$U$7),"x","")</f>
        <v/>
      </c>
      <c r="V1858" s="52" t="str">
        <f>IF(AND(B1858&gt;='IN-NX'!$P$3,B1858&lt;='IN-NX'!$Q$3,'IN-NX'!$D$7=D1858,OR(LEFT(L1858,2)="15",AND(LEFT(M1858,2)&lt;&gt;"15",LEFT(M1858,2)&lt;&gt;"33"))),"x","")</f>
        <v/>
      </c>
      <c r="W1858" s="52" t="str">
        <f>IF(AND(OR(LEFT(TH!L1858,2)="15",LEFT(TH!M1858,2)="15"),'152-CT'!$J$8=TH!F1858),"x","")</f>
        <v/>
      </c>
      <c r="X1858" s="52" t="str">
        <f>IF(AND(OR(LEFT(TH!L1858,2)="15",LEFT(TH!M1858,2)="15"),TK!$E$7=TH!F1858),"x","")</f>
        <v/>
      </c>
      <c r="Y1858" s="52" t="str">
        <f>IF(AND(B1858&lt;=NKC!$N$8,B1858&gt;=NKC!$M$8),"x","")</f>
        <v/>
      </c>
    </row>
    <row r="1859" spans="1:25" s="208" customFormat="1" ht="15.75" customHeight="1">
      <c r="A1859" s="201" t="str">
        <f>IF(B1859&lt;&gt;"",IF(AND(B1859&gt;=_TM1,B1859&lt;=_TM2,OR(TH!L1859="1111",TH!M1859="1111")),TH!D1859,""),"")</f>
        <v/>
      </c>
      <c r="B1859" s="36">
        <f t="shared" si="88"/>
        <v>6</v>
      </c>
      <c r="C1859" s="188">
        <f t="shared" si="90"/>
        <v>41436</v>
      </c>
      <c r="D1859" s="37" t="s">
        <v>457</v>
      </c>
      <c r="E1859" s="37">
        <v>41436</v>
      </c>
      <c r="F1859" s="40" t="s">
        <v>1105</v>
      </c>
      <c r="G1859" s="40" t="s">
        <v>817</v>
      </c>
      <c r="H1859" s="7" t="s">
        <v>1258</v>
      </c>
      <c r="I1859" s="249">
        <v>157</v>
      </c>
      <c r="J1859" s="249">
        <v>4573.6751592356686</v>
      </c>
      <c r="K1859" s="595">
        <f t="shared" si="89"/>
        <v>718067</v>
      </c>
      <c r="L1859" s="39" t="s">
        <v>170</v>
      </c>
      <c r="M1859" s="39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IF(OR(TH!L1859=TH!$U$7,M1859=TH!$U$7),"x","")</f>
        <v/>
      </c>
      <c r="V1859" s="52" t="str">
        <f>IF(AND(B1859&gt;='IN-NX'!$P$3,B1859&lt;='IN-NX'!$Q$3,'IN-NX'!$D$7=D1859,OR(LEFT(L1859,2)="15",AND(LEFT(M1859,2)&lt;&gt;"15",LEFT(M1859,2)&lt;&gt;"33"))),"x","")</f>
        <v/>
      </c>
      <c r="W1859" s="52" t="str">
        <f>IF(AND(OR(LEFT(TH!L1859,2)="15",LEFT(TH!M1859,2)="15"),'152-CT'!$J$8=TH!F1859),"x","")</f>
        <v/>
      </c>
      <c r="X1859" s="52" t="str">
        <f>IF(AND(OR(LEFT(TH!L1859,2)="15",LEFT(TH!M1859,2)="15"),TK!$E$7=TH!F1859),"x","")</f>
        <v/>
      </c>
      <c r="Y1859" s="52" t="str">
        <f>IF(AND(B1859&lt;=NKC!$N$8,B1859&gt;=NKC!$M$8),"x","")</f>
        <v/>
      </c>
    </row>
    <row r="1860" spans="1:25" s="208" customFormat="1" ht="15.75" customHeight="1">
      <c r="A1860" s="201" t="str">
        <f>IF(B1860&lt;&gt;"",IF(AND(B1860&gt;=_TM1,B1860&lt;=_TM2,OR(TH!L1860="1111",TH!M1860="1111")),TH!D1860,""),"")</f>
        <v/>
      </c>
      <c r="B1860" s="36">
        <f t="shared" si="88"/>
        <v>6</v>
      </c>
      <c r="C1860" s="188">
        <f t="shared" si="90"/>
        <v>41436</v>
      </c>
      <c r="D1860" s="37" t="s">
        <v>457</v>
      </c>
      <c r="E1860" s="37">
        <v>41436</v>
      </c>
      <c r="F1860" s="40" t="s">
        <v>818</v>
      </c>
      <c r="G1860" s="40" t="s">
        <v>819</v>
      </c>
      <c r="H1860" s="7" t="s">
        <v>1258</v>
      </c>
      <c r="I1860" s="249">
        <v>222</v>
      </c>
      <c r="J1860" s="249">
        <v>14509.234234234234</v>
      </c>
      <c r="K1860" s="595">
        <f t="shared" si="89"/>
        <v>3221050</v>
      </c>
      <c r="L1860" s="39" t="s">
        <v>170</v>
      </c>
      <c r="M1860" s="39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IF(OR(TH!L1860=TH!$U$7,M1860=TH!$U$7),"x","")</f>
        <v/>
      </c>
      <c r="V1860" s="52" t="str">
        <f>IF(AND(B1860&gt;='IN-NX'!$P$3,B1860&lt;='IN-NX'!$Q$3,'IN-NX'!$D$7=D1860,OR(LEFT(L1860,2)="15",AND(LEFT(M1860,2)&lt;&gt;"15",LEFT(M1860,2)&lt;&gt;"33"))),"x","")</f>
        <v/>
      </c>
      <c r="W1860" s="52" t="str">
        <f>IF(AND(OR(LEFT(TH!L1860,2)="15",LEFT(TH!M1860,2)="15"),'152-CT'!$J$8=TH!F1860),"x","")</f>
        <v/>
      </c>
      <c r="X1860" s="52" t="str">
        <f>IF(AND(OR(LEFT(TH!L1860,2)="15",LEFT(TH!M1860,2)="15"),TK!$E$7=TH!F1860),"x","")</f>
        <v/>
      </c>
      <c r="Y1860" s="52" t="str">
        <f>IF(AND(B1860&lt;=NKC!$N$8,B1860&gt;=NKC!$M$8),"x","")</f>
        <v/>
      </c>
    </row>
    <row r="1861" spans="1:25" s="208" customFormat="1" ht="15.75" customHeight="1">
      <c r="A1861" s="201" t="str">
        <f>IF(B1861&lt;&gt;"",IF(AND(B1861&gt;=_TM1,B1861&lt;=_TM2,OR(TH!L1861="1111",TH!M1861="1111")),TH!D1861,""),"")</f>
        <v/>
      </c>
      <c r="B1861" s="36">
        <f t="shared" si="88"/>
        <v>6</v>
      </c>
      <c r="C1861" s="188">
        <f t="shared" si="90"/>
        <v>41443</v>
      </c>
      <c r="D1861" s="37" t="s">
        <v>457</v>
      </c>
      <c r="E1861" s="37">
        <v>41443</v>
      </c>
      <c r="F1861" s="40" t="s">
        <v>820</v>
      </c>
      <c r="G1861" s="40" t="s">
        <v>821</v>
      </c>
      <c r="H1861" s="7" t="s">
        <v>1258</v>
      </c>
      <c r="I1861" s="249">
        <v>494</v>
      </c>
      <c r="J1861" s="249">
        <v>17050.975708502025</v>
      </c>
      <c r="K1861" s="595">
        <f t="shared" si="89"/>
        <v>8423182</v>
      </c>
      <c r="L1861" s="39" t="s">
        <v>170</v>
      </c>
      <c r="M1861" s="39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IF(OR(TH!L1861=TH!$U$7,M1861=TH!$U$7),"x","")</f>
        <v/>
      </c>
      <c r="V1861" s="52" t="str">
        <f>IF(AND(B1861&gt;='IN-NX'!$P$3,B1861&lt;='IN-NX'!$Q$3,'IN-NX'!$D$7=D1861,OR(LEFT(L1861,2)="15",AND(LEFT(M1861,2)&lt;&gt;"15",LEFT(M1861,2)&lt;&gt;"33"))),"x","")</f>
        <v/>
      </c>
      <c r="W1861" s="52" t="str">
        <f>IF(AND(OR(LEFT(TH!L1861,2)="15",LEFT(TH!M1861,2)="15"),'152-CT'!$J$8=TH!F1861),"x","")</f>
        <v/>
      </c>
      <c r="X1861" s="52" t="str">
        <f>IF(AND(OR(LEFT(TH!L1861,2)="15",LEFT(TH!M1861,2)="15"),TK!$E$7=TH!F1861),"x","")</f>
        <v/>
      </c>
      <c r="Y1861" s="52" t="str">
        <f>IF(AND(B1861&lt;=NKC!$N$8,B1861&gt;=NKC!$M$8),"x","")</f>
        <v/>
      </c>
    </row>
    <row r="1862" spans="1:25" s="208" customFormat="1" ht="15.75" customHeight="1">
      <c r="A1862" s="201" t="str">
        <f>IF(B1862&lt;&gt;"",IF(AND(B1862&gt;=_TM1,B1862&lt;=_TM2,OR(TH!L1862="1111",TH!M1862="1111")),TH!D1862,""),"")</f>
        <v/>
      </c>
      <c r="B1862" s="36">
        <f t="shared" si="88"/>
        <v>6</v>
      </c>
      <c r="C1862" s="188">
        <f t="shared" si="90"/>
        <v>41444</v>
      </c>
      <c r="D1862" s="37" t="s">
        <v>457</v>
      </c>
      <c r="E1862" s="37">
        <v>41444</v>
      </c>
      <c r="F1862" s="40" t="s">
        <v>711</v>
      </c>
      <c r="G1862" s="40" t="s">
        <v>822</v>
      </c>
      <c r="H1862" s="7" t="s">
        <v>1258</v>
      </c>
      <c r="I1862" s="250">
        <v>402</v>
      </c>
      <c r="J1862" s="250">
        <v>24039.236318407959</v>
      </c>
      <c r="K1862" s="595">
        <f t="shared" si="89"/>
        <v>9663773</v>
      </c>
      <c r="L1862" s="39" t="s">
        <v>170</v>
      </c>
      <c r="M1862" s="39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IF(OR(TH!L1862=TH!$U$7,M1862=TH!$U$7),"x","")</f>
        <v/>
      </c>
      <c r="V1862" s="52" t="str">
        <f>IF(AND(B1862&gt;='IN-NX'!$P$3,B1862&lt;='IN-NX'!$Q$3,'IN-NX'!$D$7=D1862,OR(LEFT(L1862,2)="15",AND(LEFT(M1862,2)&lt;&gt;"15",LEFT(M1862,2)&lt;&gt;"33"))),"x","")</f>
        <v/>
      </c>
      <c r="W1862" s="52" t="str">
        <f>IF(AND(OR(LEFT(TH!L1862,2)="15",LEFT(TH!M1862,2)="15"),'152-CT'!$J$8=TH!F1862),"x","")</f>
        <v/>
      </c>
      <c r="X1862" s="52" t="str">
        <f>IF(AND(OR(LEFT(TH!L1862,2)="15",LEFT(TH!M1862,2)="15"),TK!$E$7=TH!F1862),"x","")</f>
        <v/>
      </c>
      <c r="Y1862" s="52" t="str">
        <f>IF(AND(B1862&lt;=NKC!$N$8,B1862&gt;=NKC!$M$8),"x","")</f>
        <v/>
      </c>
    </row>
    <row r="1863" spans="1:25" s="208" customFormat="1" ht="15.75" customHeight="1">
      <c r="A1863" s="201" t="str">
        <f>IF(B1863&lt;&gt;"",IF(AND(B1863&gt;=_TM1,B1863&lt;=_TM2,OR(TH!L1863="1111",TH!M1863="1111")),TH!D1863,""),"")</f>
        <v/>
      </c>
      <c r="B1863" s="36">
        <f t="shared" si="88"/>
        <v>6</v>
      </c>
      <c r="C1863" s="188">
        <f t="shared" si="90"/>
        <v>41445</v>
      </c>
      <c r="D1863" s="37" t="s">
        <v>457</v>
      </c>
      <c r="E1863" s="37">
        <v>41445</v>
      </c>
      <c r="F1863" s="189" t="s">
        <v>784</v>
      </c>
      <c r="G1863" s="40" t="s">
        <v>823</v>
      </c>
      <c r="H1863" s="7" t="s">
        <v>1258</v>
      </c>
      <c r="I1863" s="249">
        <v>495</v>
      </c>
      <c r="J1863" s="249">
        <v>17083.624242424241</v>
      </c>
      <c r="K1863" s="595">
        <f t="shared" si="89"/>
        <v>8456394</v>
      </c>
      <c r="L1863" s="39" t="s">
        <v>170</v>
      </c>
      <c r="M1863" s="39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IF(OR(TH!L1863=TH!$U$7,M1863=TH!$U$7),"x","")</f>
        <v/>
      </c>
      <c r="V1863" s="52" t="str">
        <f>IF(AND(B1863&gt;='IN-NX'!$P$3,B1863&lt;='IN-NX'!$Q$3,'IN-NX'!$D$7=D1863,OR(LEFT(L1863,2)="15",AND(LEFT(M1863,2)&lt;&gt;"15",LEFT(M1863,2)&lt;&gt;"33"))),"x","")</f>
        <v/>
      </c>
      <c r="W1863" s="52" t="str">
        <f>IF(AND(OR(LEFT(TH!L1863,2)="15",LEFT(TH!M1863,2)="15"),'152-CT'!$J$8=TH!F1863),"x","")</f>
        <v/>
      </c>
      <c r="X1863" s="52" t="str">
        <f>IF(AND(OR(LEFT(TH!L1863,2)="15",LEFT(TH!M1863,2)="15"),TK!$E$7=TH!F1863),"x","")</f>
        <v/>
      </c>
      <c r="Y1863" s="52" t="str">
        <f>IF(AND(B1863&lt;=NKC!$N$8,B1863&gt;=NKC!$M$8),"x","")</f>
        <v/>
      </c>
    </row>
    <row r="1864" spans="1:25" s="208" customFormat="1" ht="15.75" customHeight="1">
      <c r="A1864" s="201" t="str">
        <f>IF(B1864&lt;&gt;"",IF(AND(B1864&gt;=_TM1,B1864&lt;=_TM2,OR(TH!L1864="1111",TH!M1864="1111")),TH!D1864,""),"")</f>
        <v/>
      </c>
      <c r="B1864" s="36">
        <f t="shared" si="88"/>
        <v>6</v>
      </c>
      <c r="C1864" s="188">
        <f t="shared" si="90"/>
        <v>41445</v>
      </c>
      <c r="D1864" s="37" t="s">
        <v>457</v>
      </c>
      <c r="E1864" s="37">
        <v>41445</v>
      </c>
      <c r="F1864" s="40" t="s">
        <v>786</v>
      </c>
      <c r="G1864" s="40" t="s">
        <v>823</v>
      </c>
      <c r="H1864" s="7" t="s">
        <v>1258</v>
      </c>
      <c r="I1864" s="249">
        <v>1500</v>
      </c>
      <c r="J1864" s="249">
        <v>1429.172</v>
      </c>
      <c r="K1864" s="595">
        <f t="shared" si="89"/>
        <v>2143758</v>
      </c>
      <c r="L1864" s="39" t="s">
        <v>170</v>
      </c>
      <c r="M1864" s="39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IF(OR(TH!L1864=TH!$U$7,M1864=TH!$U$7),"x","")</f>
        <v/>
      </c>
      <c r="V1864" s="52" t="str">
        <f>IF(AND(B1864&gt;='IN-NX'!$P$3,B1864&lt;='IN-NX'!$Q$3,'IN-NX'!$D$7=D1864,OR(LEFT(L1864,2)="15",AND(LEFT(M1864,2)&lt;&gt;"15",LEFT(M1864,2)&lt;&gt;"33"))),"x","")</f>
        <v/>
      </c>
      <c r="W1864" s="52" t="str">
        <f>IF(AND(OR(LEFT(TH!L1864,2)="15",LEFT(TH!M1864,2)="15"),'152-CT'!$J$8=TH!F1864),"x","")</f>
        <v/>
      </c>
      <c r="X1864" s="52" t="str">
        <f>IF(AND(OR(LEFT(TH!L1864,2)="15",LEFT(TH!M1864,2)="15"),TK!$E$7=TH!F1864),"x","")</f>
        <v/>
      </c>
      <c r="Y1864" s="52" t="str">
        <f>IF(AND(B1864&lt;=NKC!$N$8,B1864&gt;=NKC!$M$8),"x","")</f>
        <v/>
      </c>
    </row>
    <row r="1865" spans="1:25" s="208" customFormat="1" ht="15.75" customHeight="1">
      <c r="A1865" s="201" t="str">
        <f>IF(B1865&lt;&gt;"",IF(AND(B1865&gt;=_TM1,B1865&lt;=_TM2,OR(TH!L1865="1111",TH!M1865="1111")),TH!D1865,""),"")</f>
        <v/>
      </c>
      <c r="B1865" s="36">
        <f t="shared" si="88"/>
        <v>6</v>
      </c>
      <c r="C1865" s="188">
        <f t="shared" si="90"/>
        <v>41445</v>
      </c>
      <c r="D1865" s="37" t="s">
        <v>457</v>
      </c>
      <c r="E1865" s="37">
        <v>41445</v>
      </c>
      <c r="F1865" s="40" t="s">
        <v>1097</v>
      </c>
      <c r="G1865" s="40" t="s">
        <v>824</v>
      </c>
      <c r="H1865" s="7" t="s">
        <v>1258</v>
      </c>
      <c r="I1865" s="249">
        <v>212</v>
      </c>
      <c r="J1865" s="249">
        <v>6713.066037735849</v>
      </c>
      <c r="K1865" s="595">
        <f t="shared" si="89"/>
        <v>1423170</v>
      </c>
      <c r="L1865" s="39" t="s">
        <v>170</v>
      </c>
      <c r="M1865" s="39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IF(OR(TH!L1865=TH!$U$7,M1865=TH!$U$7),"x","")</f>
        <v/>
      </c>
      <c r="V1865" s="52" t="str">
        <f>IF(AND(B1865&gt;='IN-NX'!$P$3,B1865&lt;='IN-NX'!$Q$3,'IN-NX'!$D$7=D1865,OR(LEFT(L1865,2)="15",AND(LEFT(M1865,2)&lt;&gt;"15",LEFT(M1865,2)&lt;&gt;"33"))),"x","")</f>
        <v/>
      </c>
      <c r="W1865" s="52" t="str">
        <f>IF(AND(OR(LEFT(TH!L1865,2)="15",LEFT(TH!M1865,2)="15"),'152-CT'!$J$8=TH!F1865),"x","")</f>
        <v/>
      </c>
      <c r="X1865" s="52" t="str">
        <f>IF(AND(OR(LEFT(TH!L1865,2)="15",LEFT(TH!M1865,2)="15"),TK!$E$7=TH!F1865),"x","")</f>
        <v/>
      </c>
      <c r="Y1865" s="52" t="str">
        <f>IF(AND(B1865&lt;=NKC!$N$8,B1865&gt;=NKC!$M$8),"x","")</f>
        <v/>
      </c>
    </row>
    <row r="1866" spans="1:25" s="208" customFormat="1" ht="15.75" customHeight="1">
      <c r="A1866" s="201" t="str">
        <f>IF(B1866&lt;&gt;"",IF(AND(B1866&gt;=_TM1,B1866&lt;=_TM2,OR(TH!L1866="1111",TH!M1866="1111")),TH!D1866,""),"")</f>
        <v/>
      </c>
      <c r="B1866" s="36">
        <f t="shared" si="88"/>
        <v>6</v>
      </c>
      <c r="C1866" s="188">
        <f t="shared" si="90"/>
        <v>41445</v>
      </c>
      <c r="D1866" s="37" t="s">
        <v>457</v>
      </c>
      <c r="E1866" s="37">
        <v>41445</v>
      </c>
      <c r="F1866" s="40" t="s">
        <v>1096</v>
      </c>
      <c r="G1866" s="40" t="s">
        <v>824</v>
      </c>
      <c r="H1866" s="7" t="s">
        <v>1258</v>
      </c>
      <c r="I1866" s="249">
        <v>195</v>
      </c>
      <c r="J1866" s="249">
        <v>13775.364102564103</v>
      </c>
      <c r="K1866" s="595">
        <f t="shared" si="89"/>
        <v>2686196</v>
      </c>
      <c r="L1866" s="39" t="s">
        <v>170</v>
      </c>
      <c r="M1866" s="39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IF(OR(TH!L1866=TH!$U$7,M1866=TH!$U$7),"x","")</f>
        <v/>
      </c>
      <c r="V1866" s="52" t="str">
        <f>IF(AND(B1866&gt;='IN-NX'!$P$3,B1866&lt;='IN-NX'!$Q$3,'IN-NX'!$D$7=D1866,OR(LEFT(L1866,2)="15",AND(LEFT(M1866,2)&lt;&gt;"15",LEFT(M1866,2)&lt;&gt;"33"))),"x","")</f>
        <v/>
      </c>
      <c r="W1866" s="52" t="str">
        <f>IF(AND(OR(LEFT(TH!L1866,2)="15",LEFT(TH!M1866,2)="15"),'152-CT'!$J$8=TH!F1866),"x","")</f>
        <v/>
      </c>
      <c r="X1866" s="52" t="str">
        <f>IF(AND(OR(LEFT(TH!L1866,2)="15",LEFT(TH!M1866,2)="15"),TK!$E$7=TH!F1866),"x","")</f>
        <v/>
      </c>
      <c r="Y1866" s="52" t="str">
        <f>IF(AND(B1866&lt;=NKC!$N$8,B1866&gt;=NKC!$M$8),"x","")</f>
        <v/>
      </c>
    </row>
    <row r="1867" spans="1:25" s="208" customFormat="1" ht="15.75" customHeight="1">
      <c r="A1867" s="201" t="str">
        <f>IF(B1867&lt;&gt;"",IF(AND(B1867&gt;=_TM1,B1867&lt;=_TM2,OR(TH!L1867="1111",TH!M1867="1111")),TH!D1867,""),"")</f>
        <v/>
      </c>
      <c r="B1867" s="36">
        <f t="shared" si="88"/>
        <v>6</v>
      </c>
      <c r="C1867" s="188">
        <f t="shared" si="90"/>
        <v>41445</v>
      </c>
      <c r="D1867" s="37" t="s">
        <v>457</v>
      </c>
      <c r="E1867" s="37">
        <v>41445</v>
      </c>
      <c r="F1867" s="40" t="s">
        <v>798</v>
      </c>
      <c r="G1867" s="40" t="s">
        <v>825</v>
      </c>
      <c r="H1867" s="7" t="s">
        <v>1258</v>
      </c>
      <c r="I1867" s="249">
        <v>508</v>
      </c>
      <c r="J1867" s="249">
        <v>5039.0866141732286</v>
      </c>
      <c r="K1867" s="595">
        <f t="shared" si="89"/>
        <v>2559856</v>
      </c>
      <c r="L1867" s="39" t="s">
        <v>170</v>
      </c>
      <c r="M1867" s="39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IF(OR(TH!L1867=TH!$U$7,M1867=TH!$U$7),"x","")</f>
        <v/>
      </c>
      <c r="V1867" s="52" t="str">
        <f>IF(AND(B1867&gt;='IN-NX'!$P$3,B1867&lt;='IN-NX'!$Q$3,'IN-NX'!$D$7=D1867,OR(LEFT(L1867,2)="15",AND(LEFT(M1867,2)&lt;&gt;"15",LEFT(M1867,2)&lt;&gt;"33"))),"x","")</f>
        <v/>
      </c>
      <c r="W1867" s="52" t="str">
        <f>IF(AND(OR(LEFT(TH!L1867,2)="15",LEFT(TH!M1867,2)="15"),'152-CT'!$J$8=TH!F1867),"x","")</f>
        <v/>
      </c>
      <c r="X1867" s="52" t="str">
        <f>IF(AND(OR(LEFT(TH!L1867,2)="15",LEFT(TH!M1867,2)="15"),TK!$E$7=TH!F1867),"x","")</f>
        <v/>
      </c>
      <c r="Y1867" s="52" t="str">
        <f>IF(AND(B1867&lt;=NKC!$N$8,B1867&gt;=NKC!$M$8),"x","")</f>
        <v/>
      </c>
    </row>
    <row r="1868" spans="1:25" s="208" customFormat="1" ht="15.75" customHeight="1">
      <c r="A1868" s="201" t="str">
        <f>IF(B1868&lt;&gt;"",IF(AND(B1868&gt;=_TM1,B1868&lt;=_TM2,OR(TH!L1868="1111",TH!M1868="1111")),TH!D1868,""),"")</f>
        <v/>
      </c>
      <c r="B1868" s="36">
        <f t="shared" si="88"/>
        <v>6</v>
      </c>
      <c r="C1868" s="188">
        <f t="shared" si="90"/>
        <v>41445</v>
      </c>
      <c r="D1868" s="37" t="s">
        <v>457</v>
      </c>
      <c r="E1868" s="37">
        <v>41445</v>
      </c>
      <c r="F1868" s="40" t="s">
        <v>800</v>
      </c>
      <c r="G1868" s="40" t="s">
        <v>825</v>
      </c>
      <c r="H1868" s="7" t="s">
        <v>1258</v>
      </c>
      <c r="I1868" s="249">
        <v>305</v>
      </c>
      <c r="J1868" s="249">
        <v>4786.4852459016392</v>
      </c>
      <c r="K1868" s="595">
        <f t="shared" si="89"/>
        <v>1459878</v>
      </c>
      <c r="L1868" s="39" t="s">
        <v>170</v>
      </c>
      <c r="M1868" s="39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IF(OR(TH!L1868=TH!$U$7,M1868=TH!$U$7),"x","")</f>
        <v/>
      </c>
      <c r="V1868" s="52" t="str">
        <f>IF(AND(B1868&gt;='IN-NX'!$P$3,B1868&lt;='IN-NX'!$Q$3,'IN-NX'!$D$7=D1868,OR(LEFT(L1868,2)="15",AND(LEFT(M1868,2)&lt;&gt;"15",LEFT(M1868,2)&lt;&gt;"33"))),"x","")</f>
        <v/>
      </c>
      <c r="W1868" s="52" t="str">
        <f>IF(AND(OR(LEFT(TH!L1868,2)="15",LEFT(TH!M1868,2)="15"),'152-CT'!$J$8=TH!F1868),"x","")</f>
        <v/>
      </c>
      <c r="X1868" s="52" t="str">
        <f>IF(AND(OR(LEFT(TH!L1868,2)="15",LEFT(TH!M1868,2)="15"),TK!$E$7=TH!F1868),"x","")</f>
        <v/>
      </c>
      <c r="Y1868" s="52" t="str">
        <f>IF(AND(B1868&lt;=NKC!$N$8,B1868&gt;=NKC!$M$8),"x","")</f>
        <v/>
      </c>
    </row>
    <row r="1869" spans="1:25" s="208" customFormat="1" ht="15.75" customHeight="1">
      <c r="A1869" s="201" t="str">
        <f>IF(B1869&lt;&gt;"",IF(AND(B1869&gt;=_TM1,B1869&lt;=_TM2,OR(TH!L1869="1111",TH!M1869="1111")),TH!D1869,""),"")</f>
        <v/>
      </c>
      <c r="B1869" s="36">
        <f t="shared" si="88"/>
        <v>6</v>
      </c>
      <c r="C1869" s="188">
        <f t="shared" si="90"/>
        <v>41445</v>
      </c>
      <c r="D1869" s="37" t="s">
        <v>457</v>
      </c>
      <c r="E1869" s="37">
        <v>41445</v>
      </c>
      <c r="F1869" s="40" t="s">
        <v>1106</v>
      </c>
      <c r="G1869" s="40" t="s">
        <v>825</v>
      </c>
      <c r="H1869" s="7" t="s">
        <v>1258</v>
      </c>
      <c r="I1869" s="249">
        <v>484</v>
      </c>
      <c r="J1869" s="249">
        <v>5258.2107438016528</v>
      </c>
      <c r="K1869" s="595">
        <f t="shared" si="89"/>
        <v>2544974</v>
      </c>
      <c r="L1869" s="39" t="s">
        <v>170</v>
      </c>
      <c r="M1869" s="39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IF(OR(TH!L1869=TH!$U$7,M1869=TH!$U$7),"x","")</f>
        <v/>
      </c>
      <c r="V1869" s="52" t="str">
        <f>IF(AND(B1869&gt;='IN-NX'!$P$3,B1869&lt;='IN-NX'!$Q$3,'IN-NX'!$D$7=D1869,OR(LEFT(L1869,2)="15",AND(LEFT(M1869,2)&lt;&gt;"15",LEFT(M1869,2)&lt;&gt;"33"))),"x","")</f>
        <v/>
      </c>
      <c r="W1869" s="52" t="str">
        <f>IF(AND(OR(LEFT(TH!L1869,2)="15",LEFT(TH!M1869,2)="15"),'152-CT'!$J$8=TH!F1869),"x","")</f>
        <v/>
      </c>
      <c r="X1869" s="52" t="str">
        <f>IF(AND(OR(LEFT(TH!L1869,2)="15",LEFT(TH!M1869,2)="15"),TK!$E$7=TH!F1869),"x","")</f>
        <v/>
      </c>
      <c r="Y1869" s="52" t="str">
        <f>IF(AND(B1869&lt;=NKC!$N$8,B1869&gt;=NKC!$M$8),"x","")</f>
        <v/>
      </c>
    </row>
    <row r="1870" spans="1:25" s="208" customFormat="1" ht="15.75" customHeight="1">
      <c r="A1870" s="201" t="str">
        <f>IF(B1870&lt;&gt;"",IF(AND(B1870&gt;=_TM1,B1870&lt;=_TM2,OR(TH!L1870="1111",TH!M1870="1111")),TH!D1870,""),"")</f>
        <v/>
      </c>
      <c r="B1870" s="36">
        <f t="shared" si="88"/>
        <v>6</v>
      </c>
      <c r="C1870" s="188">
        <f t="shared" si="90"/>
        <v>41446</v>
      </c>
      <c r="D1870" s="37" t="s">
        <v>457</v>
      </c>
      <c r="E1870" s="37">
        <v>41446</v>
      </c>
      <c r="F1870" s="40" t="s">
        <v>1108</v>
      </c>
      <c r="G1870" s="40" t="s">
        <v>826</v>
      </c>
      <c r="H1870" s="7" t="s">
        <v>1258</v>
      </c>
      <c r="I1870" s="249">
        <v>1030</v>
      </c>
      <c r="J1870" s="249">
        <v>4606.3776699029122</v>
      </c>
      <c r="K1870" s="595">
        <f t="shared" si="89"/>
        <v>4744569</v>
      </c>
      <c r="L1870" s="39" t="s">
        <v>170</v>
      </c>
      <c r="M1870" s="39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IF(OR(TH!L1870=TH!$U$7,M1870=TH!$U$7),"x","")</f>
        <v/>
      </c>
      <c r="V1870" s="52" t="str">
        <f>IF(AND(B1870&gt;='IN-NX'!$P$3,B1870&lt;='IN-NX'!$Q$3,'IN-NX'!$D$7=D1870,OR(LEFT(L1870,2)="15",AND(LEFT(M1870,2)&lt;&gt;"15",LEFT(M1870,2)&lt;&gt;"33"))),"x","")</f>
        <v/>
      </c>
      <c r="W1870" s="52" t="str">
        <f>IF(AND(OR(LEFT(TH!L1870,2)="15",LEFT(TH!M1870,2)="15"),'152-CT'!$J$8=TH!F1870),"x","")</f>
        <v/>
      </c>
      <c r="X1870" s="52" t="str">
        <f>IF(AND(OR(LEFT(TH!L1870,2)="15",LEFT(TH!M1870,2)="15"),TK!$E$7=TH!F1870),"x","")</f>
        <v/>
      </c>
      <c r="Y1870" s="52" t="str">
        <f>IF(AND(B1870&lt;=NKC!$N$8,B1870&gt;=NKC!$M$8),"x","")</f>
        <v/>
      </c>
    </row>
    <row r="1871" spans="1:25" s="208" customFormat="1" ht="15.75" customHeight="1">
      <c r="A1871" s="201" t="str">
        <f>IF(B1871&lt;&gt;"",IF(AND(B1871&gt;=_TM1,B1871&lt;=_TM2,OR(TH!L1871="1111",TH!M1871="1111")),TH!D1871,""),"")</f>
        <v/>
      </c>
      <c r="B1871" s="36">
        <f t="shared" si="88"/>
        <v>6</v>
      </c>
      <c r="C1871" s="188">
        <f t="shared" si="90"/>
        <v>41451</v>
      </c>
      <c r="D1871" s="37" t="s">
        <v>457</v>
      </c>
      <c r="E1871" s="37">
        <v>41451</v>
      </c>
      <c r="F1871" s="189" t="s">
        <v>805</v>
      </c>
      <c r="G1871" s="40" t="s">
        <v>827</v>
      </c>
      <c r="H1871" s="7" t="s">
        <v>1258</v>
      </c>
      <c r="I1871" s="249">
        <v>500</v>
      </c>
      <c r="J1871" s="249">
        <v>10718.236000000001</v>
      </c>
      <c r="K1871" s="595">
        <f t="shared" si="89"/>
        <v>5359118</v>
      </c>
      <c r="L1871" s="39" t="s">
        <v>170</v>
      </c>
      <c r="M1871" s="39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IF(OR(TH!L1871=TH!$U$7,M1871=TH!$U$7),"x","")</f>
        <v/>
      </c>
      <c r="V1871" s="52" t="str">
        <f>IF(AND(B1871&gt;='IN-NX'!$P$3,B1871&lt;='IN-NX'!$Q$3,'IN-NX'!$D$7=D1871,OR(LEFT(L1871,2)="15",AND(LEFT(M1871,2)&lt;&gt;"15",LEFT(M1871,2)&lt;&gt;"33"))),"x","")</f>
        <v/>
      </c>
      <c r="W1871" s="52" t="str">
        <f>IF(AND(OR(LEFT(TH!L1871,2)="15",LEFT(TH!M1871,2)="15"),'152-CT'!$J$8=TH!F1871),"x","")</f>
        <v/>
      </c>
      <c r="X1871" s="52" t="str">
        <f>IF(AND(OR(LEFT(TH!L1871,2)="15",LEFT(TH!M1871,2)="15"),TK!$E$7=TH!F1871),"x","")</f>
        <v/>
      </c>
      <c r="Y1871" s="52" t="str">
        <f>IF(AND(B1871&lt;=NKC!$N$8,B1871&gt;=NKC!$M$8),"x","")</f>
        <v/>
      </c>
    </row>
    <row r="1872" spans="1:25" s="208" customFormat="1" ht="15.75" customHeight="1">
      <c r="A1872" s="201" t="str">
        <f>IF(B1872&lt;&gt;"",IF(AND(B1872&gt;=_TM1,B1872&lt;=_TM2,OR(TH!L1872="1111",TH!M1872="1111")),TH!D1872,""),"")</f>
        <v/>
      </c>
      <c r="B1872" s="36">
        <f t="shared" si="88"/>
        <v>6</v>
      </c>
      <c r="C1872" s="188">
        <f t="shared" si="90"/>
        <v>41451</v>
      </c>
      <c r="D1872" s="37" t="s">
        <v>457</v>
      </c>
      <c r="E1872" s="188">
        <v>41451</v>
      </c>
      <c r="F1872" s="189" t="s">
        <v>828</v>
      </c>
      <c r="G1872" s="480" t="s">
        <v>829</v>
      </c>
      <c r="H1872" s="7" t="s">
        <v>1258</v>
      </c>
      <c r="I1872" s="249">
        <v>1480</v>
      </c>
      <c r="J1872" s="249">
        <v>19196.235810810809</v>
      </c>
      <c r="K1872" s="595">
        <f t="shared" si="89"/>
        <v>28410429</v>
      </c>
      <c r="L1872" s="39" t="s">
        <v>170</v>
      </c>
      <c r="M1872" s="39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IF(OR(TH!L1872=TH!$U$7,M1872=TH!$U$7),"x","")</f>
        <v/>
      </c>
      <c r="V1872" s="52" t="str">
        <f>IF(AND(B1872&gt;='IN-NX'!$P$3,B1872&lt;='IN-NX'!$Q$3,'IN-NX'!$D$7=D1872,OR(LEFT(L1872,2)="15",AND(LEFT(M1872,2)&lt;&gt;"15",LEFT(M1872,2)&lt;&gt;"33"))),"x","")</f>
        <v/>
      </c>
      <c r="W1872" s="52" t="str">
        <f>IF(AND(OR(LEFT(TH!L1872,2)="15",LEFT(TH!M1872,2)="15"),'152-CT'!$J$8=TH!F1872),"x","")</f>
        <v/>
      </c>
      <c r="X1872" s="52" t="str">
        <f>IF(AND(OR(LEFT(TH!L1872,2)="15",LEFT(TH!M1872,2)="15"),TK!$E$7=TH!F1872),"x","")</f>
        <v/>
      </c>
      <c r="Y1872" s="52" t="str">
        <f>IF(AND(B1872&lt;=NKC!$N$8,B1872&gt;=NKC!$M$8),"x","")</f>
        <v/>
      </c>
    </row>
    <row r="1873" spans="1:25" s="208" customFormat="1" ht="15.75" customHeight="1">
      <c r="A1873" s="201" t="str">
        <f>IF(B1873&lt;&gt;"",IF(AND(B1873&gt;=_TM1,B1873&lt;=_TM2,OR(TH!L1873="1111",TH!M1873="1111")),TH!D1873,""),"")</f>
        <v/>
      </c>
      <c r="B1873" s="36">
        <f t="shared" si="88"/>
        <v>6</v>
      </c>
      <c r="C1873" s="188">
        <f t="shared" si="90"/>
        <v>41452</v>
      </c>
      <c r="D1873" s="37" t="s">
        <v>457</v>
      </c>
      <c r="E1873" s="188">
        <v>41452</v>
      </c>
      <c r="F1873" s="189" t="s">
        <v>1103</v>
      </c>
      <c r="G1873" s="480" t="s">
        <v>830</v>
      </c>
      <c r="H1873" s="7" t="s">
        <v>1258</v>
      </c>
      <c r="I1873" s="252">
        <v>3077</v>
      </c>
      <c r="J1873" s="252">
        <v>5872.6035099122519</v>
      </c>
      <c r="K1873" s="595">
        <f t="shared" si="89"/>
        <v>18070001</v>
      </c>
      <c r="L1873" s="39" t="s">
        <v>170</v>
      </c>
      <c r="M1873" s="39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IF(OR(TH!L1873=TH!$U$7,M1873=TH!$U$7),"x","")</f>
        <v/>
      </c>
      <c r="V1873" s="52" t="str">
        <f>IF(AND(B1873&gt;='IN-NX'!$P$3,B1873&lt;='IN-NX'!$Q$3,'IN-NX'!$D$7=D1873,OR(LEFT(L1873,2)="15",AND(LEFT(M1873,2)&lt;&gt;"15",LEFT(M1873,2)&lt;&gt;"33"))),"x","")</f>
        <v/>
      </c>
      <c r="W1873" s="52" t="str">
        <f>IF(AND(OR(LEFT(TH!L1873,2)="15",LEFT(TH!M1873,2)="15"),'152-CT'!$J$8=TH!F1873),"x","")</f>
        <v/>
      </c>
      <c r="X1873" s="52" t="str">
        <f>IF(AND(OR(LEFT(TH!L1873,2)="15",LEFT(TH!M1873,2)="15"),TK!$E$7=TH!F1873),"x","")</f>
        <v/>
      </c>
      <c r="Y1873" s="52" t="str">
        <f>IF(AND(B1873&lt;=NKC!$N$8,B1873&gt;=NKC!$M$8),"x","")</f>
        <v/>
      </c>
    </row>
    <row r="1874" spans="1:25" s="798" customFormat="1" ht="15.75" customHeight="1">
      <c r="A1874" s="201" t="str">
        <f>IF(B1874&lt;&gt;"",IF(AND(B1874&gt;=_TM1,B1874&lt;=_TM2,OR(TH!L1874="1111",TH!M1874="1111")),TH!D1874,""),"")</f>
        <v/>
      </c>
      <c r="B1874" s="796">
        <f t="shared" si="88"/>
        <v>7</v>
      </c>
      <c r="C1874" s="853">
        <f t="shared" si="90"/>
        <v>41460</v>
      </c>
      <c r="D1874" s="37" t="s">
        <v>457</v>
      </c>
      <c r="E1874" s="853">
        <v>41460</v>
      </c>
      <c r="F1874" s="874" t="s">
        <v>1131</v>
      </c>
      <c r="G1874" s="875" t="s">
        <v>831</v>
      </c>
      <c r="H1874" s="856" t="s">
        <v>1258</v>
      </c>
      <c r="I1874" s="863">
        <v>527</v>
      </c>
      <c r="J1874" s="863">
        <v>6729.5487972496712</v>
      </c>
      <c r="K1874" s="793">
        <f t="shared" si="89"/>
        <v>3546472</v>
      </c>
      <c r="L1874" s="786" t="s">
        <v>170</v>
      </c>
      <c r="M1874" s="786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IF(OR(TH!L1874=TH!$U$7,M1874=TH!$U$7),"x","")</f>
        <v/>
      </c>
      <c r="V1874" s="52" t="str">
        <f>IF(AND(B1874&gt;='IN-NX'!$P$3,B1874&lt;='IN-NX'!$Q$3,'IN-NX'!$D$7=D1874,OR(LEFT(L1874,2)="15",AND(LEFT(M1874,2)&lt;&gt;"15",LEFT(M1874,2)&lt;&gt;"33"))),"x","")</f>
        <v/>
      </c>
      <c r="W1874" s="52" t="str">
        <f>IF(AND(OR(LEFT(TH!L1874,2)="15",LEFT(TH!M1874,2)="15"),'152-CT'!$J$8=TH!F1874),"x","")</f>
        <v/>
      </c>
      <c r="X1874" s="52" t="str">
        <f>IF(AND(OR(LEFT(TH!L1874,2)="15",LEFT(TH!M1874,2)="15"),TK!$E$7=TH!F1874),"x","")</f>
        <v/>
      </c>
      <c r="Y1874" s="52" t="str">
        <f>IF(AND(B1874&lt;=NKC!$N$8,B1874&gt;=NKC!$M$8),"x","")</f>
        <v>x</v>
      </c>
    </row>
    <row r="1875" spans="1:25" s="208" customFormat="1" ht="15.75" customHeight="1">
      <c r="A1875" s="201" t="str">
        <f>IF(B1875&lt;&gt;"",IF(AND(B1875&gt;=_TM1,B1875&lt;=_TM2,OR(TH!L1875="1111",TH!M1875="1111")),TH!D1875,""),"")</f>
        <v/>
      </c>
      <c r="B1875" s="36">
        <f t="shared" si="88"/>
        <v>7</v>
      </c>
      <c r="C1875" s="188">
        <f t="shared" si="90"/>
        <v>41460</v>
      </c>
      <c r="D1875" s="37" t="s">
        <v>457</v>
      </c>
      <c r="E1875" s="188">
        <v>41460</v>
      </c>
      <c r="F1875" s="189" t="s">
        <v>833</v>
      </c>
      <c r="G1875" s="478" t="s">
        <v>831</v>
      </c>
      <c r="H1875" s="7" t="s">
        <v>1258</v>
      </c>
      <c r="I1875" s="249">
        <v>506</v>
      </c>
      <c r="J1875" s="249">
        <v>6786.2365517853768</v>
      </c>
      <c r="K1875" s="595">
        <f t="shared" si="89"/>
        <v>3433836</v>
      </c>
      <c r="L1875" s="39" t="s">
        <v>170</v>
      </c>
      <c r="M1875" s="39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IF(OR(TH!L1875=TH!$U$7,M1875=TH!$U$7),"x","")</f>
        <v/>
      </c>
      <c r="V1875" s="52" t="str">
        <f>IF(AND(B1875&gt;='IN-NX'!$P$3,B1875&lt;='IN-NX'!$Q$3,'IN-NX'!$D$7=D1875,OR(LEFT(L1875,2)="15",AND(LEFT(M1875,2)&lt;&gt;"15",LEFT(M1875,2)&lt;&gt;"33"))),"x","")</f>
        <v/>
      </c>
      <c r="W1875" s="52" t="str">
        <f>IF(AND(OR(LEFT(TH!L1875,2)="15",LEFT(TH!M1875,2)="15"),'152-CT'!$J$8=TH!F1875),"x","")</f>
        <v/>
      </c>
      <c r="X1875" s="52" t="str">
        <f>IF(AND(OR(LEFT(TH!L1875,2)="15",LEFT(TH!M1875,2)="15"),TK!$E$7=TH!F1875),"x","")</f>
        <v/>
      </c>
      <c r="Y1875" s="52" t="str">
        <f>IF(AND(B1875&lt;=NKC!$N$8,B1875&gt;=NKC!$M$8),"x","")</f>
        <v>x</v>
      </c>
    </row>
    <row r="1876" spans="1:25" s="208" customFormat="1" ht="15.75" customHeight="1">
      <c r="A1876" s="201" t="str">
        <f>IF(B1876&lt;&gt;"",IF(AND(B1876&gt;=_TM1,B1876&lt;=_TM2,OR(TH!L1876="1111",TH!M1876="1111")),TH!D1876,""),"")</f>
        <v/>
      </c>
      <c r="B1876" s="36">
        <f t="shared" si="88"/>
        <v>7</v>
      </c>
      <c r="C1876" s="188">
        <f t="shared" si="90"/>
        <v>41463</v>
      </c>
      <c r="D1876" s="37" t="s">
        <v>457</v>
      </c>
      <c r="E1876" s="735">
        <v>41463</v>
      </c>
      <c r="F1876" s="40" t="s">
        <v>834</v>
      </c>
      <c r="G1876" s="40" t="s">
        <v>835</v>
      </c>
      <c r="H1876" s="7" t="s">
        <v>1258</v>
      </c>
      <c r="I1876" s="249">
        <v>144</v>
      </c>
      <c r="J1876" s="249">
        <v>20664.658735579844</v>
      </c>
      <c r="K1876" s="595">
        <f t="shared" si="89"/>
        <v>2975711</v>
      </c>
      <c r="L1876" s="39" t="s">
        <v>170</v>
      </c>
      <c r="M1876" s="39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IF(OR(TH!L1876=TH!$U$7,M1876=TH!$U$7),"x","")</f>
        <v/>
      </c>
      <c r="V1876" s="52" t="str">
        <f>IF(AND(B1876&gt;='IN-NX'!$P$3,B1876&lt;='IN-NX'!$Q$3,'IN-NX'!$D$7=D1876,OR(LEFT(L1876,2)="15",AND(LEFT(M1876,2)&lt;&gt;"15",LEFT(M1876,2)&lt;&gt;"33"))),"x","")</f>
        <v/>
      </c>
      <c r="W1876" s="52" t="str">
        <f>IF(AND(OR(LEFT(TH!L1876,2)="15",LEFT(TH!M1876,2)="15"),'152-CT'!$J$8=TH!F1876),"x","")</f>
        <v/>
      </c>
      <c r="X1876" s="52" t="str">
        <f>IF(AND(OR(LEFT(TH!L1876,2)="15",LEFT(TH!M1876,2)="15"),TK!$E$7=TH!F1876),"x","")</f>
        <v/>
      </c>
      <c r="Y1876" s="52" t="str">
        <f>IF(AND(B1876&lt;=NKC!$N$8,B1876&gt;=NKC!$M$8),"x","")</f>
        <v>x</v>
      </c>
    </row>
    <row r="1877" spans="1:25" s="208" customFormat="1" ht="15.75" customHeight="1">
      <c r="A1877" s="201" t="str">
        <f>IF(B1877&lt;&gt;"",IF(AND(B1877&gt;=_TM1,B1877&lt;=_TM2,OR(TH!L1877="1111",TH!M1877="1111")),TH!D1877,""),"")</f>
        <v/>
      </c>
      <c r="B1877" s="36">
        <f t="shared" si="88"/>
        <v>7</v>
      </c>
      <c r="C1877" s="188">
        <f t="shared" si="90"/>
        <v>41463</v>
      </c>
      <c r="D1877" s="37" t="s">
        <v>457</v>
      </c>
      <c r="E1877" s="735">
        <v>41463</v>
      </c>
      <c r="F1877" s="186" t="s">
        <v>836</v>
      </c>
      <c r="G1877" s="40" t="s">
        <v>835</v>
      </c>
      <c r="H1877" s="7" t="s">
        <v>1258</v>
      </c>
      <c r="I1877" s="249">
        <v>115</v>
      </c>
      <c r="J1877" s="249">
        <v>20664.657105145056</v>
      </c>
      <c r="K1877" s="595">
        <f t="shared" si="89"/>
        <v>2376436</v>
      </c>
      <c r="L1877" s="39" t="s">
        <v>170</v>
      </c>
      <c r="M1877" s="39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IF(OR(TH!L1877=TH!$U$7,M1877=TH!$U$7),"x","")</f>
        <v/>
      </c>
      <c r="V1877" s="52" t="str">
        <f>IF(AND(B1877&gt;='IN-NX'!$P$3,B1877&lt;='IN-NX'!$Q$3,'IN-NX'!$D$7=D1877,OR(LEFT(L1877,2)="15",AND(LEFT(M1877,2)&lt;&gt;"15",LEFT(M1877,2)&lt;&gt;"33"))),"x","")</f>
        <v/>
      </c>
      <c r="W1877" s="52" t="str">
        <f>IF(AND(OR(LEFT(TH!L1877,2)="15",LEFT(TH!M1877,2)="15"),'152-CT'!$J$8=TH!F1877),"x","")</f>
        <v/>
      </c>
      <c r="X1877" s="52" t="str">
        <f>IF(AND(OR(LEFT(TH!L1877,2)="15",LEFT(TH!M1877,2)="15"),TK!$E$7=TH!F1877),"x","")</f>
        <v/>
      </c>
      <c r="Y1877" s="52" t="str">
        <f>IF(AND(B1877&lt;=NKC!$N$8,B1877&gt;=NKC!$M$8),"x","")</f>
        <v>x</v>
      </c>
    </row>
    <row r="1878" spans="1:25" s="208" customFormat="1" ht="15.75" customHeight="1">
      <c r="A1878" s="201" t="str">
        <f>IF(B1878&lt;&gt;"",IF(AND(B1878&gt;=_TM1,B1878&lt;=_TM2,OR(TH!L1878="1111",TH!M1878="1111")),TH!D1878,""),"")</f>
        <v/>
      </c>
      <c r="B1878" s="36">
        <f t="shared" ref="B1878:B1941" si="91">IF(C1878&lt;&gt;"",MONTH(C1878),"")</f>
        <v>7</v>
      </c>
      <c r="C1878" s="188">
        <f t="shared" si="90"/>
        <v>41463</v>
      </c>
      <c r="D1878" s="37" t="s">
        <v>457</v>
      </c>
      <c r="E1878" s="735">
        <v>41463</v>
      </c>
      <c r="F1878" s="186" t="s">
        <v>690</v>
      </c>
      <c r="G1878" s="40" t="s">
        <v>837</v>
      </c>
      <c r="H1878" s="7" t="s">
        <v>1258</v>
      </c>
      <c r="I1878" s="249">
        <v>592</v>
      </c>
      <c r="J1878" s="249">
        <v>5530.7786680122754</v>
      </c>
      <c r="K1878" s="595">
        <f t="shared" si="89"/>
        <v>3274221</v>
      </c>
      <c r="L1878" s="39" t="s">
        <v>170</v>
      </c>
      <c r="M1878" s="39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IF(OR(TH!L1878=TH!$U$7,M1878=TH!$U$7),"x","")</f>
        <v/>
      </c>
      <c r="V1878" s="52" t="str">
        <f>IF(AND(B1878&gt;='IN-NX'!$P$3,B1878&lt;='IN-NX'!$Q$3,'IN-NX'!$D$7=D1878,OR(LEFT(L1878,2)="15",AND(LEFT(M1878,2)&lt;&gt;"15",LEFT(M1878,2)&lt;&gt;"33"))),"x","")</f>
        <v/>
      </c>
      <c r="W1878" s="52" t="str">
        <f>IF(AND(OR(LEFT(TH!L1878,2)="15",LEFT(TH!M1878,2)="15"),'152-CT'!$J$8=TH!F1878),"x","")</f>
        <v/>
      </c>
      <c r="X1878" s="52" t="str">
        <f>IF(AND(OR(LEFT(TH!L1878,2)="15",LEFT(TH!M1878,2)="15"),TK!$E$7=TH!F1878),"x","")</f>
        <v/>
      </c>
      <c r="Y1878" s="52" t="str">
        <f>IF(AND(B1878&lt;=NKC!$N$8,B1878&gt;=NKC!$M$8),"x","")</f>
        <v>x</v>
      </c>
    </row>
    <row r="1879" spans="1:25" s="208" customFormat="1" ht="15.75" customHeight="1">
      <c r="A1879" s="201" t="str">
        <f>IF(B1879&lt;&gt;"",IF(AND(B1879&gt;=_TM1,B1879&lt;=_TM2,OR(TH!L1879="1111",TH!M1879="1111")),TH!D1879,""),"")</f>
        <v/>
      </c>
      <c r="B1879" s="36">
        <f t="shared" si="91"/>
        <v>7</v>
      </c>
      <c r="C1879" s="188">
        <f t="shared" si="90"/>
        <v>41463</v>
      </c>
      <c r="D1879" s="37" t="s">
        <v>457</v>
      </c>
      <c r="E1879" s="735">
        <v>41463</v>
      </c>
      <c r="F1879" s="186" t="s">
        <v>692</v>
      </c>
      <c r="G1879" s="40" t="s">
        <v>837</v>
      </c>
      <c r="H1879" s="7" t="s">
        <v>1258</v>
      </c>
      <c r="I1879" s="249">
        <v>609</v>
      </c>
      <c r="J1879" s="249">
        <v>4577.8868759739307</v>
      </c>
      <c r="K1879" s="595">
        <f t="shared" si="89"/>
        <v>2787933</v>
      </c>
      <c r="L1879" s="39" t="s">
        <v>170</v>
      </c>
      <c r="M1879" s="39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IF(OR(TH!L1879=TH!$U$7,M1879=TH!$U$7),"x","")</f>
        <v/>
      </c>
      <c r="V1879" s="52" t="str">
        <f>IF(AND(B1879&gt;='IN-NX'!$P$3,B1879&lt;='IN-NX'!$Q$3,'IN-NX'!$D$7=D1879,OR(LEFT(L1879,2)="15",AND(LEFT(M1879,2)&lt;&gt;"15",LEFT(M1879,2)&lt;&gt;"33"))),"x","")</f>
        <v/>
      </c>
      <c r="W1879" s="52" t="str">
        <f>IF(AND(OR(LEFT(TH!L1879,2)="15",LEFT(TH!M1879,2)="15"),'152-CT'!$J$8=TH!F1879),"x","")</f>
        <v/>
      </c>
      <c r="X1879" s="52" t="str">
        <f>IF(AND(OR(LEFT(TH!L1879,2)="15",LEFT(TH!M1879,2)="15"),TK!$E$7=TH!F1879),"x","")</f>
        <v/>
      </c>
      <c r="Y1879" s="52" t="str">
        <f>IF(AND(B1879&lt;=NKC!$N$8,B1879&gt;=NKC!$M$8),"x","")</f>
        <v>x</v>
      </c>
    </row>
    <row r="1880" spans="1:25" s="208" customFormat="1" ht="15.75" customHeight="1">
      <c r="A1880" s="201" t="str">
        <f>IF(B1880&lt;&gt;"",IF(AND(B1880&gt;=_TM1,B1880&lt;=_TM2,OR(TH!L1880="1111",TH!M1880="1111")),TH!D1880,""),"")</f>
        <v/>
      </c>
      <c r="B1880" s="36">
        <f t="shared" si="91"/>
        <v>7</v>
      </c>
      <c r="C1880" s="188">
        <f t="shared" si="90"/>
        <v>41463</v>
      </c>
      <c r="D1880" s="37" t="s">
        <v>457</v>
      </c>
      <c r="E1880" s="735">
        <v>41463</v>
      </c>
      <c r="F1880" s="186" t="s">
        <v>838</v>
      </c>
      <c r="G1880" s="40" t="s">
        <v>837</v>
      </c>
      <c r="H1880" s="7" t="s">
        <v>1258</v>
      </c>
      <c r="I1880" s="249">
        <v>813</v>
      </c>
      <c r="J1880" s="249">
        <v>8774.8914385318712</v>
      </c>
      <c r="K1880" s="595">
        <f t="shared" si="89"/>
        <v>7133987</v>
      </c>
      <c r="L1880" s="39" t="s">
        <v>170</v>
      </c>
      <c r="M1880" s="39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IF(OR(TH!L1880=TH!$U$7,M1880=TH!$U$7),"x","")</f>
        <v/>
      </c>
      <c r="V1880" s="52" t="str">
        <f>IF(AND(B1880&gt;='IN-NX'!$P$3,B1880&lt;='IN-NX'!$Q$3,'IN-NX'!$D$7=D1880,OR(LEFT(L1880,2)="15",AND(LEFT(M1880,2)&lt;&gt;"15",LEFT(M1880,2)&lt;&gt;"33"))),"x","")</f>
        <v/>
      </c>
      <c r="W1880" s="52" t="str">
        <f>IF(AND(OR(LEFT(TH!L1880,2)="15",LEFT(TH!M1880,2)="15"),'152-CT'!$J$8=TH!F1880),"x","")</f>
        <v/>
      </c>
      <c r="X1880" s="52" t="str">
        <f>IF(AND(OR(LEFT(TH!L1880,2)="15",LEFT(TH!M1880,2)="15"),TK!$E$7=TH!F1880),"x","")</f>
        <v/>
      </c>
      <c r="Y1880" s="52" t="str">
        <f>IF(AND(B1880&lt;=NKC!$N$8,B1880&gt;=NKC!$M$8),"x","")</f>
        <v>x</v>
      </c>
    </row>
    <row r="1881" spans="1:25" s="208" customFormat="1" ht="15.75" customHeight="1">
      <c r="A1881" s="201" t="str">
        <f>IF(B1881&lt;&gt;"",IF(AND(B1881&gt;=_TM1,B1881&lt;=_TM2,OR(TH!L1881="1111",TH!M1881="1111")),TH!D1881,""),"")</f>
        <v/>
      </c>
      <c r="B1881" s="36">
        <f t="shared" si="91"/>
        <v>7</v>
      </c>
      <c r="C1881" s="188">
        <f t="shared" si="90"/>
        <v>41463</v>
      </c>
      <c r="D1881" s="37" t="s">
        <v>457</v>
      </c>
      <c r="E1881" s="735">
        <v>41463</v>
      </c>
      <c r="F1881" s="290" t="s">
        <v>839</v>
      </c>
      <c r="G1881" s="40" t="s">
        <v>837</v>
      </c>
      <c r="H1881" s="7" t="s">
        <v>1258</v>
      </c>
      <c r="I1881" s="249">
        <v>656</v>
      </c>
      <c r="J1881" s="249">
        <v>7703.346235579841</v>
      </c>
      <c r="K1881" s="595">
        <f t="shared" si="89"/>
        <v>5053395</v>
      </c>
      <c r="L1881" s="39" t="s">
        <v>170</v>
      </c>
      <c r="M1881" s="39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IF(OR(TH!L1881=TH!$U$7,M1881=TH!$U$7),"x","")</f>
        <v/>
      </c>
      <c r="V1881" s="52" t="str">
        <f>IF(AND(B1881&gt;='IN-NX'!$P$3,B1881&lt;='IN-NX'!$Q$3,'IN-NX'!$D$7=D1881,OR(LEFT(L1881,2)="15",AND(LEFT(M1881,2)&lt;&gt;"15",LEFT(M1881,2)&lt;&gt;"33"))),"x","")</f>
        <v/>
      </c>
      <c r="W1881" s="52" t="str">
        <f>IF(AND(OR(LEFT(TH!L1881,2)="15",LEFT(TH!M1881,2)="15"),'152-CT'!$J$8=TH!F1881),"x","")</f>
        <v/>
      </c>
      <c r="X1881" s="52" t="str">
        <f>IF(AND(OR(LEFT(TH!L1881,2)="15",LEFT(TH!M1881,2)="15"),TK!$E$7=TH!F1881),"x","")</f>
        <v/>
      </c>
      <c r="Y1881" s="52" t="str">
        <f>IF(AND(B1881&lt;=NKC!$N$8,B1881&gt;=NKC!$M$8),"x","")</f>
        <v>x</v>
      </c>
    </row>
    <row r="1882" spans="1:25" s="208" customFormat="1" ht="15.75" customHeight="1">
      <c r="A1882" s="201" t="str">
        <f>IF(B1882&lt;&gt;"",IF(AND(B1882&gt;=_TM1,B1882&lt;=_TM2,OR(TH!L1882="1111",TH!M1882="1111")),TH!D1882,""),"")</f>
        <v/>
      </c>
      <c r="B1882" s="36">
        <f t="shared" si="91"/>
        <v>7</v>
      </c>
      <c r="C1882" s="188">
        <f t="shared" si="90"/>
        <v>41475</v>
      </c>
      <c r="D1882" s="37" t="s">
        <v>457</v>
      </c>
      <c r="E1882" s="735">
        <v>41475</v>
      </c>
      <c r="F1882" s="290" t="s">
        <v>698</v>
      </c>
      <c r="G1882" s="40" t="s">
        <v>840</v>
      </c>
      <c r="H1882" s="7" t="s">
        <v>1258</v>
      </c>
      <c r="I1882" s="249">
        <v>1027</v>
      </c>
      <c r="J1882" s="249">
        <v>8485.9565082185945</v>
      </c>
      <c r="K1882" s="595">
        <f t="shared" ref="K1882:K1945" si="92">ROUND(I1882*J1882,0)</f>
        <v>8715077</v>
      </c>
      <c r="L1882" s="39" t="s">
        <v>170</v>
      </c>
      <c r="M1882" s="39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IF(OR(TH!L1882=TH!$U$7,M1882=TH!$U$7),"x","")</f>
        <v/>
      </c>
      <c r="V1882" s="52" t="str">
        <f>IF(AND(B1882&gt;='IN-NX'!$P$3,B1882&lt;='IN-NX'!$Q$3,'IN-NX'!$D$7=D1882,OR(LEFT(L1882,2)="15",AND(LEFT(M1882,2)&lt;&gt;"15",LEFT(M1882,2)&lt;&gt;"33"))),"x","")</f>
        <v/>
      </c>
      <c r="W1882" s="52" t="str">
        <f>IF(AND(OR(LEFT(TH!L1882,2)="15",LEFT(TH!M1882,2)="15"),'152-CT'!$J$8=TH!F1882),"x","")</f>
        <v/>
      </c>
      <c r="X1882" s="52" t="str">
        <f>IF(AND(OR(LEFT(TH!L1882,2)="15",LEFT(TH!M1882,2)="15"),TK!$E$7=TH!F1882),"x","")</f>
        <v/>
      </c>
      <c r="Y1882" s="52" t="str">
        <f>IF(AND(B1882&lt;=NKC!$N$8,B1882&gt;=NKC!$M$8),"x","")</f>
        <v>x</v>
      </c>
    </row>
    <row r="1883" spans="1:25" s="208" customFormat="1" ht="15.75" customHeight="1">
      <c r="A1883" s="201" t="str">
        <f>IF(B1883&lt;&gt;"",IF(AND(B1883&gt;=_TM1,B1883&lt;=_TM2,OR(TH!L1883="1111",TH!M1883="1111")),TH!D1883,""),"")</f>
        <v/>
      </c>
      <c r="B1883" s="36">
        <f t="shared" si="91"/>
        <v>7</v>
      </c>
      <c r="C1883" s="188">
        <f t="shared" si="90"/>
        <v>41475</v>
      </c>
      <c r="D1883" s="37" t="s">
        <v>457</v>
      </c>
      <c r="E1883" s="181">
        <v>41475</v>
      </c>
      <c r="F1883" s="186" t="s">
        <v>805</v>
      </c>
      <c r="G1883" s="597" t="s">
        <v>841</v>
      </c>
      <c r="H1883" s="7" t="s">
        <v>1258</v>
      </c>
      <c r="I1883" s="249">
        <v>749</v>
      </c>
      <c r="J1883" s="249">
        <v>9919.8165293048096</v>
      </c>
      <c r="K1883" s="595">
        <f t="shared" si="92"/>
        <v>7429943</v>
      </c>
      <c r="L1883" s="39" t="s">
        <v>170</v>
      </c>
      <c r="M1883" s="39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IF(OR(TH!L1883=TH!$U$7,M1883=TH!$U$7),"x","")</f>
        <v/>
      </c>
      <c r="V1883" s="52" t="str">
        <f>IF(AND(B1883&gt;='IN-NX'!$P$3,B1883&lt;='IN-NX'!$Q$3,'IN-NX'!$D$7=D1883,OR(LEFT(L1883,2)="15",AND(LEFT(M1883,2)&lt;&gt;"15",LEFT(M1883,2)&lt;&gt;"33"))),"x","")</f>
        <v/>
      </c>
      <c r="W1883" s="52" t="str">
        <f>IF(AND(OR(LEFT(TH!L1883,2)="15",LEFT(TH!M1883,2)="15"),'152-CT'!$J$8=TH!F1883),"x","")</f>
        <v/>
      </c>
      <c r="X1883" s="52" t="str">
        <f>IF(AND(OR(LEFT(TH!L1883,2)="15",LEFT(TH!M1883,2)="15"),TK!$E$7=TH!F1883),"x","")</f>
        <v/>
      </c>
      <c r="Y1883" s="52" t="str">
        <f>IF(AND(B1883&lt;=NKC!$N$8,B1883&gt;=NKC!$M$8),"x","")</f>
        <v>x</v>
      </c>
    </row>
    <row r="1884" spans="1:25" s="208" customFormat="1" ht="15.75" customHeight="1">
      <c r="A1884" s="201" t="str">
        <f>IF(B1884&lt;&gt;"",IF(AND(B1884&gt;=_TM1,B1884&lt;=_TM2,OR(TH!L1884="1111",TH!M1884="1111")),TH!D1884,""),"")</f>
        <v/>
      </c>
      <c r="B1884" s="36">
        <f t="shared" si="91"/>
        <v>7</v>
      </c>
      <c r="C1884" s="188">
        <f t="shared" si="90"/>
        <v>41477</v>
      </c>
      <c r="D1884" s="37" t="s">
        <v>457</v>
      </c>
      <c r="E1884" s="188">
        <v>41477</v>
      </c>
      <c r="F1884" s="189" t="s">
        <v>1122</v>
      </c>
      <c r="G1884" s="480" t="s">
        <v>842</v>
      </c>
      <c r="H1884" s="7" t="s">
        <v>1258</v>
      </c>
      <c r="I1884" s="249">
        <v>1527</v>
      </c>
      <c r="J1884" s="249">
        <v>4464.9053383958217</v>
      </c>
      <c r="K1884" s="595">
        <f t="shared" si="92"/>
        <v>6817910</v>
      </c>
      <c r="L1884" s="39" t="s">
        <v>170</v>
      </c>
      <c r="M1884" s="39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IF(OR(TH!L1884=TH!$U$7,M1884=TH!$U$7),"x","")</f>
        <v/>
      </c>
      <c r="V1884" s="52" t="str">
        <f>IF(AND(B1884&gt;='IN-NX'!$P$3,B1884&lt;='IN-NX'!$Q$3,'IN-NX'!$D$7=D1884,OR(LEFT(L1884,2)="15",AND(LEFT(M1884,2)&lt;&gt;"15",LEFT(M1884,2)&lt;&gt;"33"))),"x","")</f>
        <v/>
      </c>
      <c r="W1884" s="52" t="str">
        <f>IF(AND(OR(LEFT(TH!L1884,2)="15",LEFT(TH!M1884,2)="15"),'152-CT'!$J$8=TH!F1884),"x","")</f>
        <v/>
      </c>
      <c r="X1884" s="52" t="str">
        <f>IF(AND(OR(LEFT(TH!L1884,2)="15",LEFT(TH!M1884,2)="15"),TK!$E$7=TH!F1884),"x","")</f>
        <v/>
      </c>
      <c r="Y1884" s="52" t="str">
        <f>IF(AND(B1884&lt;=NKC!$N$8,B1884&gt;=NKC!$M$8),"x","")</f>
        <v>x</v>
      </c>
    </row>
    <row r="1885" spans="1:25" s="208" customFormat="1" ht="15.75" customHeight="1">
      <c r="A1885" s="201" t="str">
        <f>IF(B1885&lt;&gt;"",IF(AND(B1885&gt;=_TM1,B1885&lt;=_TM2,OR(TH!L1885="1111",TH!M1885="1111")),TH!D1885,""),"")</f>
        <v/>
      </c>
      <c r="B1885" s="36">
        <f t="shared" si="91"/>
        <v>7</v>
      </c>
      <c r="C1885" s="188">
        <f t="shared" si="90"/>
        <v>41477</v>
      </c>
      <c r="D1885" s="37" t="s">
        <v>457</v>
      </c>
      <c r="E1885" s="188">
        <v>41477</v>
      </c>
      <c r="F1885" s="189" t="s">
        <v>843</v>
      </c>
      <c r="G1885" s="480" t="s">
        <v>842</v>
      </c>
      <c r="H1885" s="7" t="s">
        <v>1258</v>
      </c>
      <c r="I1885" s="249">
        <v>996</v>
      </c>
      <c r="J1885" s="249">
        <v>10749.606275740483</v>
      </c>
      <c r="K1885" s="595">
        <f t="shared" si="92"/>
        <v>10706608</v>
      </c>
      <c r="L1885" s="39" t="s">
        <v>170</v>
      </c>
      <c r="M1885" s="39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IF(OR(TH!L1885=TH!$U$7,M1885=TH!$U$7),"x","")</f>
        <v/>
      </c>
      <c r="V1885" s="52" t="str">
        <f>IF(AND(B1885&gt;='IN-NX'!$P$3,B1885&lt;='IN-NX'!$Q$3,'IN-NX'!$D$7=D1885,OR(LEFT(L1885,2)="15",AND(LEFT(M1885,2)&lt;&gt;"15",LEFT(M1885,2)&lt;&gt;"33"))),"x","")</f>
        <v/>
      </c>
      <c r="W1885" s="52" t="str">
        <f>IF(AND(OR(LEFT(TH!L1885,2)="15",LEFT(TH!M1885,2)="15"),'152-CT'!$J$8=TH!F1885),"x","")</f>
        <v/>
      </c>
      <c r="X1885" s="52" t="str">
        <f>IF(AND(OR(LEFT(TH!L1885,2)="15",LEFT(TH!M1885,2)="15"),TK!$E$7=TH!F1885),"x","")</f>
        <v/>
      </c>
      <c r="Y1885" s="52" t="str">
        <f>IF(AND(B1885&lt;=NKC!$N$8,B1885&gt;=NKC!$M$8),"x","")</f>
        <v>x</v>
      </c>
    </row>
    <row r="1886" spans="1:25" s="208" customFormat="1" ht="15.75" customHeight="1">
      <c r="A1886" s="201" t="str">
        <f>IF(B1886&lt;&gt;"",IF(AND(B1886&gt;=_TM1,B1886&lt;=_TM2,OR(TH!L1886="1111",TH!M1886="1111")),TH!D1886,""),"")</f>
        <v/>
      </c>
      <c r="B1886" s="36">
        <f t="shared" si="91"/>
        <v>7</v>
      </c>
      <c r="C1886" s="188">
        <f t="shared" si="90"/>
        <v>41477</v>
      </c>
      <c r="D1886" s="37" t="s">
        <v>457</v>
      </c>
      <c r="E1886" s="188">
        <v>41477</v>
      </c>
      <c r="F1886" s="189" t="s">
        <v>844</v>
      </c>
      <c r="G1886" s="480" t="s">
        <v>845</v>
      </c>
      <c r="H1886" s="7" t="s">
        <v>1258</v>
      </c>
      <c r="I1886" s="249">
        <v>50</v>
      </c>
      <c r="J1886" s="249">
        <v>36988.59623557984</v>
      </c>
      <c r="K1886" s="595">
        <f t="shared" si="92"/>
        <v>1849430</v>
      </c>
      <c r="L1886" s="39" t="s">
        <v>170</v>
      </c>
      <c r="M1886" s="39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IF(OR(TH!L1886=TH!$U$7,M1886=TH!$U$7),"x","")</f>
        <v/>
      </c>
      <c r="V1886" s="52" t="str">
        <f>IF(AND(B1886&gt;='IN-NX'!$P$3,B1886&lt;='IN-NX'!$Q$3,'IN-NX'!$D$7=D1886,OR(LEFT(L1886,2)="15",AND(LEFT(M1886,2)&lt;&gt;"15",LEFT(M1886,2)&lt;&gt;"33"))),"x","")</f>
        <v/>
      </c>
      <c r="W1886" s="52" t="str">
        <f>IF(AND(OR(LEFT(TH!L1886,2)="15",LEFT(TH!M1886,2)="15"),'152-CT'!$J$8=TH!F1886),"x","")</f>
        <v/>
      </c>
      <c r="X1886" s="52" t="str">
        <f>IF(AND(OR(LEFT(TH!L1886,2)="15",LEFT(TH!M1886,2)="15"),TK!$E$7=TH!F1886),"x","")</f>
        <v/>
      </c>
      <c r="Y1886" s="52" t="str">
        <f>IF(AND(B1886&lt;=NKC!$N$8,B1886&gt;=NKC!$M$8),"x","")</f>
        <v>x</v>
      </c>
    </row>
    <row r="1887" spans="1:25" s="208" customFormat="1" ht="15.75" customHeight="1">
      <c r="A1887" s="201" t="str">
        <f>IF(B1887&lt;&gt;"",IF(AND(B1887&gt;=_TM1,B1887&lt;=_TM2,OR(TH!L1887="1111",TH!M1887="1111")),TH!D1887,""),"")</f>
        <v/>
      </c>
      <c r="B1887" s="36">
        <f t="shared" si="91"/>
        <v>7</v>
      </c>
      <c r="C1887" s="188">
        <f t="shared" si="90"/>
        <v>41477</v>
      </c>
      <c r="D1887" s="37" t="s">
        <v>457</v>
      </c>
      <c r="E1887" s="37">
        <v>41477</v>
      </c>
      <c r="F1887" s="40" t="s">
        <v>847</v>
      </c>
      <c r="G1887" s="40" t="s">
        <v>845</v>
      </c>
      <c r="H1887" s="7" t="s">
        <v>1258</v>
      </c>
      <c r="I1887" s="249">
        <v>50</v>
      </c>
      <c r="J1887" s="249">
        <v>40749.59623557984</v>
      </c>
      <c r="K1887" s="595">
        <f t="shared" si="92"/>
        <v>2037480</v>
      </c>
      <c r="L1887" s="39" t="s">
        <v>170</v>
      </c>
      <c r="M1887" s="39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IF(OR(TH!L1887=TH!$U$7,M1887=TH!$U$7),"x","")</f>
        <v/>
      </c>
      <c r="V1887" s="52" t="str">
        <f>IF(AND(B1887&gt;='IN-NX'!$P$3,B1887&lt;='IN-NX'!$Q$3,'IN-NX'!$D$7=D1887,OR(LEFT(L1887,2)="15",AND(LEFT(M1887,2)&lt;&gt;"15",LEFT(M1887,2)&lt;&gt;"33"))),"x","")</f>
        <v/>
      </c>
      <c r="W1887" s="52" t="str">
        <f>IF(AND(OR(LEFT(TH!L1887,2)="15",LEFT(TH!M1887,2)="15"),'152-CT'!$J$8=TH!F1887),"x","")</f>
        <v/>
      </c>
      <c r="X1887" s="52" t="str">
        <f>IF(AND(OR(LEFT(TH!L1887,2)="15",LEFT(TH!M1887,2)="15"),TK!$E$7=TH!F1887),"x","")</f>
        <v/>
      </c>
      <c r="Y1887" s="52" t="str">
        <f>IF(AND(B1887&lt;=NKC!$N$8,B1887&gt;=NKC!$M$8),"x","")</f>
        <v>x</v>
      </c>
    </row>
    <row r="1888" spans="1:25" s="208" customFormat="1" ht="15.75" customHeight="1">
      <c r="A1888" s="201" t="str">
        <f>IF(B1888&lt;&gt;"",IF(AND(B1888&gt;=_TM1,B1888&lt;=_TM2,OR(TH!L1888="1111",TH!M1888="1111")),TH!D1888,""),"")</f>
        <v/>
      </c>
      <c r="B1888" s="36">
        <f t="shared" si="91"/>
        <v>7</v>
      </c>
      <c r="C1888" s="188">
        <f t="shared" si="90"/>
        <v>41477</v>
      </c>
      <c r="D1888" s="37" t="s">
        <v>457</v>
      </c>
      <c r="E1888" s="37">
        <v>41477</v>
      </c>
      <c r="F1888" s="40" t="s">
        <v>848</v>
      </c>
      <c r="G1888" s="40" t="s">
        <v>845</v>
      </c>
      <c r="H1888" s="7" t="s">
        <v>1258</v>
      </c>
      <c r="I1888" s="249">
        <v>20</v>
      </c>
      <c r="J1888" s="249">
        <v>49462.096235579847</v>
      </c>
      <c r="K1888" s="595">
        <f t="shared" si="92"/>
        <v>989242</v>
      </c>
      <c r="L1888" s="39" t="s">
        <v>170</v>
      </c>
      <c r="M1888" s="39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IF(OR(TH!L1888=TH!$U$7,M1888=TH!$U$7),"x","")</f>
        <v/>
      </c>
      <c r="V1888" s="52" t="str">
        <f>IF(AND(B1888&gt;='IN-NX'!$P$3,B1888&lt;='IN-NX'!$Q$3,'IN-NX'!$D$7=D1888,OR(LEFT(L1888,2)="15",AND(LEFT(M1888,2)&lt;&gt;"15",LEFT(M1888,2)&lt;&gt;"33"))),"x","")</f>
        <v/>
      </c>
      <c r="W1888" s="52" t="str">
        <f>IF(AND(OR(LEFT(TH!L1888,2)="15",LEFT(TH!M1888,2)="15"),'152-CT'!$J$8=TH!F1888),"x","")</f>
        <v/>
      </c>
      <c r="X1888" s="52" t="str">
        <f>IF(AND(OR(LEFT(TH!L1888,2)="15",LEFT(TH!M1888,2)="15"),TK!$E$7=TH!F1888),"x","")</f>
        <v/>
      </c>
      <c r="Y1888" s="52" t="str">
        <f>IF(AND(B1888&lt;=NKC!$N$8,B1888&gt;=NKC!$M$8),"x","")</f>
        <v>x</v>
      </c>
    </row>
    <row r="1889" spans="1:25" s="208" customFormat="1" ht="15.75" customHeight="1">
      <c r="A1889" s="201" t="str">
        <f>IF(B1889&lt;&gt;"",IF(AND(B1889&gt;=_TM1,B1889&lt;=_TM2,OR(TH!L1889="1111",TH!M1889="1111")),TH!D1889,""),"")</f>
        <v/>
      </c>
      <c r="B1889" s="36">
        <f t="shared" si="91"/>
        <v>7</v>
      </c>
      <c r="C1889" s="188">
        <f t="shared" si="90"/>
        <v>41477</v>
      </c>
      <c r="D1889" s="37" t="s">
        <v>457</v>
      </c>
      <c r="E1889" s="188">
        <v>41477</v>
      </c>
      <c r="F1889" s="189" t="s">
        <v>849</v>
      </c>
      <c r="G1889" s="480" t="s">
        <v>845</v>
      </c>
      <c r="H1889" s="7" t="s">
        <v>1258</v>
      </c>
      <c r="I1889" s="249">
        <v>20</v>
      </c>
      <c r="J1889" s="249">
        <v>53358.696235579831</v>
      </c>
      <c r="K1889" s="595">
        <f t="shared" si="92"/>
        <v>1067174</v>
      </c>
      <c r="L1889" s="39" t="s">
        <v>170</v>
      </c>
      <c r="M1889" s="39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IF(OR(TH!L1889=TH!$U$7,M1889=TH!$U$7),"x","")</f>
        <v/>
      </c>
      <c r="V1889" s="52" t="str">
        <f>IF(AND(B1889&gt;='IN-NX'!$P$3,B1889&lt;='IN-NX'!$Q$3,'IN-NX'!$D$7=D1889,OR(LEFT(L1889,2)="15",AND(LEFT(M1889,2)&lt;&gt;"15",LEFT(M1889,2)&lt;&gt;"33"))),"x","")</f>
        <v/>
      </c>
      <c r="W1889" s="52" t="str">
        <f>IF(AND(OR(LEFT(TH!L1889,2)="15",LEFT(TH!M1889,2)="15"),'152-CT'!$J$8=TH!F1889),"x","")</f>
        <v/>
      </c>
      <c r="X1889" s="52" t="str">
        <f>IF(AND(OR(LEFT(TH!L1889,2)="15",LEFT(TH!M1889,2)="15"),TK!$E$7=TH!F1889),"x","")</f>
        <v/>
      </c>
      <c r="Y1889" s="52" t="str">
        <f>IF(AND(B1889&lt;=NKC!$N$8,B1889&gt;=NKC!$M$8),"x","")</f>
        <v>x</v>
      </c>
    </row>
    <row r="1890" spans="1:25" s="208" customFormat="1" ht="15.75" customHeight="1">
      <c r="A1890" s="201" t="str">
        <f>IF(B1890&lt;&gt;"",IF(AND(B1890&gt;=_TM1,B1890&lt;=_TM2,OR(TH!L1890="1111",TH!M1890="1111")),TH!D1890,""),"")</f>
        <v/>
      </c>
      <c r="B1890" s="36">
        <f t="shared" si="91"/>
        <v>7</v>
      </c>
      <c r="C1890" s="188">
        <f t="shared" si="90"/>
        <v>41477</v>
      </c>
      <c r="D1890" s="37" t="s">
        <v>457</v>
      </c>
      <c r="E1890" s="188">
        <v>41477</v>
      </c>
      <c r="F1890" s="189" t="s">
        <v>850</v>
      </c>
      <c r="G1890" s="480" t="s">
        <v>845</v>
      </c>
      <c r="H1890" s="7" t="s">
        <v>1258</v>
      </c>
      <c r="I1890" s="249">
        <v>20</v>
      </c>
      <c r="J1890" s="249">
        <v>55306.996235579834</v>
      </c>
      <c r="K1890" s="595">
        <f t="shared" si="92"/>
        <v>1106140</v>
      </c>
      <c r="L1890" s="39" t="s">
        <v>170</v>
      </c>
      <c r="M1890" s="39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IF(OR(TH!L1890=TH!$U$7,M1890=TH!$U$7),"x","")</f>
        <v/>
      </c>
      <c r="V1890" s="52" t="str">
        <f>IF(AND(B1890&gt;='IN-NX'!$P$3,B1890&lt;='IN-NX'!$Q$3,'IN-NX'!$D$7=D1890,OR(LEFT(L1890,2)="15",AND(LEFT(M1890,2)&lt;&gt;"15",LEFT(M1890,2)&lt;&gt;"33"))),"x","")</f>
        <v/>
      </c>
      <c r="W1890" s="52" t="str">
        <f>IF(AND(OR(LEFT(TH!L1890,2)="15",LEFT(TH!M1890,2)="15"),'152-CT'!$J$8=TH!F1890),"x","")</f>
        <v/>
      </c>
      <c r="X1890" s="52" t="str">
        <f>IF(AND(OR(LEFT(TH!L1890,2)="15",LEFT(TH!M1890,2)="15"),TK!$E$7=TH!F1890),"x","")</f>
        <v/>
      </c>
      <c r="Y1890" s="52" t="str">
        <f>IF(AND(B1890&lt;=NKC!$N$8,B1890&gt;=NKC!$M$8),"x","")</f>
        <v>x</v>
      </c>
    </row>
    <row r="1891" spans="1:25" s="208" customFormat="1" ht="15.75" customHeight="1">
      <c r="A1891" s="201" t="str">
        <f>IF(B1891&lt;&gt;"",IF(AND(B1891&gt;=_TM1,B1891&lt;=_TM2,OR(TH!L1891="1111",TH!M1891="1111")),TH!D1891,""),"")</f>
        <v/>
      </c>
      <c r="B1891" s="36">
        <f t="shared" si="91"/>
        <v>7</v>
      </c>
      <c r="C1891" s="188">
        <f t="shared" si="90"/>
        <v>41477</v>
      </c>
      <c r="D1891" s="37" t="s">
        <v>457</v>
      </c>
      <c r="E1891" s="188">
        <v>41477</v>
      </c>
      <c r="F1891" s="189" t="s">
        <v>851</v>
      </c>
      <c r="G1891" s="480" t="s">
        <v>845</v>
      </c>
      <c r="H1891" s="7" t="s">
        <v>1258</v>
      </c>
      <c r="I1891" s="249">
        <v>20</v>
      </c>
      <c r="J1891" s="249">
        <v>59203.596235579833</v>
      </c>
      <c r="K1891" s="595">
        <f t="shared" si="92"/>
        <v>1184072</v>
      </c>
      <c r="L1891" s="39" t="s">
        <v>170</v>
      </c>
      <c r="M1891" s="39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IF(OR(TH!L1891=TH!$U$7,M1891=TH!$U$7),"x","")</f>
        <v/>
      </c>
      <c r="V1891" s="52" t="str">
        <f>IF(AND(B1891&gt;='IN-NX'!$P$3,B1891&lt;='IN-NX'!$Q$3,'IN-NX'!$D$7=D1891,OR(LEFT(L1891,2)="15",AND(LEFT(M1891,2)&lt;&gt;"15",LEFT(M1891,2)&lt;&gt;"33"))),"x","")</f>
        <v/>
      </c>
      <c r="W1891" s="52" t="str">
        <f>IF(AND(OR(LEFT(TH!L1891,2)="15",LEFT(TH!M1891,2)="15"),'152-CT'!$J$8=TH!F1891),"x","")</f>
        <v/>
      </c>
      <c r="X1891" s="52" t="str">
        <f>IF(AND(OR(LEFT(TH!L1891,2)="15",LEFT(TH!M1891,2)="15"),TK!$E$7=TH!F1891),"x","")</f>
        <v/>
      </c>
      <c r="Y1891" s="52" t="str">
        <f>IF(AND(B1891&lt;=NKC!$N$8,B1891&gt;=NKC!$M$8),"x","")</f>
        <v>x</v>
      </c>
    </row>
    <row r="1892" spans="1:25" s="208" customFormat="1" ht="15.75" customHeight="1">
      <c r="A1892" s="201" t="str">
        <f>IF(B1892&lt;&gt;"",IF(AND(B1892&gt;=_TM1,B1892&lt;=_TM2,OR(TH!L1892="1111",TH!M1892="1111")),TH!D1892,""),"")</f>
        <v/>
      </c>
      <c r="B1892" s="36">
        <f t="shared" si="91"/>
        <v>7</v>
      </c>
      <c r="C1892" s="188">
        <f t="shared" si="90"/>
        <v>41479</v>
      </c>
      <c r="D1892" s="37" t="s">
        <v>457</v>
      </c>
      <c r="E1892" s="188">
        <v>41479</v>
      </c>
      <c r="F1892" s="189" t="s">
        <v>852</v>
      </c>
      <c r="G1892" s="480" t="s">
        <v>853</v>
      </c>
      <c r="H1892" s="7" t="s">
        <v>1258</v>
      </c>
      <c r="I1892" s="249">
        <v>259</v>
      </c>
      <c r="J1892" s="249">
        <v>7470.9282819118889</v>
      </c>
      <c r="K1892" s="595">
        <f t="shared" si="92"/>
        <v>1934970</v>
      </c>
      <c r="L1892" s="39" t="s">
        <v>170</v>
      </c>
      <c r="M1892" s="39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IF(OR(TH!L1892=TH!$U$7,M1892=TH!$U$7),"x","")</f>
        <v/>
      </c>
      <c r="V1892" s="52" t="str">
        <f>IF(AND(B1892&gt;='IN-NX'!$P$3,B1892&lt;='IN-NX'!$Q$3,'IN-NX'!$D$7=D1892,OR(LEFT(L1892,2)="15",AND(LEFT(M1892,2)&lt;&gt;"15",LEFT(M1892,2)&lt;&gt;"33"))),"x","")</f>
        <v/>
      </c>
      <c r="W1892" s="52" t="str">
        <f>IF(AND(OR(LEFT(TH!L1892,2)="15",LEFT(TH!M1892,2)="15"),'152-CT'!$J$8=TH!F1892),"x","")</f>
        <v/>
      </c>
      <c r="X1892" s="52" t="str">
        <f>IF(AND(OR(LEFT(TH!L1892,2)="15",LEFT(TH!M1892,2)="15"),TK!$E$7=TH!F1892),"x","")</f>
        <v/>
      </c>
      <c r="Y1892" s="52" t="str">
        <f>IF(AND(B1892&lt;=NKC!$N$8,B1892&gt;=NKC!$M$8),"x","")</f>
        <v>x</v>
      </c>
    </row>
    <row r="1893" spans="1:25" s="208" customFormat="1" ht="15.75" customHeight="1">
      <c r="A1893" s="201" t="str">
        <f>IF(B1893&lt;&gt;"",IF(AND(B1893&gt;=_TM1,B1893&lt;=_TM2,OR(TH!L1893="1111",TH!M1893="1111")),TH!D1893,""),"")</f>
        <v/>
      </c>
      <c r="B1893" s="36">
        <f t="shared" si="91"/>
        <v>7</v>
      </c>
      <c r="C1893" s="188">
        <f t="shared" si="90"/>
        <v>41479</v>
      </c>
      <c r="D1893" s="37" t="s">
        <v>457</v>
      </c>
      <c r="E1893" s="188">
        <v>41479</v>
      </c>
      <c r="F1893" s="189" t="s">
        <v>810</v>
      </c>
      <c r="G1893" s="480" t="s">
        <v>853</v>
      </c>
      <c r="H1893" s="7" t="s">
        <v>1258</v>
      </c>
      <c r="I1893" s="249">
        <v>101</v>
      </c>
      <c r="J1893" s="249">
        <v>10078.596235579842</v>
      </c>
      <c r="K1893" s="595">
        <f t="shared" si="92"/>
        <v>1017938</v>
      </c>
      <c r="L1893" s="39" t="s">
        <v>170</v>
      </c>
      <c r="M1893" s="39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IF(OR(TH!L1893=TH!$U$7,M1893=TH!$U$7),"x","")</f>
        <v/>
      </c>
      <c r="V1893" s="52" t="str">
        <f>IF(AND(B1893&gt;='IN-NX'!$P$3,B1893&lt;='IN-NX'!$Q$3,'IN-NX'!$D$7=D1893,OR(LEFT(L1893,2)="15",AND(LEFT(M1893,2)&lt;&gt;"15",LEFT(M1893,2)&lt;&gt;"33"))),"x","")</f>
        <v/>
      </c>
      <c r="W1893" s="52" t="str">
        <f>IF(AND(OR(LEFT(TH!L1893,2)="15",LEFT(TH!M1893,2)="15"),'152-CT'!$J$8=TH!F1893),"x","")</f>
        <v/>
      </c>
      <c r="X1893" s="52" t="str">
        <f>IF(AND(OR(LEFT(TH!L1893,2)="15",LEFT(TH!M1893,2)="15"),TK!$E$7=TH!F1893),"x","")</f>
        <v/>
      </c>
      <c r="Y1893" s="52" t="str">
        <f>IF(AND(B1893&lt;=NKC!$N$8,B1893&gt;=NKC!$M$8),"x","")</f>
        <v>x</v>
      </c>
    </row>
    <row r="1894" spans="1:25" s="208" customFormat="1" ht="15.75" customHeight="1">
      <c r="A1894" s="201" t="str">
        <f>IF(B1894&lt;&gt;"",IF(AND(B1894&gt;=_TM1,B1894&lt;=_TM2,OR(TH!L1894="1111",TH!M1894="1111")),TH!D1894,""),"")</f>
        <v/>
      </c>
      <c r="B1894" s="36">
        <f t="shared" si="91"/>
        <v>7</v>
      </c>
      <c r="C1894" s="188">
        <f t="shared" si="90"/>
        <v>41479</v>
      </c>
      <c r="D1894" s="37" t="s">
        <v>457</v>
      </c>
      <c r="E1894" s="188">
        <v>41479</v>
      </c>
      <c r="F1894" s="189" t="s">
        <v>811</v>
      </c>
      <c r="G1894" s="480" t="s">
        <v>853</v>
      </c>
      <c r="H1894" s="7" t="s">
        <v>1258</v>
      </c>
      <c r="I1894" s="249">
        <v>98</v>
      </c>
      <c r="J1894" s="249">
        <v>9907.596235579842</v>
      </c>
      <c r="K1894" s="595">
        <f t="shared" si="92"/>
        <v>970944</v>
      </c>
      <c r="L1894" s="39" t="s">
        <v>170</v>
      </c>
      <c r="M1894" s="39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IF(OR(TH!L1894=TH!$U$7,M1894=TH!$U$7),"x","")</f>
        <v/>
      </c>
      <c r="V1894" s="52" t="str">
        <f>IF(AND(B1894&gt;='IN-NX'!$P$3,B1894&lt;='IN-NX'!$Q$3,'IN-NX'!$D$7=D1894,OR(LEFT(L1894,2)="15",AND(LEFT(M1894,2)&lt;&gt;"15",LEFT(M1894,2)&lt;&gt;"33"))),"x","")</f>
        <v/>
      </c>
      <c r="W1894" s="52" t="str">
        <f>IF(AND(OR(LEFT(TH!L1894,2)="15",LEFT(TH!M1894,2)="15"),'152-CT'!$J$8=TH!F1894),"x","")</f>
        <v/>
      </c>
      <c r="X1894" s="52" t="str">
        <f>IF(AND(OR(LEFT(TH!L1894,2)="15",LEFT(TH!M1894,2)="15"),TK!$E$7=TH!F1894),"x","")</f>
        <v/>
      </c>
      <c r="Y1894" s="52" t="str">
        <f>IF(AND(B1894&lt;=NKC!$N$8,B1894&gt;=NKC!$M$8),"x","")</f>
        <v>x</v>
      </c>
    </row>
    <row r="1895" spans="1:25" s="208" customFormat="1" ht="15.75" customHeight="1">
      <c r="A1895" s="201" t="str">
        <f>IF(B1895&lt;&gt;"",IF(AND(B1895&gt;=_TM1,B1895&lt;=_TM2,OR(TH!L1895="1111",TH!M1895="1111")),TH!D1895,""),"")</f>
        <v/>
      </c>
      <c r="B1895" s="36">
        <f t="shared" si="91"/>
        <v>7</v>
      </c>
      <c r="C1895" s="188">
        <f t="shared" si="90"/>
        <v>41480</v>
      </c>
      <c r="D1895" s="37" t="s">
        <v>457</v>
      </c>
      <c r="E1895" s="188">
        <v>41480</v>
      </c>
      <c r="F1895" s="189" t="s">
        <v>854</v>
      </c>
      <c r="G1895" s="480" t="s">
        <v>855</v>
      </c>
      <c r="H1895" s="7" t="s">
        <v>1258</v>
      </c>
      <c r="I1895" s="249">
        <v>200</v>
      </c>
      <c r="J1895" s="249">
        <v>6541.8462355798429</v>
      </c>
      <c r="K1895" s="595">
        <f t="shared" si="92"/>
        <v>1308369</v>
      </c>
      <c r="L1895" s="39" t="s">
        <v>170</v>
      </c>
      <c r="M1895" s="39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IF(OR(TH!L1895=TH!$U$7,M1895=TH!$U$7),"x","")</f>
        <v/>
      </c>
      <c r="V1895" s="52" t="str">
        <f>IF(AND(B1895&gt;='IN-NX'!$P$3,B1895&lt;='IN-NX'!$Q$3,'IN-NX'!$D$7=D1895,OR(LEFT(L1895,2)="15",AND(LEFT(M1895,2)&lt;&gt;"15",LEFT(M1895,2)&lt;&gt;"33"))),"x","")</f>
        <v/>
      </c>
      <c r="W1895" s="52" t="str">
        <f>IF(AND(OR(LEFT(TH!L1895,2)="15",LEFT(TH!M1895,2)="15"),'152-CT'!$J$8=TH!F1895),"x","")</f>
        <v/>
      </c>
      <c r="X1895" s="52" t="str">
        <f>IF(AND(OR(LEFT(TH!L1895,2)="15",LEFT(TH!M1895,2)="15"),TK!$E$7=TH!F1895),"x","")</f>
        <v/>
      </c>
      <c r="Y1895" s="52" t="str">
        <f>IF(AND(B1895&lt;=NKC!$N$8,B1895&gt;=NKC!$M$8),"x","")</f>
        <v>x</v>
      </c>
    </row>
    <row r="1896" spans="1:25" s="208" customFormat="1" ht="15.75" customHeight="1">
      <c r="A1896" s="201" t="str">
        <f>IF(B1896&lt;&gt;"",IF(AND(B1896&gt;=_TM1,B1896&lt;=_TM2,OR(TH!L1896="1111",TH!M1896="1111")),TH!D1896,""),"")</f>
        <v/>
      </c>
      <c r="B1896" s="36">
        <f t="shared" si="91"/>
        <v>7</v>
      </c>
      <c r="C1896" s="188">
        <f t="shared" si="90"/>
        <v>41480</v>
      </c>
      <c r="D1896" s="37" t="s">
        <v>457</v>
      </c>
      <c r="E1896" s="188">
        <v>41480</v>
      </c>
      <c r="F1896" s="189" t="s">
        <v>1087</v>
      </c>
      <c r="G1896" s="480" t="s">
        <v>855</v>
      </c>
      <c r="H1896" s="7" t="s">
        <v>1258</v>
      </c>
      <c r="I1896" s="249">
        <v>496</v>
      </c>
      <c r="J1896" s="249">
        <v>7726.3704291282302</v>
      </c>
      <c r="K1896" s="595">
        <f t="shared" si="92"/>
        <v>3832280</v>
      </c>
      <c r="L1896" s="39" t="s">
        <v>170</v>
      </c>
      <c r="M1896" s="39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IF(OR(TH!L1896=TH!$U$7,M1896=TH!$U$7),"x","")</f>
        <v/>
      </c>
      <c r="V1896" s="52" t="str">
        <f>IF(AND(B1896&gt;='IN-NX'!$P$3,B1896&lt;='IN-NX'!$Q$3,'IN-NX'!$D$7=D1896,OR(LEFT(L1896,2)="15",AND(LEFT(M1896,2)&lt;&gt;"15",LEFT(M1896,2)&lt;&gt;"33"))),"x","")</f>
        <v/>
      </c>
      <c r="W1896" s="52" t="str">
        <f>IF(AND(OR(LEFT(TH!L1896,2)="15",LEFT(TH!M1896,2)="15"),'152-CT'!$J$8=TH!F1896),"x","")</f>
        <v/>
      </c>
      <c r="X1896" s="52" t="str">
        <f>IF(AND(OR(LEFT(TH!L1896,2)="15",LEFT(TH!M1896,2)="15"),TK!$E$7=TH!F1896),"x","")</f>
        <v/>
      </c>
      <c r="Y1896" s="52" t="str">
        <f>IF(AND(B1896&lt;=NKC!$N$8,B1896&gt;=NKC!$M$8),"x","")</f>
        <v>x</v>
      </c>
    </row>
    <row r="1897" spans="1:25" s="208" customFormat="1" ht="15.75" customHeight="1">
      <c r="A1897" s="201" t="str">
        <f>IF(B1897&lt;&gt;"",IF(AND(B1897&gt;=_TM1,B1897&lt;=_TM2,OR(TH!L1897="1111",TH!M1897="1111")),TH!D1897,""),"")</f>
        <v/>
      </c>
      <c r="B1897" s="36">
        <f t="shared" si="91"/>
        <v>7</v>
      </c>
      <c r="C1897" s="188">
        <f t="shared" si="90"/>
        <v>41480</v>
      </c>
      <c r="D1897" s="37" t="s">
        <v>457</v>
      </c>
      <c r="E1897" s="188">
        <v>41480</v>
      </c>
      <c r="F1897" s="189" t="s">
        <v>1131</v>
      </c>
      <c r="G1897" s="480" t="s">
        <v>855</v>
      </c>
      <c r="H1897" s="7" t="s">
        <v>1258</v>
      </c>
      <c r="I1897" s="249">
        <v>505</v>
      </c>
      <c r="J1897" s="249">
        <v>6989.8437603323173</v>
      </c>
      <c r="K1897" s="595">
        <f t="shared" si="92"/>
        <v>3529871</v>
      </c>
      <c r="L1897" s="39" t="s">
        <v>170</v>
      </c>
      <c r="M1897" s="39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IF(OR(TH!L1897=TH!$U$7,M1897=TH!$U$7),"x","")</f>
        <v/>
      </c>
      <c r="V1897" s="52" t="str">
        <f>IF(AND(B1897&gt;='IN-NX'!$P$3,B1897&lt;='IN-NX'!$Q$3,'IN-NX'!$D$7=D1897,OR(LEFT(L1897,2)="15",AND(LEFT(M1897,2)&lt;&gt;"15",LEFT(M1897,2)&lt;&gt;"33"))),"x","")</f>
        <v/>
      </c>
      <c r="W1897" s="52" t="str">
        <f>IF(AND(OR(LEFT(TH!L1897,2)="15",LEFT(TH!M1897,2)="15"),'152-CT'!$J$8=TH!F1897),"x","")</f>
        <v/>
      </c>
      <c r="X1897" s="52" t="str">
        <f>IF(AND(OR(LEFT(TH!L1897,2)="15",LEFT(TH!M1897,2)="15"),TK!$E$7=TH!F1897),"x","")</f>
        <v/>
      </c>
      <c r="Y1897" s="52" t="str">
        <f>IF(AND(B1897&lt;=NKC!$N$8,B1897&gt;=NKC!$M$8),"x","")</f>
        <v>x</v>
      </c>
    </row>
    <row r="1898" spans="1:25" s="208" customFormat="1" ht="15.75" customHeight="1">
      <c r="A1898" s="201" t="str">
        <f>IF(B1898&lt;&gt;"",IF(AND(B1898&gt;=_TM1,B1898&lt;=_TM2,OR(TH!L1898="1111",TH!M1898="1111")),TH!D1898,""),"")</f>
        <v/>
      </c>
      <c r="B1898" s="36">
        <f t="shared" si="91"/>
        <v>7</v>
      </c>
      <c r="C1898" s="188">
        <f t="shared" si="90"/>
        <v>41480</v>
      </c>
      <c r="D1898" s="37" t="s">
        <v>457</v>
      </c>
      <c r="E1898" s="188">
        <v>41480</v>
      </c>
      <c r="F1898" s="189" t="s">
        <v>856</v>
      </c>
      <c r="G1898" s="480" t="s">
        <v>855</v>
      </c>
      <c r="H1898" s="7" t="s">
        <v>1258</v>
      </c>
      <c r="I1898" s="249">
        <v>1000</v>
      </c>
      <c r="J1898" s="249">
        <v>6615.596235579842</v>
      </c>
      <c r="K1898" s="595">
        <f t="shared" si="92"/>
        <v>6615596</v>
      </c>
      <c r="L1898" s="39" t="s">
        <v>170</v>
      </c>
      <c r="M1898" s="39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IF(OR(TH!L1898=TH!$U$7,M1898=TH!$U$7),"x","")</f>
        <v/>
      </c>
      <c r="V1898" s="52" t="str">
        <f>IF(AND(B1898&gt;='IN-NX'!$P$3,B1898&lt;='IN-NX'!$Q$3,'IN-NX'!$D$7=D1898,OR(LEFT(L1898,2)="15",AND(LEFT(M1898,2)&lt;&gt;"15",LEFT(M1898,2)&lt;&gt;"33"))),"x","")</f>
        <v/>
      </c>
      <c r="W1898" s="52" t="str">
        <f>IF(AND(OR(LEFT(TH!L1898,2)="15",LEFT(TH!M1898,2)="15"),'152-CT'!$J$8=TH!F1898),"x","")</f>
        <v/>
      </c>
      <c r="X1898" s="52" t="str">
        <f>IF(AND(OR(LEFT(TH!L1898,2)="15",LEFT(TH!M1898,2)="15"),TK!$E$7=TH!F1898),"x","")</f>
        <v/>
      </c>
      <c r="Y1898" s="52" t="str">
        <f>IF(AND(B1898&lt;=NKC!$N$8,B1898&gt;=NKC!$M$8),"x","")</f>
        <v>x</v>
      </c>
    </row>
    <row r="1899" spans="1:25" s="208" customFormat="1" ht="15.75" customHeight="1">
      <c r="A1899" s="201" t="str">
        <f>IF(B1899&lt;&gt;"",IF(AND(B1899&gt;=_TM1,B1899&lt;=_TM2,OR(TH!L1899="1111",TH!M1899="1111")),TH!D1899,""),"")</f>
        <v/>
      </c>
      <c r="B1899" s="36">
        <f t="shared" si="91"/>
        <v>7</v>
      </c>
      <c r="C1899" s="188">
        <f t="shared" si="90"/>
        <v>41481</v>
      </c>
      <c r="D1899" s="37" t="s">
        <v>457</v>
      </c>
      <c r="E1899" s="188">
        <v>41481</v>
      </c>
      <c r="F1899" s="189" t="s">
        <v>1103</v>
      </c>
      <c r="G1899" s="480" t="s">
        <v>857</v>
      </c>
      <c r="H1899" s="7" t="s">
        <v>1258</v>
      </c>
      <c r="I1899" s="249">
        <v>3000</v>
      </c>
      <c r="J1899" s="249">
        <v>6119.7605689131751</v>
      </c>
      <c r="K1899" s="595">
        <f t="shared" si="92"/>
        <v>18359282</v>
      </c>
      <c r="L1899" s="39" t="s">
        <v>170</v>
      </c>
      <c r="M1899" s="39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IF(OR(TH!L1899=TH!$U$7,M1899=TH!$U$7),"x","")</f>
        <v/>
      </c>
      <c r="V1899" s="52" t="str">
        <f>IF(AND(B1899&gt;='IN-NX'!$P$3,B1899&lt;='IN-NX'!$Q$3,'IN-NX'!$D$7=D1899,OR(LEFT(L1899,2)="15",AND(LEFT(M1899,2)&lt;&gt;"15",LEFT(M1899,2)&lt;&gt;"33"))),"x","")</f>
        <v/>
      </c>
      <c r="W1899" s="52" t="str">
        <f>IF(AND(OR(LEFT(TH!L1899,2)="15",LEFT(TH!M1899,2)="15"),'152-CT'!$J$8=TH!F1899),"x","")</f>
        <v/>
      </c>
      <c r="X1899" s="52" t="str">
        <f>IF(AND(OR(LEFT(TH!L1899,2)="15",LEFT(TH!M1899,2)="15"),TK!$E$7=TH!F1899),"x","")</f>
        <v/>
      </c>
      <c r="Y1899" s="52" t="str">
        <f>IF(AND(B1899&lt;=NKC!$N$8,B1899&gt;=NKC!$M$8),"x","")</f>
        <v>x</v>
      </c>
    </row>
    <row r="1900" spans="1:25" s="208" customFormat="1" ht="15.75" customHeight="1">
      <c r="A1900" s="201" t="str">
        <f>IF(B1900&lt;&gt;"",IF(AND(B1900&gt;=_TM1,B1900&lt;=_TM2,OR(TH!L1900="1111",TH!M1900="1111")),TH!D1900,""),"")</f>
        <v/>
      </c>
      <c r="B1900" s="36">
        <f t="shared" si="91"/>
        <v>7</v>
      </c>
      <c r="C1900" s="188">
        <f t="shared" si="90"/>
        <v>41484</v>
      </c>
      <c r="D1900" s="37" t="s">
        <v>457</v>
      </c>
      <c r="E1900" s="188">
        <v>41484</v>
      </c>
      <c r="F1900" s="189" t="s">
        <v>805</v>
      </c>
      <c r="G1900" s="480" t="s">
        <v>858</v>
      </c>
      <c r="H1900" s="7" t="s">
        <v>1258</v>
      </c>
      <c r="I1900" s="249">
        <v>500</v>
      </c>
      <c r="J1900" s="249">
        <v>9217.0142355798434</v>
      </c>
      <c r="K1900" s="595">
        <f t="shared" si="92"/>
        <v>4608507</v>
      </c>
      <c r="L1900" s="39" t="s">
        <v>170</v>
      </c>
      <c r="M1900" s="39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IF(OR(TH!L1900=TH!$U$7,M1900=TH!$U$7),"x","")</f>
        <v/>
      </c>
      <c r="V1900" s="52" t="str">
        <f>IF(AND(B1900&gt;='IN-NX'!$P$3,B1900&lt;='IN-NX'!$Q$3,'IN-NX'!$D$7=D1900,OR(LEFT(L1900,2)="15",AND(LEFT(M1900,2)&lt;&gt;"15",LEFT(M1900,2)&lt;&gt;"33"))),"x","")</f>
        <v/>
      </c>
      <c r="W1900" s="52" t="str">
        <f>IF(AND(OR(LEFT(TH!L1900,2)="15",LEFT(TH!M1900,2)="15"),'152-CT'!$J$8=TH!F1900),"x","")</f>
        <v/>
      </c>
      <c r="X1900" s="52" t="str">
        <f>IF(AND(OR(LEFT(TH!L1900,2)="15",LEFT(TH!M1900,2)="15"),TK!$E$7=TH!F1900),"x","")</f>
        <v/>
      </c>
      <c r="Y1900" s="52" t="str">
        <f>IF(AND(B1900&lt;=NKC!$N$8,B1900&gt;=NKC!$M$8),"x","")</f>
        <v>x</v>
      </c>
    </row>
    <row r="1901" spans="1:25" s="208" customFormat="1" ht="15.75" customHeight="1">
      <c r="A1901" s="201" t="str">
        <f>IF(B1901&lt;&gt;"",IF(AND(B1901&gt;=_TM1,B1901&lt;=_TM2,OR(TH!L1901="1111",TH!M1901="1111")),TH!D1901,""),"")</f>
        <v/>
      </c>
      <c r="B1901" s="36">
        <f t="shared" si="91"/>
        <v>8</v>
      </c>
      <c r="C1901" s="188">
        <f t="shared" si="90"/>
        <v>41487</v>
      </c>
      <c r="D1901" s="37" t="s">
        <v>457</v>
      </c>
      <c r="E1901" s="188">
        <v>41487</v>
      </c>
      <c r="F1901" s="189" t="s">
        <v>1111</v>
      </c>
      <c r="G1901" s="480" t="s">
        <v>859</v>
      </c>
      <c r="H1901" s="7" t="s">
        <v>1258</v>
      </c>
      <c r="I1901" s="249">
        <v>99</v>
      </c>
      <c r="J1901" s="249">
        <v>12653.586134569741</v>
      </c>
      <c r="K1901" s="595">
        <f t="shared" si="92"/>
        <v>1252705</v>
      </c>
      <c r="L1901" s="39" t="s">
        <v>170</v>
      </c>
      <c r="M1901" s="39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IF(OR(TH!L1901=TH!$U$7,M1901=TH!$U$7),"x","")</f>
        <v/>
      </c>
      <c r="V1901" s="52" t="str">
        <f>IF(AND(B1901&gt;='IN-NX'!$P$3,B1901&lt;='IN-NX'!$Q$3,'IN-NX'!$D$7=D1901,OR(LEFT(L1901,2)="15",AND(LEFT(M1901,2)&lt;&gt;"15",LEFT(M1901,2)&lt;&gt;"33"))),"x","")</f>
        <v/>
      </c>
      <c r="W1901" s="52" t="str">
        <f>IF(AND(OR(LEFT(TH!L1901,2)="15",LEFT(TH!M1901,2)="15"),'152-CT'!$J$8=TH!F1901),"x","")</f>
        <v/>
      </c>
      <c r="X1901" s="52" t="str">
        <f>IF(AND(OR(LEFT(TH!L1901,2)="15",LEFT(TH!M1901,2)="15"),TK!$E$7=TH!F1901),"x","")</f>
        <v/>
      </c>
      <c r="Y1901" s="52" t="str">
        <f>IF(AND(B1901&lt;=NKC!$N$8,B1901&gt;=NKC!$M$8),"x","")</f>
        <v>x</v>
      </c>
    </row>
    <row r="1902" spans="1:25" s="208" customFormat="1" ht="15.75" customHeight="1">
      <c r="A1902" s="201" t="str">
        <f>IF(B1902&lt;&gt;"",IF(AND(B1902&gt;=_TM1,B1902&lt;=_TM2,OR(TH!L1902="1111",TH!M1902="1111")),TH!D1902,""),"")</f>
        <v/>
      </c>
      <c r="B1902" s="36">
        <f t="shared" si="91"/>
        <v>8</v>
      </c>
      <c r="C1902" s="188">
        <f t="shared" si="90"/>
        <v>41487</v>
      </c>
      <c r="D1902" s="37" t="s">
        <v>457</v>
      </c>
      <c r="E1902" s="188">
        <v>41487</v>
      </c>
      <c r="F1902" s="189" t="s">
        <v>834</v>
      </c>
      <c r="G1902" s="480" t="s">
        <v>860</v>
      </c>
      <c r="H1902" s="7" t="s">
        <v>1258</v>
      </c>
      <c r="I1902" s="249">
        <v>200</v>
      </c>
      <c r="J1902" s="249">
        <v>20664.656235579845</v>
      </c>
      <c r="K1902" s="595">
        <f t="shared" si="92"/>
        <v>4132931</v>
      </c>
      <c r="L1902" s="39" t="s">
        <v>170</v>
      </c>
      <c r="M1902" s="39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IF(OR(TH!L1902=TH!$U$7,M1902=TH!$U$7),"x","")</f>
        <v/>
      </c>
      <c r="V1902" s="52" t="str">
        <f>IF(AND(B1902&gt;='IN-NX'!$P$3,B1902&lt;='IN-NX'!$Q$3,'IN-NX'!$D$7=D1902,OR(LEFT(L1902,2)="15",AND(LEFT(M1902,2)&lt;&gt;"15",LEFT(M1902,2)&lt;&gt;"33"))),"x","")</f>
        <v/>
      </c>
      <c r="W1902" s="52" t="str">
        <f>IF(AND(OR(LEFT(TH!L1902,2)="15",LEFT(TH!M1902,2)="15"),'152-CT'!$J$8=TH!F1902),"x","")</f>
        <v/>
      </c>
      <c r="X1902" s="52" t="str">
        <f>IF(AND(OR(LEFT(TH!L1902,2)="15",LEFT(TH!M1902,2)="15"),TK!$E$7=TH!F1902),"x","")</f>
        <v/>
      </c>
      <c r="Y1902" s="52" t="str">
        <f>IF(AND(B1902&lt;=NKC!$N$8,B1902&gt;=NKC!$M$8),"x","")</f>
        <v>x</v>
      </c>
    </row>
    <row r="1903" spans="1:25" s="208" customFormat="1" ht="15.75" customHeight="1">
      <c r="A1903" s="201" t="str">
        <f>IF(B1903&lt;&gt;"",IF(AND(B1903&gt;=_TM1,B1903&lt;=_TM2,OR(TH!L1903="1111",TH!M1903="1111")),TH!D1903,""),"")</f>
        <v/>
      </c>
      <c r="B1903" s="36">
        <f t="shared" si="91"/>
        <v>8</v>
      </c>
      <c r="C1903" s="188">
        <f t="shared" si="90"/>
        <v>41488</v>
      </c>
      <c r="D1903" s="37" t="s">
        <v>457</v>
      </c>
      <c r="E1903" s="188">
        <v>41488</v>
      </c>
      <c r="F1903" s="189" t="s">
        <v>854</v>
      </c>
      <c r="G1903" s="480" t="s">
        <v>861</v>
      </c>
      <c r="H1903" s="7" t="s">
        <v>1258</v>
      </c>
      <c r="I1903" s="249">
        <v>510</v>
      </c>
      <c r="J1903" s="249">
        <v>7971.0668238151375</v>
      </c>
      <c r="K1903" s="595">
        <f t="shared" si="92"/>
        <v>4065244</v>
      </c>
      <c r="L1903" s="39" t="s">
        <v>170</v>
      </c>
      <c r="M1903" s="39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IF(OR(TH!L1903=TH!$U$7,M1903=TH!$U$7),"x","")</f>
        <v/>
      </c>
      <c r="V1903" s="52" t="str">
        <f>IF(AND(B1903&gt;='IN-NX'!$P$3,B1903&lt;='IN-NX'!$Q$3,'IN-NX'!$D$7=D1903,OR(LEFT(L1903,2)="15",AND(LEFT(M1903,2)&lt;&gt;"15",LEFT(M1903,2)&lt;&gt;"33"))),"x","")</f>
        <v/>
      </c>
      <c r="W1903" s="52" t="str">
        <f>IF(AND(OR(LEFT(TH!L1903,2)="15",LEFT(TH!M1903,2)="15"),'152-CT'!$J$8=TH!F1903),"x","")</f>
        <v/>
      </c>
      <c r="X1903" s="52" t="str">
        <f>IF(AND(OR(LEFT(TH!L1903,2)="15",LEFT(TH!M1903,2)="15"),TK!$E$7=TH!F1903),"x","")</f>
        <v/>
      </c>
      <c r="Y1903" s="52" t="str">
        <f>IF(AND(B1903&lt;=NKC!$N$8,B1903&gt;=NKC!$M$8),"x","")</f>
        <v>x</v>
      </c>
    </row>
    <row r="1904" spans="1:25" s="208" customFormat="1" ht="15.75" customHeight="1">
      <c r="A1904" s="201" t="str">
        <f>IF(B1904&lt;&gt;"",IF(AND(B1904&gt;=_TM1,B1904&lt;=_TM2,OR(TH!L1904="1111",TH!M1904="1111")),TH!D1904,""),"")</f>
        <v/>
      </c>
      <c r="B1904" s="36">
        <f t="shared" si="91"/>
        <v>8</v>
      </c>
      <c r="C1904" s="188">
        <f t="shared" si="90"/>
        <v>41488</v>
      </c>
      <c r="D1904" s="37" t="s">
        <v>457</v>
      </c>
      <c r="E1904" s="188">
        <v>41488</v>
      </c>
      <c r="F1904" s="189" t="s">
        <v>1115</v>
      </c>
      <c r="G1904" s="480" t="s">
        <v>862</v>
      </c>
      <c r="H1904" s="7" t="s">
        <v>1258</v>
      </c>
      <c r="I1904" s="249">
        <v>2813</v>
      </c>
      <c r="J1904" s="249">
        <v>4074.1191648368626</v>
      </c>
      <c r="K1904" s="595">
        <f t="shared" si="92"/>
        <v>11460497</v>
      </c>
      <c r="L1904" s="39" t="s">
        <v>170</v>
      </c>
      <c r="M1904" s="39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IF(OR(TH!L1904=TH!$U$7,M1904=TH!$U$7),"x","")</f>
        <v/>
      </c>
      <c r="V1904" s="52" t="str">
        <f>IF(AND(B1904&gt;='IN-NX'!$P$3,B1904&lt;='IN-NX'!$Q$3,'IN-NX'!$D$7=D1904,OR(LEFT(L1904,2)="15",AND(LEFT(M1904,2)&lt;&gt;"15",LEFT(M1904,2)&lt;&gt;"33"))),"x","")</f>
        <v/>
      </c>
      <c r="W1904" s="52" t="str">
        <f>IF(AND(OR(LEFT(TH!L1904,2)="15",LEFT(TH!M1904,2)="15"),'152-CT'!$J$8=TH!F1904),"x","")</f>
        <v/>
      </c>
      <c r="X1904" s="52" t="str">
        <f>IF(AND(OR(LEFT(TH!L1904,2)="15",LEFT(TH!M1904,2)="15"),TK!$E$7=TH!F1904),"x","")</f>
        <v/>
      </c>
      <c r="Y1904" s="52" t="str">
        <f>IF(AND(B1904&lt;=NKC!$N$8,B1904&gt;=NKC!$M$8),"x","")</f>
        <v>x</v>
      </c>
    </row>
    <row r="1905" spans="1:25" s="208" customFormat="1" ht="15.75" customHeight="1">
      <c r="A1905" s="201" t="str">
        <f>IF(B1905&lt;&gt;"",IF(AND(B1905&gt;=_TM1,B1905&lt;=_TM2,OR(TH!L1905="1111",TH!M1905="1111")),TH!D1905,""),"")</f>
        <v/>
      </c>
      <c r="B1905" s="36">
        <f t="shared" si="91"/>
        <v>8</v>
      </c>
      <c r="C1905" s="188">
        <f t="shared" si="90"/>
        <v>41489</v>
      </c>
      <c r="D1905" s="37" t="s">
        <v>457</v>
      </c>
      <c r="E1905" s="188">
        <v>41489</v>
      </c>
      <c r="F1905" s="189" t="s">
        <v>1115</v>
      </c>
      <c r="G1905" s="480" t="s">
        <v>864</v>
      </c>
      <c r="H1905" s="7" t="s">
        <v>1258</v>
      </c>
      <c r="I1905" s="249">
        <v>2805</v>
      </c>
      <c r="J1905" s="249">
        <v>4076.488570695707</v>
      </c>
      <c r="K1905" s="595">
        <f t="shared" si="92"/>
        <v>11434550</v>
      </c>
      <c r="L1905" s="39" t="s">
        <v>170</v>
      </c>
      <c r="M1905" s="39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IF(OR(TH!L1905=TH!$U$7,M1905=TH!$U$7),"x","")</f>
        <v/>
      </c>
      <c r="V1905" s="52" t="str">
        <f>IF(AND(B1905&gt;='IN-NX'!$P$3,B1905&lt;='IN-NX'!$Q$3,'IN-NX'!$D$7=D1905,OR(LEFT(L1905,2)="15",AND(LEFT(M1905,2)&lt;&gt;"15",LEFT(M1905,2)&lt;&gt;"33"))),"x","")</f>
        <v/>
      </c>
      <c r="W1905" s="52" t="str">
        <f>IF(AND(OR(LEFT(TH!L1905,2)="15",LEFT(TH!M1905,2)="15"),'152-CT'!$J$8=TH!F1905),"x","")</f>
        <v/>
      </c>
      <c r="X1905" s="52" t="str">
        <f>IF(AND(OR(LEFT(TH!L1905,2)="15",LEFT(TH!M1905,2)="15"),TK!$E$7=TH!F1905),"x","")</f>
        <v/>
      </c>
      <c r="Y1905" s="52" t="str">
        <f>IF(AND(B1905&lt;=NKC!$N$8,B1905&gt;=NKC!$M$8),"x","")</f>
        <v>x</v>
      </c>
    </row>
    <row r="1906" spans="1:25" s="208" customFormat="1" ht="15.75" customHeight="1">
      <c r="A1906" s="201" t="str">
        <f>IF(B1906&lt;&gt;"",IF(AND(B1906&gt;=_TM1,B1906&lt;=_TM2,OR(TH!L1906="1111",TH!M1906="1111")),TH!D1906,""),"")</f>
        <v/>
      </c>
      <c r="B1906" s="36">
        <f t="shared" si="91"/>
        <v>8</v>
      </c>
      <c r="C1906" s="188">
        <f t="shared" si="90"/>
        <v>41492</v>
      </c>
      <c r="D1906" s="37" t="s">
        <v>457</v>
      </c>
      <c r="E1906" s="37">
        <v>41492</v>
      </c>
      <c r="F1906" s="40" t="s">
        <v>1115</v>
      </c>
      <c r="G1906" s="40" t="s">
        <v>865</v>
      </c>
      <c r="H1906" s="7" t="s">
        <v>1258</v>
      </c>
      <c r="I1906" s="249">
        <v>2829</v>
      </c>
      <c r="J1906" s="249">
        <v>4076.4583776795243</v>
      </c>
      <c r="K1906" s="595">
        <f t="shared" si="92"/>
        <v>11532301</v>
      </c>
      <c r="L1906" s="39" t="s">
        <v>170</v>
      </c>
      <c r="M1906" s="39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IF(OR(TH!L1906=TH!$U$7,M1906=TH!$U$7),"x","")</f>
        <v/>
      </c>
      <c r="V1906" s="52" t="str">
        <f>IF(AND(B1906&gt;='IN-NX'!$P$3,B1906&lt;='IN-NX'!$Q$3,'IN-NX'!$D$7=D1906,OR(LEFT(L1906,2)="15",AND(LEFT(M1906,2)&lt;&gt;"15",LEFT(M1906,2)&lt;&gt;"33"))),"x","")</f>
        <v/>
      </c>
      <c r="W1906" s="52" t="str">
        <f>IF(AND(OR(LEFT(TH!L1906,2)="15",LEFT(TH!M1906,2)="15"),'152-CT'!$J$8=TH!F1906),"x","")</f>
        <v/>
      </c>
      <c r="X1906" s="52" t="str">
        <f>IF(AND(OR(LEFT(TH!L1906,2)="15",LEFT(TH!M1906,2)="15"),TK!$E$7=TH!F1906),"x","")</f>
        <v/>
      </c>
      <c r="Y1906" s="52" t="str">
        <f>IF(AND(B1906&lt;=NKC!$N$8,B1906&gt;=NKC!$M$8),"x","")</f>
        <v>x</v>
      </c>
    </row>
    <row r="1907" spans="1:25" s="208" customFormat="1" ht="15.75" customHeight="1">
      <c r="A1907" s="201" t="str">
        <f>IF(B1907&lt;&gt;"",IF(AND(B1907&gt;=_TM1,B1907&lt;=_TM2,OR(TH!L1907="1111",TH!M1907="1111")),TH!D1907,""),"")</f>
        <v/>
      </c>
      <c r="B1907" s="36">
        <f t="shared" si="91"/>
        <v>8</v>
      </c>
      <c r="C1907" s="188">
        <f t="shared" si="90"/>
        <v>41492</v>
      </c>
      <c r="D1907" s="37" t="s">
        <v>457</v>
      </c>
      <c r="E1907" s="37">
        <v>41492</v>
      </c>
      <c r="F1907" s="40" t="s">
        <v>866</v>
      </c>
      <c r="G1907" s="40" t="s">
        <v>867</v>
      </c>
      <c r="H1907" s="7" t="s">
        <v>1258</v>
      </c>
      <c r="I1907" s="249">
        <v>1010</v>
      </c>
      <c r="J1907" s="249">
        <v>6615.596235579842</v>
      </c>
      <c r="K1907" s="595">
        <f t="shared" si="92"/>
        <v>6681752</v>
      </c>
      <c r="L1907" s="39" t="s">
        <v>170</v>
      </c>
      <c r="M1907" s="39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IF(OR(TH!L1907=TH!$U$7,M1907=TH!$U$7),"x","")</f>
        <v/>
      </c>
      <c r="V1907" s="52" t="str">
        <f>IF(AND(B1907&gt;='IN-NX'!$P$3,B1907&lt;='IN-NX'!$Q$3,'IN-NX'!$D$7=D1907,OR(LEFT(L1907,2)="15",AND(LEFT(M1907,2)&lt;&gt;"15",LEFT(M1907,2)&lt;&gt;"33"))),"x","")</f>
        <v/>
      </c>
      <c r="W1907" s="52" t="str">
        <f>IF(AND(OR(LEFT(TH!L1907,2)="15",LEFT(TH!M1907,2)="15"),'152-CT'!$J$8=TH!F1907),"x","")</f>
        <v/>
      </c>
      <c r="X1907" s="52" t="str">
        <f>IF(AND(OR(LEFT(TH!L1907,2)="15",LEFT(TH!M1907,2)="15"),TK!$E$7=TH!F1907),"x","")</f>
        <v/>
      </c>
      <c r="Y1907" s="52" t="str">
        <f>IF(AND(B1907&lt;=NKC!$N$8,B1907&gt;=NKC!$M$8),"x","")</f>
        <v>x</v>
      </c>
    </row>
    <row r="1908" spans="1:25" s="208" customFormat="1" ht="15.75" customHeight="1">
      <c r="A1908" s="201" t="str">
        <f>IF(B1908&lt;&gt;"",IF(AND(B1908&gt;=_TM1,B1908&lt;=_TM2,OR(TH!L1908="1111",TH!M1908="1111")),TH!D1908,""),"")</f>
        <v/>
      </c>
      <c r="B1908" s="36">
        <f t="shared" si="91"/>
        <v>8</v>
      </c>
      <c r="C1908" s="188">
        <f t="shared" si="90"/>
        <v>41492</v>
      </c>
      <c r="D1908" s="37" t="s">
        <v>457</v>
      </c>
      <c r="E1908" s="37">
        <v>41492</v>
      </c>
      <c r="F1908" s="40" t="s">
        <v>1104</v>
      </c>
      <c r="G1908" s="40" t="s">
        <v>867</v>
      </c>
      <c r="H1908" s="7" t="s">
        <v>1258</v>
      </c>
      <c r="I1908" s="249">
        <v>960</v>
      </c>
      <c r="J1908" s="249">
        <v>4008.3462355798424</v>
      </c>
      <c r="K1908" s="595">
        <f t="shared" si="92"/>
        <v>3848012</v>
      </c>
      <c r="L1908" s="39" t="s">
        <v>170</v>
      </c>
      <c r="M1908" s="39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IF(OR(TH!L1908=TH!$U$7,M1908=TH!$U$7),"x","")</f>
        <v/>
      </c>
      <c r="V1908" s="52" t="str">
        <f>IF(AND(B1908&gt;='IN-NX'!$P$3,B1908&lt;='IN-NX'!$Q$3,'IN-NX'!$D$7=D1908,OR(LEFT(L1908,2)="15",AND(LEFT(M1908,2)&lt;&gt;"15",LEFT(M1908,2)&lt;&gt;"33"))),"x","")</f>
        <v/>
      </c>
      <c r="W1908" s="52" t="str">
        <f>IF(AND(OR(LEFT(TH!L1908,2)="15",LEFT(TH!M1908,2)="15"),'152-CT'!$J$8=TH!F1908),"x","")</f>
        <v/>
      </c>
      <c r="X1908" s="52" t="str">
        <f>IF(AND(OR(LEFT(TH!L1908,2)="15",LEFT(TH!M1908,2)="15"),TK!$E$7=TH!F1908),"x","")</f>
        <v/>
      </c>
      <c r="Y1908" s="52" t="str">
        <f>IF(AND(B1908&lt;=NKC!$N$8,B1908&gt;=NKC!$M$8),"x","")</f>
        <v>x</v>
      </c>
    </row>
    <row r="1909" spans="1:25" s="208" customFormat="1" ht="15.75" customHeight="1">
      <c r="A1909" s="201" t="str">
        <f>IF(B1909&lt;&gt;"",IF(AND(B1909&gt;=_TM1,B1909&lt;=_TM2,OR(TH!L1909="1111",TH!M1909="1111")),TH!D1909,""),"")</f>
        <v/>
      </c>
      <c r="B1909" s="36">
        <f t="shared" si="91"/>
        <v>8</v>
      </c>
      <c r="C1909" s="188">
        <f t="shared" si="90"/>
        <v>41492</v>
      </c>
      <c r="D1909" s="37" t="s">
        <v>457</v>
      </c>
      <c r="E1909" s="37">
        <v>41492</v>
      </c>
      <c r="F1909" s="40" t="s">
        <v>692</v>
      </c>
      <c r="G1909" s="40" t="s">
        <v>868</v>
      </c>
      <c r="H1909" s="7" t="s">
        <v>1258</v>
      </c>
      <c r="I1909" s="249">
        <v>1307</v>
      </c>
      <c r="J1909" s="249">
        <v>4949.5082478216164</v>
      </c>
      <c r="K1909" s="595">
        <f t="shared" si="92"/>
        <v>6469007</v>
      </c>
      <c r="L1909" s="39" t="s">
        <v>170</v>
      </c>
      <c r="M1909" s="39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IF(OR(TH!L1909=TH!$U$7,M1909=TH!$U$7),"x","")</f>
        <v/>
      </c>
      <c r="V1909" s="52" t="str">
        <f>IF(AND(B1909&gt;='IN-NX'!$P$3,B1909&lt;='IN-NX'!$Q$3,'IN-NX'!$D$7=D1909,OR(LEFT(L1909,2)="15",AND(LEFT(M1909,2)&lt;&gt;"15",LEFT(M1909,2)&lt;&gt;"33"))),"x","")</f>
        <v/>
      </c>
      <c r="W1909" s="52" t="str">
        <f>IF(AND(OR(LEFT(TH!L1909,2)="15",LEFT(TH!M1909,2)="15"),'152-CT'!$J$8=TH!F1909),"x","")</f>
        <v/>
      </c>
      <c r="X1909" s="52" t="str">
        <f>IF(AND(OR(LEFT(TH!L1909,2)="15",LEFT(TH!M1909,2)="15"),TK!$E$7=TH!F1909),"x","")</f>
        <v/>
      </c>
      <c r="Y1909" s="52" t="str">
        <f>IF(AND(B1909&lt;=NKC!$N$8,B1909&gt;=NKC!$M$8),"x","")</f>
        <v>x</v>
      </c>
    </row>
    <row r="1910" spans="1:25" s="208" customFormat="1" ht="15.75" customHeight="1">
      <c r="A1910" s="201" t="str">
        <f>IF(B1910&lt;&gt;"",IF(AND(B1910&gt;=_TM1,B1910&lt;=_TM2,OR(TH!L1910="1111",TH!M1910="1111")),TH!D1910,""),"")</f>
        <v/>
      </c>
      <c r="B1910" s="36">
        <f t="shared" si="91"/>
        <v>8</v>
      </c>
      <c r="C1910" s="188">
        <f t="shared" si="90"/>
        <v>41492</v>
      </c>
      <c r="D1910" s="37" t="s">
        <v>457</v>
      </c>
      <c r="E1910" s="37">
        <v>41492</v>
      </c>
      <c r="F1910" s="40" t="s">
        <v>838</v>
      </c>
      <c r="G1910" s="40" t="s">
        <v>868</v>
      </c>
      <c r="H1910" s="7" t="s">
        <v>1258</v>
      </c>
      <c r="I1910" s="249">
        <v>623</v>
      </c>
      <c r="J1910" s="249">
        <v>9425.9606015509489</v>
      </c>
      <c r="K1910" s="595">
        <f t="shared" si="92"/>
        <v>5872373</v>
      </c>
      <c r="L1910" s="39" t="s">
        <v>170</v>
      </c>
      <c r="M1910" s="39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IF(OR(TH!L1910=TH!$U$7,M1910=TH!$U$7),"x","")</f>
        <v/>
      </c>
      <c r="V1910" s="52" t="str">
        <f>IF(AND(B1910&gt;='IN-NX'!$P$3,B1910&lt;='IN-NX'!$Q$3,'IN-NX'!$D$7=D1910,OR(LEFT(L1910,2)="15",AND(LEFT(M1910,2)&lt;&gt;"15",LEFT(M1910,2)&lt;&gt;"33"))),"x","")</f>
        <v/>
      </c>
      <c r="W1910" s="52" t="str">
        <f>IF(AND(OR(LEFT(TH!L1910,2)="15",LEFT(TH!M1910,2)="15"),'152-CT'!$J$8=TH!F1910),"x","")</f>
        <v/>
      </c>
      <c r="X1910" s="52" t="str">
        <f>IF(AND(OR(LEFT(TH!L1910,2)="15",LEFT(TH!M1910,2)="15"),TK!$E$7=TH!F1910),"x","")</f>
        <v/>
      </c>
      <c r="Y1910" s="52" t="str">
        <f>IF(AND(B1910&lt;=NKC!$N$8,B1910&gt;=NKC!$M$8),"x","")</f>
        <v>x</v>
      </c>
    </row>
    <row r="1911" spans="1:25" s="208" customFormat="1" ht="15.75" customHeight="1">
      <c r="A1911" s="201" t="str">
        <f>IF(B1911&lt;&gt;"",IF(AND(B1911&gt;=_TM1,B1911&lt;=_TM2,OR(TH!L1911="1111",TH!M1911="1111")),TH!D1911,""),"")</f>
        <v/>
      </c>
      <c r="B1911" s="36">
        <f t="shared" si="91"/>
        <v>8</v>
      </c>
      <c r="C1911" s="188">
        <f t="shared" si="90"/>
        <v>41495</v>
      </c>
      <c r="D1911" s="37" t="s">
        <v>457</v>
      </c>
      <c r="E1911" s="37">
        <v>41495</v>
      </c>
      <c r="F1911" s="40" t="s">
        <v>805</v>
      </c>
      <c r="G1911" s="40" t="s">
        <v>869</v>
      </c>
      <c r="H1911" s="7" t="s">
        <v>1258</v>
      </c>
      <c r="I1911" s="249">
        <v>1000</v>
      </c>
      <c r="J1911" s="249">
        <v>9217.0142355798434</v>
      </c>
      <c r="K1911" s="595">
        <f t="shared" si="92"/>
        <v>9217014</v>
      </c>
      <c r="L1911" s="39" t="s">
        <v>170</v>
      </c>
      <c r="M1911" s="39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IF(OR(TH!L1911=TH!$U$7,M1911=TH!$U$7),"x","")</f>
        <v/>
      </c>
      <c r="V1911" s="52" t="str">
        <f>IF(AND(B1911&gt;='IN-NX'!$P$3,B1911&lt;='IN-NX'!$Q$3,'IN-NX'!$D$7=D1911,OR(LEFT(L1911,2)="15",AND(LEFT(M1911,2)&lt;&gt;"15",LEFT(M1911,2)&lt;&gt;"33"))),"x","")</f>
        <v/>
      </c>
      <c r="W1911" s="52" t="str">
        <f>IF(AND(OR(LEFT(TH!L1911,2)="15",LEFT(TH!M1911,2)="15"),'152-CT'!$J$8=TH!F1911),"x","")</f>
        <v/>
      </c>
      <c r="X1911" s="52" t="str">
        <f>IF(AND(OR(LEFT(TH!L1911,2)="15",LEFT(TH!M1911,2)="15"),TK!$E$7=TH!F1911),"x","")</f>
        <v/>
      </c>
      <c r="Y1911" s="52" t="str">
        <f>IF(AND(B1911&lt;=NKC!$N$8,B1911&gt;=NKC!$M$8),"x","")</f>
        <v>x</v>
      </c>
    </row>
    <row r="1912" spans="1:25" s="208" customFormat="1" ht="15.75" customHeight="1">
      <c r="A1912" s="201" t="str">
        <f>IF(B1912&lt;&gt;"",IF(AND(B1912&gt;=_TM1,B1912&lt;=_TM2,OR(TH!L1912="1111",TH!M1912="1111")),TH!D1912,""),"")</f>
        <v/>
      </c>
      <c r="B1912" s="36">
        <f t="shared" si="91"/>
        <v>8</v>
      </c>
      <c r="C1912" s="188">
        <f t="shared" si="90"/>
        <v>41495</v>
      </c>
      <c r="D1912" s="37" t="s">
        <v>457</v>
      </c>
      <c r="E1912" s="37">
        <v>41495</v>
      </c>
      <c r="F1912" s="40" t="s">
        <v>1115</v>
      </c>
      <c r="G1912" s="40" t="s">
        <v>870</v>
      </c>
      <c r="H1912" s="7" t="s">
        <v>1258</v>
      </c>
      <c r="I1912" s="249">
        <v>2730</v>
      </c>
      <c r="J1912" s="249">
        <v>4072.9394590230659</v>
      </c>
      <c r="K1912" s="595">
        <f t="shared" si="92"/>
        <v>11119125</v>
      </c>
      <c r="L1912" s="39" t="s">
        <v>170</v>
      </c>
      <c r="M1912" s="39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IF(OR(TH!L1912=TH!$U$7,M1912=TH!$U$7),"x","")</f>
        <v/>
      </c>
      <c r="V1912" s="52" t="str">
        <f>IF(AND(B1912&gt;='IN-NX'!$P$3,B1912&lt;='IN-NX'!$Q$3,'IN-NX'!$D$7=D1912,OR(LEFT(L1912,2)="15",AND(LEFT(M1912,2)&lt;&gt;"15",LEFT(M1912,2)&lt;&gt;"33"))),"x","")</f>
        <v/>
      </c>
      <c r="W1912" s="52" t="str">
        <f>IF(AND(OR(LEFT(TH!L1912,2)="15",LEFT(TH!M1912,2)="15"),'152-CT'!$J$8=TH!F1912),"x","")</f>
        <v/>
      </c>
      <c r="X1912" s="52" t="str">
        <f>IF(AND(OR(LEFT(TH!L1912,2)="15",LEFT(TH!M1912,2)="15"),TK!$E$7=TH!F1912),"x","")</f>
        <v/>
      </c>
      <c r="Y1912" s="52" t="str">
        <f>IF(AND(B1912&lt;=NKC!$N$8,B1912&gt;=NKC!$M$8),"x","")</f>
        <v>x</v>
      </c>
    </row>
    <row r="1913" spans="1:25" s="208" customFormat="1" ht="15.75" customHeight="1">
      <c r="A1913" s="201" t="str">
        <f>IF(B1913&lt;&gt;"",IF(AND(B1913&gt;=_TM1,B1913&lt;=_TM2,OR(TH!L1913="1111",TH!M1913="1111")),TH!D1913,""),"")</f>
        <v/>
      </c>
      <c r="B1913" s="36">
        <f t="shared" si="91"/>
        <v>8</v>
      </c>
      <c r="C1913" s="188">
        <f t="shared" si="90"/>
        <v>41496</v>
      </c>
      <c r="D1913" s="37" t="s">
        <v>457</v>
      </c>
      <c r="E1913" s="37">
        <v>41496</v>
      </c>
      <c r="F1913" s="40" t="s">
        <v>1103</v>
      </c>
      <c r="G1913" s="40" t="s">
        <v>871</v>
      </c>
      <c r="H1913" s="7" t="s">
        <v>1258</v>
      </c>
      <c r="I1913" s="249">
        <v>1990</v>
      </c>
      <c r="J1913" s="249">
        <v>6386.0816627155209</v>
      </c>
      <c r="K1913" s="595">
        <f t="shared" si="92"/>
        <v>12708303</v>
      </c>
      <c r="L1913" s="39" t="s">
        <v>170</v>
      </c>
      <c r="M1913" s="39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IF(OR(TH!L1913=TH!$U$7,M1913=TH!$U$7),"x","")</f>
        <v/>
      </c>
      <c r="V1913" s="52" t="str">
        <f>IF(AND(B1913&gt;='IN-NX'!$P$3,B1913&lt;='IN-NX'!$Q$3,'IN-NX'!$D$7=D1913,OR(LEFT(L1913,2)="15",AND(LEFT(M1913,2)&lt;&gt;"15",LEFT(M1913,2)&lt;&gt;"33"))),"x","")</f>
        <v/>
      </c>
      <c r="W1913" s="52" t="str">
        <f>IF(AND(OR(LEFT(TH!L1913,2)="15",LEFT(TH!M1913,2)="15"),'152-CT'!$J$8=TH!F1913),"x","")</f>
        <v/>
      </c>
      <c r="X1913" s="52" t="str">
        <f>IF(AND(OR(LEFT(TH!L1913,2)="15",LEFT(TH!M1913,2)="15"),TK!$E$7=TH!F1913),"x","")</f>
        <v/>
      </c>
      <c r="Y1913" s="52" t="str">
        <f>IF(AND(B1913&lt;=NKC!$N$8,B1913&gt;=NKC!$M$8),"x","")</f>
        <v>x</v>
      </c>
    </row>
    <row r="1914" spans="1:25" s="208" customFormat="1" ht="15.75" customHeight="1">
      <c r="A1914" s="201" t="str">
        <f>IF(B1914&lt;&gt;"",IF(AND(B1914&gt;=_TM1,B1914&lt;=_TM2,OR(TH!L1914="1111",TH!M1914="1111")),TH!D1914,""),"")</f>
        <v/>
      </c>
      <c r="B1914" s="36">
        <f t="shared" si="91"/>
        <v>8</v>
      </c>
      <c r="C1914" s="188">
        <f t="shared" si="90"/>
        <v>41496</v>
      </c>
      <c r="D1914" s="37" t="s">
        <v>457</v>
      </c>
      <c r="E1914" s="37">
        <v>41496</v>
      </c>
      <c r="F1914" s="40" t="s">
        <v>872</v>
      </c>
      <c r="G1914" s="40" t="s">
        <v>873</v>
      </c>
      <c r="H1914" s="7" t="s">
        <v>1258</v>
      </c>
      <c r="I1914" s="249">
        <v>480</v>
      </c>
      <c r="J1914" s="249">
        <v>5794.1795689131768</v>
      </c>
      <c r="K1914" s="595">
        <f t="shared" si="92"/>
        <v>2781206</v>
      </c>
      <c r="L1914" s="39" t="s">
        <v>170</v>
      </c>
      <c r="M1914" s="39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IF(OR(TH!L1914=TH!$U$7,M1914=TH!$U$7),"x","")</f>
        <v/>
      </c>
      <c r="V1914" s="52" t="str">
        <f>IF(AND(B1914&gt;='IN-NX'!$P$3,B1914&lt;='IN-NX'!$Q$3,'IN-NX'!$D$7=D1914,OR(LEFT(L1914,2)="15",AND(LEFT(M1914,2)&lt;&gt;"15",LEFT(M1914,2)&lt;&gt;"33"))),"x","")</f>
        <v/>
      </c>
      <c r="W1914" s="52" t="str">
        <f>IF(AND(OR(LEFT(TH!L1914,2)="15",LEFT(TH!M1914,2)="15"),'152-CT'!$J$8=TH!F1914),"x","")</f>
        <v/>
      </c>
      <c r="X1914" s="52" t="str">
        <f>IF(AND(OR(LEFT(TH!L1914,2)="15",LEFT(TH!M1914,2)="15"),TK!$E$7=TH!F1914),"x","")</f>
        <v/>
      </c>
      <c r="Y1914" s="52" t="str">
        <f>IF(AND(B1914&lt;=NKC!$N$8,B1914&gt;=NKC!$M$8),"x","")</f>
        <v>x</v>
      </c>
    </row>
    <row r="1915" spans="1:25" s="208" customFormat="1" ht="15.75" customHeight="1">
      <c r="A1915" s="201" t="str">
        <f>IF(B1915&lt;&gt;"",IF(AND(B1915&gt;=_TM1,B1915&lt;=_TM2,OR(TH!L1915="1111",TH!M1915="1111")),TH!D1915,""),"")</f>
        <v/>
      </c>
      <c r="B1915" s="36">
        <f t="shared" si="91"/>
        <v>8</v>
      </c>
      <c r="C1915" s="188">
        <f t="shared" si="90"/>
        <v>41496</v>
      </c>
      <c r="D1915" s="37" t="s">
        <v>457</v>
      </c>
      <c r="E1915" s="37">
        <v>41496</v>
      </c>
      <c r="F1915" s="40" t="s">
        <v>872</v>
      </c>
      <c r="G1915" s="40" t="s">
        <v>873</v>
      </c>
      <c r="H1915" s="7" t="s">
        <v>1258</v>
      </c>
      <c r="I1915" s="249">
        <v>440</v>
      </c>
      <c r="J1915" s="249">
        <v>6596.721235579842</v>
      </c>
      <c r="K1915" s="595">
        <f t="shared" si="92"/>
        <v>2902557</v>
      </c>
      <c r="L1915" s="39" t="s">
        <v>170</v>
      </c>
      <c r="M1915" s="39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IF(OR(TH!L1915=TH!$U$7,M1915=TH!$U$7),"x","")</f>
        <v/>
      </c>
      <c r="V1915" s="52" t="str">
        <f>IF(AND(B1915&gt;='IN-NX'!$P$3,B1915&lt;='IN-NX'!$Q$3,'IN-NX'!$D$7=D1915,OR(LEFT(L1915,2)="15",AND(LEFT(M1915,2)&lt;&gt;"15",LEFT(M1915,2)&lt;&gt;"33"))),"x","")</f>
        <v/>
      </c>
      <c r="W1915" s="52" t="str">
        <f>IF(AND(OR(LEFT(TH!L1915,2)="15",LEFT(TH!M1915,2)="15"),'152-CT'!$J$8=TH!F1915),"x","")</f>
        <v/>
      </c>
      <c r="X1915" s="52" t="str">
        <f>IF(AND(OR(LEFT(TH!L1915,2)="15",LEFT(TH!M1915,2)="15"),TK!$E$7=TH!F1915),"x","")</f>
        <v/>
      </c>
      <c r="Y1915" s="52" t="str">
        <f>IF(AND(B1915&lt;=NKC!$N$8,B1915&gt;=NKC!$M$8),"x","")</f>
        <v>x</v>
      </c>
    </row>
    <row r="1916" spans="1:25" s="208" customFormat="1" ht="15.75" customHeight="1">
      <c r="A1916" s="201" t="str">
        <f>IF(B1916&lt;&gt;"",IF(AND(B1916&gt;=_TM1,B1916&lt;=_TM2,OR(TH!L1916="1111",TH!M1916="1111")),TH!D1916,""),"")</f>
        <v/>
      </c>
      <c r="B1916" s="36">
        <f t="shared" si="91"/>
        <v>8</v>
      </c>
      <c r="C1916" s="188">
        <f t="shared" ref="C1916:C1979" si="93">E1916</f>
        <v>41498</v>
      </c>
      <c r="D1916" s="37" t="s">
        <v>457</v>
      </c>
      <c r="E1916" s="37">
        <v>41498</v>
      </c>
      <c r="F1916" s="40" t="s">
        <v>698</v>
      </c>
      <c r="G1916" s="40" t="s">
        <v>875</v>
      </c>
      <c r="H1916" s="7" t="s">
        <v>1258</v>
      </c>
      <c r="I1916" s="249">
        <v>1000</v>
      </c>
      <c r="J1916" s="249">
        <v>8259.9152355798415</v>
      </c>
      <c r="K1916" s="595">
        <f t="shared" si="92"/>
        <v>8259915</v>
      </c>
      <c r="L1916" s="39" t="s">
        <v>170</v>
      </c>
      <c r="M1916" s="39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IF(OR(TH!L1916=TH!$U$7,M1916=TH!$U$7),"x","")</f>
        <v/>
      </c>
      <c r="V1916" s="52" t="str">
        <f>IF(AND(B1916&gt;='IN-NX'!$P$3,B1916&lt;='IN-NX'!$Q$3,'IN-NX'!$D$7=D1916,OR(LEFT(L1916,2)="15",AND(LEFT(M1916,2)&lt;&gt;"15",LEFT(M1916,2)&lt;&gt;"33"))),"x","")</f>
        <v/>
      </c>
      <c r="W1916" s="52" t="str">
        <f>IF(AND(OR(LEFT(TH!L1916,2)="15",LEFT(TH!M1916,2)="15"),'152-CT'!$J$8=TH!F1916),"x","")</f>
        <v/>
      </c>
      <c r="X1916" s="52" t="str">
        <f>IF(AND(OR(LEFT(TH!L1916,2)="15",LEFT(TH!M1916,2)="15"),TK!$E$7=TH!F1916),"x","")</f>
        <v/>
      </c>
      <c r="Y1916" s="52" t="str">
        <f>IF(AND(B1916&lt;=NKC!$N$8,B1916&gt;=NKC!$M$8),"x","")</f>
        <v>x</v>
      </c>
    </row>
    <row r="1917" spans="1:25" s="208" customFormat="1" ht="15.75" customHeight="1">
      <c r="A1917" s="201" t="str">
        <f>IF(B1917&lt;&gt;"",IF(AND(B1917&gt;=_TM1,B1917&lt;=_TM2,OR(TH!L1917="1111",TH!M1917="1111")),TH!D1917,""),"")</f>
        <v/>
      </c>
      <c r="B1917" s="36">
        <f t="shared" si="91"/>
        <v>8</v>
      </c>
      <c r="C1917" s="188">
        <f t="shared" si="93"/>
        <v>41499</v>
      </c>
      <c r="D1917" s="37" t="s">
        <v>457</v>
      </c>
      <c r="E1917" s="37">
        <v>41499</v>
      </c>
      <c r="F1917" s="40" t="s">
        <v>781</v>
      </c>
      <c r="G1917" s="40" t="s">
        <v>876</v>
      </c>
      <c r="H1917" s="7" t="s">
        <v>1258</v>
      </c>
      <c r="I1917" s="249">
        <v>200</v>
      </c>
      <c r="J1917" s="249">
        <v>9247.096235579842</v>
      </c>
      <c r="K1917" s="595">
        <f t="shared" si="92"/>
        <v>1849419</v>
      </c>
      <c r="L1917" s="39" t="s">
        <v>170</v>
      </c>
      <c r="M1917" s="39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IF(OR(TH!L1917=TH!$U$7,M1917=TH!$U$7),"x","")</f>
        <v/>
      </c>
      <c r="V1917" s="52" t="str">
        <f>IF(AND(B1917&gt;='IN-NX'!$P$3,B1917&lt;='IN-NX'!$Q$3,'IN-NX'!$D$7=D1917,OR(LEFT(L1917,2)="15",AND(LEFT(M1917,2)&lt;&gt;"15",LEFT(M1917,2)&lt;&gt;"33"))),"x","")</f>
        <v/>
      </c>
      <c r="W1917" s="52" t="str">
        <f>IF(AND(OR(LEFT(TH!L1917,2)="15",LEFT(TH!M1917,2)="15"),'152-CT'!$J$8=TH!F1917),"x","")</f>
        <v/>
      </c>
      <c r="X1917" s="52" t="str">
        <f>IF(AND(OR(LEFT(TH!L1917,2)="15",LEFT(TH!M1917,2)="15"),TK!$E$7=TH!F1917),"x","")</f>
        <v/>
      </c>
      <c r="Y1917" s="52" t="str">
        <f>IF(AND(B1917&lt;=NKC!$N$8,B1917&gt;=NKC!$M$8),"x","")</f>
        <v>x</v>
      </c>
    </row>
    <row r="1918" spans="1:25" s="208" customFormat="1" ht="15.75" customHeight="1">
      <c r="A1918" s="201" t="str">
        <f>IF(B1918&lt;&gt;"",IF(AND(B1918&gt;=_TM1,B1918&lt;=_TM2,OR(TH!L1918="1111",TH!M1918="1111")),TH!D1918,""),"")</f>
        <v/>
      </c>
      <c r="B1918" s="36">
        <f t="shared" si="91"/>
        <v>8</v>
      </c>
      <c r="C1918" s="188">
        <f t="shared" si="93"/>
        <v>41499</v>
      </c>
      <c r="D1918" s="37" t="s">
        <v>457</v>
      </c>
      <c r="E1918" s="37">
        <v>41499</v>
      </c>
      <c r="F1918" s="40" t="s">
        <v>1100</v>
      </c>
      <c r="G1918" s="40" t="s">
        <v>876</v>
      </c>
      <c r="H1918" s="7" t="s">
        <v>1258</v>
      </c>
      <c r="I1918" s="249">
        <v>250</v>
      </c>
      <c r="J1918" s="249">
        <v>12357.876235579843</v>
      </c>
      <c r="K1918" s="595">
        <f t="shared" si="92"/>
        <v>3089469</v>
      </c>
      <c r="L1918" s="39" t="s">
        <v>170</v>
      </c>
      <c r="M1918" s="39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IF(OR(TH!L1918=TH!$U$7,M1918=TH!$U$7),"x","")</f>
        <v/>
      </c>
      <c r="V1918" s="52" t="str">
        <f>IF(AND(B1918&gt;='IN-NX'!$P$3,B1918&lt;='IN-NX'!$Q$3,'IN-NX'!$D$7=D1918,OR(LEFT(L1918,2)="15",AND(LEFT(M1918,2)&lt;&gt;"15",LEFT(M1918,2)&lt;&gt;"33"))),"x","")</f>
        <v/>
      </c>
      <c r="W1918" s="52" t="str">
        <f>IF(AND(OR(LEFT(TH!L1918,2)="15",LEFT(TH!M1918,2)="15"),'152-CT'!$J$8=TH!F1918),"x","")</f>
        <v/>
      </c>
      <c r="X1918" s="52" t="str">
        <f>IF(AND(OR(LEFT(TH!L1918,2)="15",LEFT(TH!M1918,2)="15"),TK!$E$7=TH!F1918),"x","")</f>
        <v/>
      </c>
      <c r="Y1918" s="52" t="str">
        <f>IF(AND(B1918&lt;=NKC!$N$8,B1918&gt;=NKC!$M$8),"x","")</f>
        <v>x</v>
      </c>
    </row>
    <row r="1919" spans="1:25" s="208" customFormat="1" ht="15.75" customHeight="1">
      <c r="A1919" s="201" t="str">
        <f>IF(B1919&lt;&gt;"",IF(AND(B1919&gt;=_TM1,B1919&lt;=_TM2,OR(TH!L1919="1111",TH!M1919="1111")),TH!D1919,""),"")</f>
        <v/>
      </c>
      <c r="B1919" s="36">
        <f t="shared" si="91"/>
        <v>8</v>
      </c>
      <c r="C1919" s="188">
        <f t="shared" si="93"/>
        <v>41499</v>
      </c>
      <c r="D1919" s="37" t="s">
        <v>457</v>
      </c>
      <c r="E1919" s="37">
        <v>41499</v>
      </c>
      <c r="F1919" s="40" t="s">
        <v>852</v>
      </c>
      <c r="G1919" s="40" t="s">
        <v>876</v>
      </c>
      <c r="H1919" s="7" t="s">
        <v>1258</v>
      </c>
      <c r="I1919" s="249">
        <v>505</v>
      </c>
      <c r="J1919" s="249">
        <v>7252.0219781541</v>
      </c>
      <c r="K1919" s="595">
        <f t="shared" si="92"/>
        <v>3662271</v>
      </c>
      <c r="L1919" s="39" t="s">
        <v>170</v>
      </c>
      <c r="M1919" s="39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IF(OR(TH!L1919=TH!$U$7,M1919=TH!$U$7),"x","")</f>
        <v/>
      </c>
      <c r="V1919" s="52" t="str">
        <f>IF(AND(B1919&gt;='IN-NX'!$P$3,B1919&lt;='IN-NX'!$Q$3,'IN-NX'!$D$7=D1919,OR(LEFT(L1919,2)="15",AND(LEFT(M1919,2)&lt;&gt;"15",LEFT(M1919,2)&lt;&gt;"33"))),"x","")</f>
        <v/>
      </c>
      <c r="W1919" s="52" t="str">
        <f>IF(AND(OR(LEFT(TH!L1919,2)="15",LEFT(TH!M1919,2)="15"),'152-CT'!$J$8=TH!F1919),"x","")</f>
        <v/>
      </c>
      <c r="X1919" s="52" t="str">
        <f>IF(AND(OR(LEFT(TH!L1919,2)="15",LEFT(TH!M1919,2)="15"),TK!$E$7=TH!F1919),"x","")</f>
        <v/>
      </c>
      <c r="Y1919" s="52" t="str">
        <f>IF(AND(B1919&lt;=NKC!$N$8,B1919&gt;=NKC!$M$8),"x","")</f>
        <v>x</v>
      </c>
    </row>
    <row r="1920" spans="1:25" s="208" customFormat="1" ht="15.75" customHeight="1">
      <c r="A1920" s="201" t="str">
        <f>IF(B1920&lt;&gt;"",IF(AND(B1920&gt;=_TM1,B1920&lt;=_TM2,OR(TH!L1920="1111",TH!M1920="1111")),TH!D1920,""),"")</f>
        <v/>
      </c>
      <c r="B1920" s="36">
        <f t="shared" si="91"/>
        <v>8</v>
      </c>
      <c r="C1920" s="188">
        <f t="shared" si="93"/>
        <v>41500</v>
      </c>
      <c r="D1920" s="37" t="s">
        <v>457</v>
      </c>
      <c r="E1920" s="37">
        <v>41500</v>
      </c>
      <c r="F1920" s="40" t="s">
        <v>877</v>
      </c>
      <c r="G1920" s="40" t="s">
        <v>878</v>
      </c>
      <c r="H1920" s="7" t="s">
        <v>1258</v>
      </c>
      <c r="I1920" s="249">
        <v>85</v>
      </c>
      <c r="J1920" s="249">
        <v>9217.0197649916063</v>
      </c>
      <c r="K1920" s="595">
        <f t="shared" si="92"/>
        <v>783447</v>
      </c>
      <c r="L1920" s="39" t="s">
        <v>170</v>
      </c>
      <c r="M1920" s="39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IF(OR(TH!L1920=TH!$U$7,M1920=TH!$U$7),"x","")</f>
        <v/>
      </c>
      <c r="V1920" s="52" t="str">
        <f>IF(AND(B1920&gt;='IN-NX'!$P$3,B1920&lt;='IN-NX'!$Q$3,'IN-NX'!$D$7=D1920,OR(LEFT(L1920,2)="15",AND(LEFT(M1920,2)&lt;&gt;"15",LEFT(M1920,2)&lt;&gt;"33"))),"x","")</f>
        <v/>
      </c>
      <c r="W1920" s="52" t="str">
        <f>IF(AND(OR(LEFT(TH!L1920,2)="15",LEFT(TH!M1920,2)="15"),'152-CT'!$J$8=TH!F1920),"x","")</f>
        <v/>
      </c>
      <c r="X1920" s="52" t="str">
        <f>IF(AND(OR(LEFT(TH!L1920,2)="15",LEFT(TH!M1920,2)="15"),TK!$E$7=TH!F1920),"x","")</f>
        <v/>
      </c>
      <c r="Y1920" s="52" t="str">
        <f>IF(AND(B1920&lt;=NKC!$N$8,B1920&gt;=NKC!$M$8),"x","")</f>
        <v>x</v>
      </c>
    </row>
    <row r="1921" spans="1:25" s="208" customFormat="1" ht="15.75" customHeight="1">
      <c r="A1921" s="201" t="str">
        <f>IF(B1921&lt;&gt;"",IF(AND(B1921&gt;=_TM1,B1921&lt;=_TM2,OR(TH!L1921="1111",TH!M1921="1111")),TH!D1921,""),"")</f>
        <v/>
      </c>
      <c r="B1921" s="36">
        <f t="shared" si="91"/>
        <v>8</v>
      </c>
      <c r="C1921" s="188">
        <f t="shared" si="93"/>
        <v>41502</v>
      </c>
      <c r="D1921" s="37" t="s">
        <v>457</v>
      </c>
      <c r="E1921" s="37">
        <v>41502</v>
      </c>
      <c r="F1921" s="40" t="s">
        <v>1099</v>
      </c>
      <c r="G1921" s="40" t="s">
        <v>879</v>
      </c>
      <c r="H1921" s="7" t="s">
        <v>1258</v>
      </c>
      <c r="I1921" s="249">
        <v>303</v>
      </c>
      <c r="J1921" s="249">
        <v>8819.5302289791816</v>
      </c>
      <c r="K1921" s="595">
        <f t="shared" si="92"/>
        <v>2672318</v>
      </c>
      <c r="L1921" s="39" t="s">
        <v>170</v>
      </c>
      <c r="M1921" s="39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IF(OR(TH!L1921=TH!$U$7,M1921=TH!$U$7),"x","")</f>
        <v/>
      </c>
      <c r="V1921" s="52" t="str">
        <f>IF(AND(B1921&gt;='IN-NX'!$P$3,B1921&lt;='IN-NX'!$Q$3,'IN-NX'!$D$7=D1921,OR(LEFT(L1921,2)="15",AND(LEFT(M1921,2)&lt;&gt;"15",LEFT(M1921,2)&lt;&gt;"33"))),"x","")</f>
        <v/>
      </c>
      <c r="W1921" s="52" t="str">
        <f>IF(AND(OR(LEFT(TH!L1921,2)="15",LEFT(TH!M1921,2)="15"),'152-CT'!$J$8=TH!F1921),"x","")</f>
        <v/>
      </c>
      <c r="X1921" s="52" t="str">
        <f>IF(AND(OR(LEFT(TH!L1921,2)="15",LEFT(TH!M1921,2)="15"),TK!$E$7=TH!F1921),"x","")</f>
        <v/>
      </c>
      <c r="Y1921" s="52" t="str">
        <f>IF(AND(B1921&lt;=NKC!$N$8,B1921&gt;=NKC!$M$8),"x","")</f>
        <v>x</v>
      </c>
    </row>
    <row r="1922" spans="1:25" s="208" customFormat="1" ht="15.75" customHeight="1">
      <c r="A1922" s="201" t="str">
        <f>IF(B1922&lt;&gt;"",IF(AND(B1922&gt;=_TM1,B1922&lt;=_TM2,OR(TH!L1922="1111",TH!M1922="1111")),TH!D1922,""),"")</f>
        <v/>
      </c>
      <c r="B1922" s="36">
        <f t="shared" si="91"/>
        <v>8</v>
      </c>
      <c r="C1922" s="188">
        <f t="shared" si="93"/>
        <v>41502</v>
      </c>
      <c r="D1922" s="37" t="s">
        <v>457</v>
      </c>
      <c r="E1922" s="37">
        <v>41502</v>
      </c>
      <c r="F1922" s="40" t="s">
        <v>711</v>
      </c>
      <c r="G1922" s="40" t="s">
        <v>880</v>
      </c>
      <c r="H1922" s="7" t="s">
        <v>1258</v>
      </c>
      <c r="I1922" s="249">
        <v>285</v>
      </c>
      <c r="J1922" s="249">
        <v>20664.65588470265</v>
      </c>
      <c r="K1922" s="595">
        <f t="shared" si="92"/>
        <v>5889427</v>
      </c>
      <c r="L1922" s="39" t="s">
        <v>170</v>
      </c>
      <c r="M1922" s="39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IF(OR(TH!L1922=TH!$U$7,M1922=TH!$U$7),"x","")</f>
        <v/>
      </c>
      <c r="V1922" s="52" t="str">
        <f>IF(AND(B1922&gt;='IN-NX'!$P$3,B1922&lt;='IN-NX'!$Q$3,'IN-NX'!$D$7=D1922,OR(LEFT(L1922,2)="15",AND(LEFT(M1922,2)&lt;&gt;"15",LEFT(M1922,2)&lt;&gt;"33"))),"x","")</f>
        <v/>
      </c>
      <c r="W1922" s="52" t="str">
        <f>IF(AND(OR(LEFT(TH!L1922,2)="15",LEFT(TH!M1922,2)="15"),'152-CT'!$J$8=TH!F1922),"x","")</f>
        <v/>
      </c>
      <c r="X1922" s="52" t="str">
        <f>IF(AND(OR(LEFT(TH!L1922,2)="15",LEFT(TH!M1922,2)="15"),TK!$E$7=TH!F1922),"x","")</f>
        <v/>
      </c>
      <c r="Y1922" s="52" t="str">
        <f>IF(AND(B1922&lt;=NKC!$N$8,B1922&gt;=NKC!$M$8),"x","")</f>
        <v>x</v>
      </c>
    </row>
    <row r="1923" spans="1:25" s="208" customFormat="1" ht="15.75" customHeight="1">
      <c r="A1923" s="201" t="str">
        <f>IF(B1923&lt;&gt;"",IF(AND(B1923&gt;=_TM1,B1923&lt;=_TM2,OR(TH!L1923="1111",TH!M1923="1111")),TH!D1923,""),"")</f>
        <v/>
      </c>
      <c r="B1923" s="36">
        <f t="shared" si="91"/>
        <v>8</v>
      </c>
      <c r="C1923" s="188">
        <f t="shared" si="93"/>
        <v>41505</v>
      </c>
      <c r="D1923" s="37" t="s">
        <v>457</v>
      </c>
      <c r="E1923" s="37">
        <v>41505</v>
      </c>
      <c r="F1923" s="40" t="s">
        <v>834</v>
      </c>
      <c r="G1923" s="40" t="s">
        <v>881</v>
      </c>
      <c r="H1923" s="7" t="s">
        <v>1258</v>
      </c>
      <c r="I1923" s="249">
        <v>505</v>
      </c>
      <c r="J1923" s="249">
        <v>20664.655641520432</v>
      </c>
      <c r="K1923" s="595">
        <f t="shared" si="92"/>
        <v>10435651</v>
      </c>
      <c r="L1923" s="39" t="s">
        <v>170</v>
      </c>
      <c r="M1923" s="39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IF(OR(TH!L1923=TH!$U$7,M1923=TH!$U$7),"x","")</f>
        <v/>
      </c>
      <c r="V1923" s="52" t="str">
        <f>IF(AND(B1923&gt;='IN-NX'!$P$3,B1923&lt;='IN-NX'!$Q$3,'IN-NX'!$D$7=D1923,OR(LEFT(L1923,2)="15",AND(LEFT(M1923,2)&lt;&gt;"15",LEFT(M1923,2)&lt;&gt;"33"))),"x","")</f>
        <v/>
      </c>
      <c r="W1923" s="52" t="str">
        <f>IF(AND(OR(LEFT(TH!L1923,2)="15",LEFT(TH!M1923,2)="15"),'152-CT'!$J$8=TH!F1923),"x","")</f>
        <v/>
      </c>
      <c r="X1923" s="52" t="str">
        <f>IF(AND(OR(LEFT(TH!L1923,2)="15",LEFT(TH!M1923,2)="15"),TK!$E$7=TH!F1923),"x","")</f>
        <v/>
      </c>
      <c r="Y1923" s="52" t="str">
        <f>IF(AND(B1923&lt;=NKC!$N$8,B1923&gt;=NKC!$M$8),"x","")</f>
        <v>x</v>
      </c>
    </row>
    <row r="1924" spans="1:25" s="208" customFormat="1" ht="15.75" customHeight="1">
      <c r="A1924" s="201" t="str">
        <f>IF(B1924&lt;&gt;"",IF(AND(B1924&gt;=_TM1,B1924&lt;=_TM2,OR(TH!L1924="1111",TH!M1924="1111")),TH!D1924,""),"")</f>
        <v/>
      </c>
      <c r="B1924" s="36">
        <f t="shared" si="91"/>
        <v>8</v>
      </c>
      <c r="C1924" s="188">
        <f t="shared" si="93"/>
        <v>41506</v>
      </c>
      <c r="D1924" s="37" t="s">
        <v>457</v>
      </c>
      <c r="E1924" s="37">
        <v>41506</v>
      </c>
      <c r="F1924" s="40" t="s">
        <v>1120</v>
      </c>
      <c r="G1924" s="40" t="s">
        <v>882</v>
      </c>
      <c r="H1924" s="7" t="s">
        <v>1258</v>
      </c>
      <c r="I1924" s="249">
        <v>2573</v>
      </c>
      <c r="J1924" s="249">
        <v>4204.3319526416371</v>
      </c>
      <c r="K1924" s="595">
        <f t="shared" si="92"/>
        <v>10817746</v>
      </c>
      <c r="L1924" s="39" t="s">
        <v>170</v>
      </c>
      <c r="M1924" s="39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IF(OR(TH!L1924=TH!$U$7,M1924=TH!$U$7),"x","")</f>
        <v/>
      </c>
      <c r="V1924" s="52" t="str">
        <f>IF(AND(B1924&gt;='IN-NX'!$P$3,B1924&lt;='IN-NX'!$Q$3,'IN-NX'!$D$7=D1924,OR(LEFT(L1924,2)="15",AND(LEFT(M1924,2)&lt;&gt;"15",LEFT(M1924,2)&lt;&gt;"33"))),"x","")</f>
        <v/>
      </c>
      <c r="W1924" s="52" t="str">
        <f>IF(AND(OR(LEFT(TH!L1924,2)="15",LEFT(TH!M1924,2)="15"),'152-CT'!$J$8=TH!F1924),"x","")</f>
        <v/>
      </c>
      <c r="X1924" s="52" t="str">
        <f>IF(AND(OR(LEFT(TH!L1924,2)="15",LEFT(TH!M1924,2)="15"),TK!$E$7=TH!F1924),"x","")</f>
        <v/>
      </c>
      <c r="Y1924" s="52" t="str">
        <f>IF(AND(B1924&lt;=NKC!$N$8,B1924&gt;=NKC!$M$8),"x","")</f>
        <v>x</v>
      </c>
    </row>
    <row r="1925" spans="1:25" s="208" customFormat="1" ht="15.75" customHeight="1">
      <c r="A1925" s="201" t="str">
        <f>IF(B1925&lt;&gt;"",IF(AND(B1925&gt;=_TM1,B1925&lt;=_TM2,OR(TH!L1925="1111",TH!M1925="1111")),TH!D1925,""),"")</f>
        <v/>
      </c>
      <c r="B1925" s="36">
        <f t="shared" si="91"/>
        <v>8</v>
      </c>
      <c r="C1925" s="188">
        <f t="shared" si="93"/>
        <v>41506</v>
      </c>
      <c r="D1925" s="37" t="s">
        <v>457</v>
      </c>
      <c r="E1925" s="37">
        <v>41506</v>
      </c>
      <c r="F1925" s="40" t="s">
        <v>1115</v>
      </c>
      <c r="G1925" s="40" t="s">
        <v>884</v>
      </c>
      <c r="H1925" s="7" t="s">
        <v>1258</v>
      </c>
      <c r="I1925" s="249">
        <v>2500</v>
      </c>
      <c r="J1925" s="249">
        <v>3793.1462355798421</v>
      </c>
      <c r="K1925" s="595">
        <f t="shared" si="92"/>
        <v>9482866</v>
      </c>
      <c r="L1925" s="39" t="s">
        <v>170</v>
      </c>
      <c r="M1925" s="39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IF(OR(TH!L1925=TH!$U$7,M1925=TH!$U$7),"x","")</f>
        <v/>
      </c>
      <c r="V1925" s="52" t="str">
        <f>IF(AND(B1925&gt;='IN-NX'!$P$3,B1925&lt;='IN-NX'!$Q$3,'IN-NX'!$D$7=D1925,OR(LEFT(L1925,2)="15",AND(LEFT(M1925,2)&lt;&gt;"15",LEFT(M1925,2)&lt;&gt;"33"))),"x","")</f>
        <v/>
      </c>
      <c r="W1925" s="52" t="str">
        <f>IF(AND(OR(LEFT(TH!L1925,2)="15",LEFT(TH!M1925,2)="15"),'152-CT'!$J$8=TH!F1925),"x","")</f>
        <v/>
      </c>
      <c r="X1925" s="52" t="str">
        <f>IF(AND(OR(LEFT(TH!L1925,2)="15",LEFT(TH!M1925,2)="15"),TK!$E$7=TH!F1925),"x","")</f>
        <v/>
      </c>
      <c r="Y1925" s="52" t="str">
        <f>IF(AND(B1925&lt;=NKC!$N$8,B1925&gt;=NKC!$M$8),"x","")</f>
        <v>x</v>
      </c>
    </row>
    <row r="1926" spans="1:25" s="208" customFormat="1" ht="15.75" customHeight="1">
      <c r="A1926" s="201" t="str">
        <f>IF(B1926&lt;&gt;"",IF(AND(B1926&gt;=_TM1,B1926&lt;=_TM2,OR(TH!L1926="1111",TH!M1926="1111")),TH!D1926,""),"")</f>
        <v/>
      </c>
      <c r="B1926" s="36">
        <f t="shared" si="91"/>
        <v>8</v>
      </c>
      <c r="C1926" s="188">
        <f t="shared" si="93"/>
        <v>41506</v>
      </c>
      <c r="D1926" s="37" t="s">
        <v>457</v>
      </c>
      <c r="E1926" s="37">
        <v>41506</v>
      </c>
      <c r="F1926" s="40" t="s">
        <v>1115</v>
      </c>
      <c r="G1926" s="40" t="s">
        <v>885</v>
      </c>
      <c r="H1926" s="7" t="s">
        <v>1258</v>
      </c>
      <c r="I1926" s="249">
        <v>3200</v>
      </c>
      <c r="J1926" s="249">
        <v>4077.087485579842</v>
      </c>
      <c r="K1926" s="595">
        <f t="shared" si="92"/>
        <v>13046680</v>
      </c>
      <c r="L1926" s="39" t="s">
        <v>170</v>
      </c>
      <c r="M1926" s="39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IF(OR(TH!L1926=TH!$U$7,M1926=TH!$U$7),"x","")</f>
        <v/>
      </c>
      <c r="V1926" s="52" t="str">
        <f>IF(AND(B1926&gt;='IN-NX'!$P$3,B1926&lt;='IN-NX'!$Q$3,'IN-NX'!$D$7=D1926,OR(LEFT(L1926,2)="15",AND(LEFT(M1926,2)&lt;&gt;"15",LEFT(M1926,2)&lt;&gt;"33"))),"x","")</f>
        <v/>
      </c>
      <c r="W1926" s="52" t="str">
        <f>IF(AND(OR(LEFT(TH!L1926,2)="15",LEFT(TH!M1926,2)="15"),'152-CT'!$J$8=TH!F1926),"x","")</f>
        <v/>
      </c>
      <c r="X1926" s="52" t="str">
        <f>IF(AND(OR(LEFT(TH!L1926,2)="15",LEFT(TH!M1926,2)="15"),TK!$E$7=TH!F1926),"x","")</f>
        <v/>
      </c>
      <c r="Y1926" s="52" t="str">
        <f>IF(AND(B1926&lt;=NKC!$N$8,B1926&gt;=NKC!$M$8),"x","")</f>
        <v>x</v>
      </c>
    </row>
    <row r="1927" spans="1:25" s="208" customFormat="1" ht="15.75" customHeight="1">
      <c r="A1927" s="201" t="str">
        <f>IF(B1927&lt;&gt;"",IF(AND(B1927&gt;=_TM1,B1927&lt;=_TM2,OR(TH!L1927="1111",TH!M1927="1111")),TH!D1927,""),"")</f>
        <v/>
      </c>
      <c r="B1927" s="36">
        <f t="shared" si="91"/>
        <v>8</v>
      </c>
      <c r="C1927" s="188">
        <f t="shared" si="93"/>
        <v>41507</v>
      </c>
      <c r="D1927" s="37" t="s">
        <v>457</v>
      </c>
      <c r="E1927" s="37">
        <v>41507</v>
      </c>
      <c r="F1927" s="40" t="s">
        <v>727</v>
      </c>
      <c r="G1927" s="40" t="s">
        <v>886</v>
      </c>
      <c r="H1927" s="7" t="s">
        <v>1258</v>
      </c>
      <c r="I1927" s="249">
        <v>296</v>
      </c>
      <c r="J1927" s="249">
        <v>8390.0692085528153</v>
      </c>
      <c r="K1927" s="595">
        <f t="shared" si="92"/>
        <v>2483460</v>
      </c>
      <c r="L1927" s="39" t="s">
        <v>170</v>
      </c>
      <c r="M1927" s="39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IF(OR(TH!L1927=TH!$U$7,M1927=TH!$U$7),"x","")</f>
        <v/>
      </c>
      <c r="V1927" s="52" t="str">
        <f>IF(AND(B1927&gt;='IN-NX'!$P$3,B1927&lt;='IN-NX'!$Q$3,'IN-NX'!$D$7=D1927,OR(LEFT(L1927,2)="15",AND(LEFT(M1927,2)&lt;&gt;"15",LEFT(M1927,2)&lt;&gt;"33"))),"x","")</f>
        <v/>
      </c>
      <c r="W1927" s="52" t="str">
        <f>IF(AND(OR(LEFT(TH!L1927,2)="15",LEFT(TH!M1927,2)="15"),'152-CT'!$J$8=TH!F1927),"x","")</f>
        <v/>
      </c>
      <c r="X1927" s="52" t="str">
        <f>IF(AND(OR(LEFT(TH!L1927,2)="15",LEFT(TH!M1927,2)="15"),TK!$E$7=TH!F1927),"x","")</f>
        <v/>
      </c>
      <c r="Y1927" s="52" t="str">
        <f>IF(AND(B1927&lt;=NKC!$N$8,B1927&gt;=NKC!$M$8),"x","")</f>
        <v>x</v>
      </c>
    </row>
    <row r="1928" spans="1:25" s="208" customFormat="1" ht="15.75" customHeight="1">
      <c r="A1928" s="201" t="str">
        <f>IF(B1928&lt;&gt;"",IF(AND(B1928&gt;=_TM1,B1928&lt;=_TM2,OR(TH!L1928="1111",TH!M1928="1111")),TH!D1928,""),"")</f>
        <v/>
      </c>
      <c r="B1928" s="36">
        <f t="shared" si="91"/>
        <v>8</v>
      </c>
      <c r="C1928" s="188">
        <f t="shared" si="93"/>
        <v>41511</v>
      </c>
      <c r="D1928" s="37" t="s">
        <v>457</v>
      </c>
      <c r="E1928" s="37">
        <v>41511</v>
      </c>
      <c r="F1928" s="40" t="s">
        <v>887</v>
      </c>
      <c r="G1928" s="40" t="s">
        <v>888</v>
      </c>
      <c r="H1928" s="7" t="s">
        <v>1258</v>
      </c>
      <c r="I1928" s="249">
        <v>52</v>
      </c>
      <c r="J1928" s="249">
        <v>9217.0193125029182</v>
      </c>
      <c r="K1928" s="595">
        <f t="shared" si="92"/>
        <v>479285</v>
      </c>
      <c r="L1928" s="39" t="s">
        <v>170</v>
      </c>
      <c r="M1928" s="39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IF(OR(TH!L1928=TH!$U$7,M1928=TH!$U$7),"x","")</f>
        <v/>
      </c>
      <c r="V1928" s="52" t="str">
        <f>IF(AND(B1928&gt;='IN-NX'!$P$3,B1928&lt;='IN-NX'!$Q$3,'IN-NX'!$D$7=D1928,OR(LEFT(L1928,2)="15",AND(LEFT(M1928,2)&lt;&gt;"15",LEFT(M1928,2)&lt;&gt;"33"))),"x","")</f>
        <v/>
      </c>
      <c r="W1928" s="52" t="str">
        <f>IF(AND(OR(LEFT(TH!L1928,2)="15",LEFT(TH!M1928,2)="15"),'152-CT'!$J$8=TH!F1928),"x","")</f>
        <v/>
      </c>
      <c r="X1928" s="52" t="str">
        <f>IF(AND(OR(LEFT(TH!L1928,2)="15",LEFT(TH!M1928,2)="15"),TK!$E$7=TH!F1928),"x","")</f>
        <v/>
      </c>
      <c r="Y1928" s="52" t="str">
        <f>IF(AND(B1928&lt;=NKC!$N$8,B1928&gt;=NKC!$M$8),"x","")</f>
        <v>x</v>
      </c>
    </row>
    <row r="1929" spans="1:25" s="208" customFormat="1" ht="15.75" customHeight="1">
      <c r="A1929" s="201" t="str">
        <f>IF(B1929&lt;&gt;"",IF(AND(B1929&gt;=_TM1,B1929&lt;=_TM2,OR(TH!L1929="1111",TH!M1929="1111")),TH!D1929,""),"")</f>
        <v/>
      </c>
      <c r="B1929" s="36">
        <f t="shared" si="91"/>
        <v>8</v>
      </c>
      <c r="C1929" s="188">
        <f t="shared" si="93"/>
        <v>41511</v>
      </c>
      <c r="D1929" s="37" t="s">
        <v>457</v>
      </c>
      <c r="E1929" s="37">
        <v>41511</v>
      </c>
      <c r="F1929" s="40" t="s">
        <v>1128</v>
      </c>
      <c r="G1929" s="40" t="s">
        <v>888</v>
      </c>
      <c r="H1929" s="7" t="s">
        <v>1258</v>
      </c>
      <c r="I1929" s="249">
        <v>1390</v>
      </c>
      <c r="J1929" s="249">
        <v>5607.8624226302018</v>
      </c>
      <c r="K1929" s="595">
        <f t="shared" si="92"/>
        <v>7794929</v>
      </c>
      <c r="L1929" s="39" t="s">
        <v>170</v>
      </c>
      <c r="M1929" s="39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IF(OR(TH!L1929=TH!$U$7,M1929=TH!$U$7),"x","")</f>
        <v/>
      </c>
      <c r="V1929" s="52" t="str">
        <f>IF(AND(B1929&gt;='IN-NX'!$P$3,B1929&lt;='IN-NX'!$Q$3,'IN-NX'!$D$7=D1929,OR(LEFT(L1929,2)="15",AND(LEFT(M1929,2)&lt;&gt;"15",LEFT(M1929,2)&lt;&gt;"33"))),"x","")</f>
        <v/>
      </c>
      <c r="W1929" s="52" t="str">
        <f>IF(AND(OR(LEFT(TH!L1929,2)="15",LEFT(TH!M1929,2)="15"),'152-CT'!$J$8=TH!F1929),"x","")</f>
        <v/>
      </c>
      <c r="X1929" s="52" t="str">
        <f>IF(AND(OR(LEFT(TH!L1929,2)="15",LEFT(TH!M1929,2)="15"),TK!$E$7=TH!F1929),"x","")</f>
        <v/>
      </c>
      <c r="Y1929" s="52" t="str">
        <f>IF(AND(B1929&lt;=NKC!$N$8,B1929&gt;=NKC!$M$8),"x","")</f>
        <v>x</v>
      </c>
    </row>
    <row r="1930" spans="1:25" s="208" customFormat="1" ht="15.75" customHeight="1">
      <c r="A1930" s="201" t="str">
        <f>IF(B1930&lt;&gt;"",IF(AND(B1930&gt;=_TM1,B1930&lt;=_TM2,OR(TH!L1930="1111",TH!M1930="1111")),TH!D1930,""),"")</f>
        <v/>
      </c>
      <c r="B1930" s="36">
        <f t="shared" si="91"/>
        <v>8</v>
      </c>
      <c r="C1930" s="188">
        <f t="shared" si="93"/>
        <v>41511</v>
      </c>
      <c r="D1930" s="37" t="s">
        <v>457</v>
      </c>
      <c r="E1930" s="37">
        <v>41511</v>
      </c>
      <c r="F1930" s="40" t="s">
        <v>889</v>
      </c>
      <c r="G1930" s="40" t="s">
        <v>888</v>
      </c>
      <c r="H1930" s="7" t="s">
        <v>1258</v>
      </c>
      <c r="I1930" s="249">
        <v>310</v>
      </c>
      <c r="J1930" s="249">
        <v>5362.596235579842</v>
      </c>
      <c r="K1930" s="595">
        <f t="shared" si="92"/>
        <v>1662405</v>
      </c>
      <c r="L1930" s="39" t="s">
        <v>170</v>
      </c>
      <c r="M1930" s="39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IF(OR(TH!L1930=TH!$U$7,M1930=TH!$U$7),"x","")</f>
        <v/>
      </c>
      <c r="V1930" s="52" t="str">
        <f>IF(AND(B1930&gt;='IN-NX'!$P$3,B1930&lt;='IN-NX'!$Q$3,'IN-NX'!$D$7=D1930,OR(LEFT(L1930,2)="15",AND(LEFT(M1930,2)&lt;&gt;"15",LEFT(M1930,2)&lt;&gt;"33"))),"x","")</f>
        <v/>
      </c>
      <c r="W1930" s="52" t="str">
        <f>IF(AND(OR(LEFT(TH!L1930,2)="15",LEFT(TH!M1930,2)="15"),'152-CT'!$J$8=TH!F1930),"x","")</f>
        <v/>
      </c>
      <c r="X1930" s="52" t="str">
        <f>IF(AND(OR(LEFT(TH!L1930,2)="15",LEFT(TH!M1930,2)="15"),TK!$E$7=TH!F1930),"x","")</f>
        <v/>
      </c>
      <c r="Y1930" s="52" t="str">
        <f>IF(AND(B1930&lt;=NKC!$N$8,B1930&gt;=NKC!$M$8),"x","")</f>
        <v>x</v>
      </c>
    </row>
    <row r="1931" spans="1:25" s="208" customFormat="1" ht="15.75" customHeight="1">
      <c r="A1931" s="201" t="str">
        <f>IF(B1931&lt;&gt;"",IF(AND(B1931&gt;=_TM1,B1931&lt;=_TM2,OR(TH!L1931="1111",TH!M1931="1111")),TH!D1931,""),"")</f>
        <v/>
      </c>
      <c r="B1931" s="36">
        <f t="shared" si="91"/>
        <v>8</v>
      </c>
      <c r="C1931" s="188">
        <f t="shared" si="93"/>
        <v>41511</v>
      </c>
      <c r="D1931" s="37" t="s">
        <v>457</v>
      </c>
      <c r="E1931" s="37">
        <v>41511</v>
      </c>
      <c r="F1931" s="40" t="s">
        <v>887</v>
      </c>
      <c r="G1931" s="40" t="s">
        <v>888</v>
      </c>
      <c r="H1931" s="7" t="s">
        <v>1258</v>
      </c>
      <c r="I1931" s="249">
        <v>90</v>
      </c>
      <c r="J1931" s="249">
        <v>8968.6406800242858</v>
      </c>
      <c r="K1931" s="595">
        <f t="shared" si="92"/>
        <v>807178</v>
      </c>
      <c r="L1931" s="39" t="s">
        <v>170</v>
      </c>
      <c r="M1931" s="39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IF(OR(TH!L1931=TH!$U$7,M1931=TH!$U$7),"x","")</f>
        <v/>
      </c>
      <c r="V1931" s="52" t="str">
        <f>IF(AND(B1931&gt;='IN-NX'!$P$3,B1931&lt;='IN-NX'!$Q$3,'IN-NX'!$D$7=D1931,OR(LEFT(L1931,2)="15",AND(LEFT(M1931,2)&lt;&gt;"15",LEFT(M1931,2)&lt;&gt;"33"))),"x","")</f>
        <v/>
      </c>
      <c r="W1931" s="52" t="str">
        <f>IF(AND(OR(LEFT(TH!L1931,2)="15",LEFT(TH!M1931,2)="15"),'152-CT'!$J$8=TH!F1931),"x","")</f>
        <v/>
      </c>
      <c r="X1931" s="52" t="str">
        <f>IF(AND(OR(LEFT(TH!L1931,2)="15",LEFT(TH!M1931,2)="15"),TK!$E$7=TH!F1931),"x","")</f>
        <v/>
      </c>
      <c r="Y1931" s="52" t="str">
        <f>IF(AND(B1931&lt;=NKC!$N$8,B1931&gt;=NKC!$M$8),"x","")</f>
        <v>x</v>
      </c>
    </row>
    <row r="1932" spans="1:25" s="208" customFormat="1" ht="15.75" customHeight="1">
      <c r="A1932" s="201" t="str">
        <f>IF(B1932&lt;&gt;"",IF(AND(B1932&gt;=_TM1,B1932&lt;=_TM2,OR(TH!L1932="1111",TH!M1932="1111")),TH!D1932,""),"")</f>
        <v/>
      </c>
      <c r="B1932" s="36">
        <f t="shared" si="91"/>
        <v>8</v>
      </c>
      <c r="C1932" s="188">
        <f t="shared" si="93"/>
        <v>41512</v>
      </c>
      <c r="D1932" s="37" t="s">
        <v>457</v>
      </c>
      <c r="E1932" s="37">
        <v>41512</v>
      </c>
      <c r="F1932" s="40" t="s">
        <v>1117</v>
      </c>
      <c r="G1932" s="40" t="s">
        <v>890</v>
      </c>
      <c r="H1932" s="7" t="s">
        <v>1258</v>
      </c>
      <c r="I1932" s="249">
        <v>1400</v>
      </c>
      <c r="J1932" s="249">
        <v>4369.8533784369847</v>
      </c>
      <c r="K1932" s="595">
        <f t="shared" si="92"/>
        <v>6117795</v>
      </c>
      <c r="L1932" s="39" t="s">
        <v>170</v>
      </c>
      <c r="M1932" s="39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IF(OR(TH!L1932=TH!$U$7,M1932=TH!$U$7),"x","")</f>
        <v/>
      </c>
      <c r="V1932" s="52" t="str">
        <f>IF(AND(B1932&gt;='IN-NX'!$P$3,B1932&lt;='IN-NX'!$Q$3,'IN-NX'!$D$7=D1932,OR(LEFT(L1932,2)="15",AND(LEFT(M1932,2)&lt;&gt;"15",LEFT(M1932,2)&lt;&gt;"33"))),"x","")</f>
        <v/>
      </c>
      <c r="W1932" s="52" t="str">
        <f>IF(AND(OR(LEFT(TH!L1932,2)="15",LEFT(TH!M1932,2)="15"),'152-CT'!$J$8=TH!F1932),"x","")</f>
        <v/>
      </c>
      <c r="X1932" s="52" t="str">
        <f>IF(AND(OR(LEFT(TH!L1932,2)="15",LEFT(TH!M1932,2)="15"),TK!$E$7=TH!F1932),"x","")</f>
        <v/>
      </c>
      <c r="Y1932" s="52" t="str">
        <f>IF(AND(B1932&lt;=NKC!$N$8,B1932&gt;=NKC!$M$8),"x","")</f>
        <v>x</v>
      </c>
    </row>
    <row r="1933" spans="1:25" s="208" customFormat="1" ht="15.75" customHeight="1">
      <c r="A1933" s="201" t="str">
        <f>IF(B1933&lt;&gt;"",IF(AND(B1933&gt;=_TM1,B1933&lt;=_TM2,OR(TH!L1933="1111",TH!M1933="1111")),TH!D1933,""),"")</f>
        <v/>
      </c>
      <c r="B1933" s="36">
        <f t="shared" si="91"/>
        <v>8</v>
      </c>
      <c r="C1933" s="188">
        <f t="shared" si="93"/>
        <v>41512</v>
      </c>
      <c r="D1933" s="37" t="s">
        <v>457</v>
      </c>
      <c r="E1933" s="37">
        <v>41512</v>
      </c>
      <c r="F1933" s="40" t="s">
        <v>1117</v>
      </c>
      <c r="G1933" s="40" t="s">
        <v>890</v>
      </c>
      <c r="H1933" s="7" t="s">
        <v>1258</v>
      </c>
      <c r="I1933" s="249">
        <v>2400</v>
      </c>
      <c r="J1933" s="249">
        <v>4387.8008189131751</v>
      </c>
      <c r="K1933" s="595">
        <f t="shared" si="92"/>
        <v>10530722</v>
      </c>
      <c r="L1933" s="39" t="s">
        <v>170</v>
      </c>
      <c r="M1933" s="39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IF(OR(TH!L1933=TH!$U$7,M1933=TH!$U$7),"x","")</f>
        <v/>
      </c>
      <c r="V1933" s="52" t="str">
        <f>IF(AND(B1933&gt;='IN-NX'!$P$3,B1933&lt;='IN-NX'!$Q$3,'IN-NX'!$D$7=D1933,OR(LEFT(L1933,2)="15",AND(LEFT(M1933,2)&lt;&gt;"15",LEFT(M1933,2)&lt;&gt;"33"))),"x","")</f>
        <v/>
      </c>
      <c r="W1933" s="52" t="str">
        <f>IF(AND(OR(LEFT(TH!L1933,2)="15",LEFT(TH!M1933,2)="15"),'152-CT'!$J$8=TH!F1933),"x","")</f>
        <v/>
      </c>
      <c r="X1933" s="52" t="str">
        <f>IF(AND(OR(LEFT(TH!L1933,2)="15",LEFT(TH!M1933,2)="15"),TK!$E$7=TH!F1933),"x","")</f>
        <v/>
      </c>
      <c r="Y1933" s="52" t="str">
        <f>IF(AND(B1933&lt;=NKC!$N$8,B1933&gt;=NKC!$M$8),"x","")</f>
        <v>x</v>
      </c>
    </row>
    <row r="1934" spans="1:25" s="208" customFormat="1" ht="15.75" customHeight="1">
      <c r="A1934" s="201" t="str">
        <f>IF(B1934&lt;&gt;"",IF(AND(B1934&gt;=_TM1,B1934&lt;=_TM2,OR(TH!L1934="1111",TH!M1934="1111")),TH!D1934,""),"")</f>
        <v/>
      </c>
      <c r="B1934" s="36">
        <f t="shared" si="91"/>
        <v>8</v>
      </c>
      <c r="C1934" s="188">
        <f t="shared" si="93"/>
        <v>41512</v>
      </c>
      <c r="D1934" s="37" t="s">
        <v>457</v>
      </c>
      <c r="E1934" s="37">
        <v>41512</v>
      </c>
      <c r="F1934" s="40" t="s">
        <v>1108</v>
      </c>
      <c r="G1934" s="40" t="s">
        <v>1082</v>
      </c>
      <c r="H1934" s="7" t="s">
        <v>1258</v>
      </c>
      <c r="I1934" s="249">
        <v>1010</v>
      </c>
      <c r="J1934" s="249">
        <v>5514.6110870649909</v>
      </c>
      <c r="K1934" s="595">
        <f t="shared" si="92"/>
        <v>5569757</v>
      </c>
      <c r="L1934" s="39" t="s">
        <v>170</v>
      </c>
      <c r="M1934" s="39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IF(OR(TH!L1934=TH!$U$7,M1934=TH!$U$7),"x","")</f>
        <v/>
      </c>
      <c r="V1934" s="52" t="str">
        <f>IF(AND(B1934&gt;='IN-NX'!$P$3,B1934&lt;='IN-NX'!$Q$3,'IN-NX'!$D$7=D1934,OR(LEFT(L1934,2)="15",AND(LEFT(M1934,2)&lt;&gt;"15",LEFT(M1934,2)&lt;&gt;"33"))),"x","")</f>
        <v/>
      </c>
      <c r="W1934" s="52" t="str">
        <f>IF(AND(OR(LEFT(TH!L1934,2)="15",LEFT(TH!M1934,2)="15"),'152-CT'!$J$8=TH!F1934),"x","")</f>
        <v/>
      </c>
      <c r="X1934" s="52" t="str">
        <f>IF(AND(OR(LEFT(TH!L1934,2)="15",LEFT(TH!M1934,2)="15"),TK!$E$7=TH!F1934),"x","")</f>
        <v/>
      </c>
      <c r="Y1934" s="52" t="str">
        <f>IF(AND(B1934&lt;=NKC!$N$8,B1934&gt;=NKC!$M$8),"x","")</f>
        <v>x</v>
      </c>
    </row>
    <row r="1935" spans="1:25" s="208" customFormat="1" ht="15.75" customHeight="1">
      <c r="A1935" s="201" t="str">
        <f>IF(B1935&lt;&gt;"",IF(AND(B1935&gt;=_TM1,B1935&lt;=_TM2,OR(TH!L1935="1111",TH!M1935="1111")),TH!D1935,""),"")</f>
        <v/>
      </c>
      <c r="B1935" s="36">
        <f t="shared" si="91"/>
        <v>8</v>
      </c>
      <c r="C1935" s="188">
        <f t="shared" si="93"/>
        <v>41512</v>
      </c>
      <c r="D1935" s="37" t="s">
        <v>457</v>
      </c>
      <c r="E1935" s="37">
        <v>41512</v>
      </c>
      <c r="F1935" s="40" t="s">
        <v>1112</v>
      </c>
      <c r="G1935" s="40" t="s">
        <v>1082</v>
      </c>
      <c r="H1935" s="7" t="s">
        <v>1258</v>
      </c>
      <c r="I1935" s="249">
        <v>102</v>
      </c>
      <c r="J1935" s="249">
        <v>12067.498196364157</v>
      </c>
      <c r="K1935" s="595">
        <f t="shared" si="92"/>
        <v>1230885</v>
      </c>
      <c r="L1935" s="39" t="s">
        <v>170</v>
      </c>
      <c r="M1935" s="39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IF(OR(TH!L1935=TH!$U$7,M1935=TH!$U$7),"x","")</f>
        <v/>
      </c>
      <c r="V1935" s="52" t="str">
        <f>IF(AND(B1935&gt;='IN-NX'!$P$3,B1935&lt;='IN-NX'!$Q$3,'IN-NX'!$D$7=D1935,OR(LEFT(L1935,2)="15",AND(LEFT(M1935,2)&lt;&gt;"15",LEFT(M1935,2)&lt;&gt;"33"))),"x","")</f>
        <v/>
      </c>
      <c r="W1935" s="52" t="str">
        <f>IF(AND(OR(LEFT(TH!L1935,2)="15",LEFT(TH!M1935,2)="15"),'152-CT'!$J$8=TH!F1935),"x","")</f>
        <v/>
      </c>
      <c r="X1935" s="52" t="str">
        <f>IF(AND(OR(LEFT(TH!L1935,2)="15",LEFT(TH!M1935,2)="15"),TK!$E$7=TH!F1935),"x","")</f>
        <v/>
      </c>
      <c r="Y1935" s="52" t="str">
        <f>IF(AND(B1935&lt;=NKC!$N$8,B1935&gt;=NKC!$M$8),"x","")</f>
        <v>x</v>
      </c>
    </row>
    <row r="1936" spans="1:25" s="208" customFormat="1" ht="15.75" customHeight="1">
      <c r="A1936" s="201" t="str">
        <f>IF(B1936&lt;&gt;"",IF(AND(B1936&gt;=_TM1,B1936&lt;=_TM2,OR(TH!L1936="1111",TH!M1936="1111")),TH!D1936,""),"")</f>
        <v/>
      </c>
      <c r="B1936" s="36">
        <f t="shared" si="91"/>
        <v>8</v>
      </c>
      <c r="C1936" s="188">
        <f t="shared" si="93"/>
        <v>41516</v>
      </c>
      <c r="D1936" s="37" t="s">
        <v>457</v>
      </c>
      <c r="E1936" s="188">
        <v>41516</v>
      </c>
      <c r="F1936" s="189" t="s">
        <v>977</v>
      </c>
      <c r="G1936" s="480" t="s">
        <v>1083</v>
      </c>
      <c r="H1936" s="7" t="s">
        <v>1258</v>
      </c>
      <c r="I1936" s="249">
        <v>400</v>
      </c>
      <c r="J1936" s="249">
        <v>11617.596235579844</v>
      </c>
      <c r="K1936" s="595">
        <f t="shared" si="92"/>
        <v>4647038</v>
      </c>
      <c r="L1936" s="39" t="s">
        <v>170</v>
      </c>
      <c r="M1936" s="39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IF(OR(TH!L1936=TH!$U$7,M1936=TH!$U$7),"x","")</f>
        <v/>
      </c>
      <c r="V1936" s="52" t="str">
        <f>IF(AND(B1936&gt;='IN-NX'!$P$3,B1936&lt;='IN-NX'!$Q$3,'IN-NX'!$D$7=D1936,OR(LEFT(L1936,2)="15",AND(LEFT(M1936,2)&lt;&gt;"15",LEFT(M1936,2)&lt;&gt;"33"))),"x","")</f>
        <v/>
      </c>
      <c r="W1936" s="52" t="str">
        <f>IF(AND(OR(LEFT(TH!L1936,2)="15",LEFT(TH!M1936,2)="15"),'152-CT'!$J$8=TH!F1936),"x","")</f>
        <v/>
      </c>
      <c r="X1936" s="52" t="str">
        <f>IF(AND(OR(LEFT(TH!L1936,2)="15",LEFT(TH!M1936,2)="15"),TK!$E$7=TH!F1936),"x","")</f>
        <v/>
      </c>
      <c r="Y1936" s="52" t="str">
        <f>IF(AND(B1936&lt;=NKC!$N$8,B1936&gt;=NKC!$M$8),"x","")</f>
        <v>x</v>
      </c>
    </row>
    <row r="1937" spans="1:25" s="208" customFormat="1" ht="15.75" customHeight="1">
      <c r="A1937" s="201" t="str">
        <f>IF(B1937&lt;&gt;"",IF(AND(B1937&gt;=_TM1,B1937&lt;=_TM2,OR(TH!L1937="1111",TH!M1937="1111")),TH!D1937,""),"")</f>
        <v/>
      </c>
      <c r="B1937" s="36">
        <f t="shared" si="91"/>
        <v>8</v>
      </c>
      <c r="C1937" s="188">
        <f t="shared" si="93"/>
        <v>41516</v>
      </c>
      <c r="D1937" s="37" t="s">
        <v>457</v>
      </c>
      <c r="E1937" s="188">
        <v>41516</v>
      </c>
      <c r="F1937" s="189" t="s">
        <v>976</v>
      </c>
      <c r="G1937" s="480" t="s">
        <v>1083</v>
      </c>
      <c r="H1937" s="7" t="s">
        <v>1258</v>
      </c>
      <c r="I1937" s="249">
        <v>210</v>
      </c>
      <c r="J1937" s="249">
        <v>13879.596235579844</v>
      </c>
      <c r="K1937" s="595">
        <f t="shared" si="92"/>
        <v>2914715</v>
      </c>
      <c r="L1937" s="39" t="s">
        <v>170</v>
      </c>
      <c r="M1937" s="39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IF(OR(TH!L1937=TH!$U$7,M1937=TH!$U$7),"x","")</f>
        <v/>
      </c>
      <c r="V1937" s="52" t="str">
        <f>IF(AND(B1937&gt;='IN-NX'!$P$3,B1937&lt;='IN-NX'!$Q$3,'IN-NX'!$D$7=D1937,OR(LEFT(L1937,2)="15",AND(LEFT(M1937,2)&lt;&gt;"15",LEFT(M1937,2)&lt;&gt;"33"))),"x","")</f>
        <v/>
      </c>
      <c r="W1937" s="52" t="str">
        <f>IF(AND(OR(LEFT(TH!L1937,2)="15",LEFT(TH!M1937,2)="15"),'152-CT'!$J$8=TH!F1937),"x","")</f>
        <v/>
      </c>
      <c r="X1937" s="52" t="str">
        <f>IF(AND(OR(LEFT(TH!L1937,2)="15",LEFT(TH!M1937,2)="15"),TK!$E$7=TH!F1937),"x","")</f>
        <v/>
      </c>
      <c r="Y1937" s="52" t="str">
        <f>IF(AND(B1937&lt;=NKC!$N$8,B1937&gt;=NKC!$M$8),"x","")</f>
        <v>x</v>
      </c>
    </row>
    <row r="1938" spans="1:25" s="208" customFormat="1" ht="15.75" customHeight="1">
      <c r="A1938" s="201" t="str">
        <f>IF(B1938&lt;&gt;"",IF(AND(B1938&gt;=_TM1,B1938&lt;=_TM2,OR(TH!L1938="1111",TH!M1938="1111")),TH!D1938,""),"")</f>
        <v/>
      </c>
      <c r="B1938" s="36">
        <f t="shared" si="91"/>
        <v>8</v>
      </c>
      <c r="C1938" s="188">
        <f t="shared" si="93"/>
        <v>41516</v>
      </c>
      <c r="D1938" s="37" t="s">
        <v>457</v>
      </c>
      <c r="E1938" s="188">
        <v>41516</v>
      </c>
      <c r="F1938" s="189" t="s">
        <v>973</v>
      </c>
      <c r="G1938" s="480" t="s">
        <v>1083</v>
      </c>
      <c r="H1938" s="7" t="s">
        <v>1258</v>
      </c>
      <c r="I1938" s="249">
        <v>150</v>
      </c>
      <c r="J1938" s="249">
        <v>7100.6762355798419</v>
      </c>
      <c r="K1938" s="595">
        <f t="shared" si="92"/>
        <v>1065101</v>
      </c>
      <c r="L1938" s="39" t="s">
        <v>170</v>
      </c>
      <c r="M1938" s="39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IF(OR(TH!L1938=TH!$U$7,M1938=TH!$U$7),"x","")</f>
        <v/>
      </c>
      <c r="V1938" s="52" t="str">
        <f>IF(AND(B1938&gt;='IN-NX'!$P$3,B1938&lt;='IN-NX'!$Q$3,'IN-NX'!$D$7=D1938,OR(LEFT(L1938,2)="15",AND(LEFT(M1938,2)&lt;&gt;"15",LEFT(M1938,2)&lt;&gt;"33"))),"x","")</f>
        <v/>
      </c>
      <c r="W1938" s="52" t="str">
        <f>IF(AND(OR(LEFT(TH!L1938,2)="15",LEFT(TH!M1938,2)="15"),'152-CT'!$J$8=TH!F1938),"x","")</f>
        <v/>
      </c>
      <c r="X1938" s="52" t="str">
        <f>IF(AND(OR(LEFT(TH!L1938,2)="15",LEFT(TH!M1938,2)="15"),TK!$E$7=TH!F1938),"x","")</f>
        <v/>
      </c>
      <c r="Y1938" s="52" t="str">
        <f>IF(AND(B1938&lt;=NKC!$N$8,B1938&gt;=NKC!$M$8),"x","")</f>
        <v>x</v>
      </c>
    </row>
    <row r="1939" spans="1:25" s="208" customFormat="1" ht="15.75" customHeight="1">
      <c r="A1939" s="201" t="str">
        <f>IF(B1939&lt;&gt;"",IF(AND(B1939&gt;=_TM1,B1939&lt;=_TM2,OR(TH!L1939="1111",TH!M1939="1111")),TH!D1939,""),"")</f>
        <v/>
      </c>
      <c r="B1939" s="36">
        <f t="shared" si="91"/>
        <v>8</v>
      </c>
      <c r="C1939" s="188">
        <f t="shared" si="93"/>
        <v>41512</v>
      </c>
      <c r="D1939" s="37" t="s">
        <v>457</v>
      </c>
      <c r="E1939" s="188">
        <v>41512</v>
      </c>
      <c r="F1939" s="189" t="s">
        <v>907</v>
      </c>
      <c r="G1939" s="480" t="s">
        <v>1084</v>
      </c>
      <c r="H1939" s="7" t="s">
        <v>1258</v>
      </c>
      <c r="I1939" s="249">
        <v>585</v>
      </c>
      <c r="J1939" s="249">
        <v>18595.396235579843</v>
      </c>
      <c r="K1939" s="595">
        <f t="shared" si="92"/>
        <v>10878307</v>
      </c>
      <c r="L1939" s="39" t="s">
        <v>170</v>
      </c>
      <c r="M1939" s="39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IF(OR(TH!L1939=TH!$U$7,M1939=TH!$U$7),"x","")</f>
        <v/>
      </c>
      <c r="V1939" s="52" t="str">
        <f>IF(AND(B1939&gt;='IN-NX'!$P$3,B1939&lt;='IN-NX'!$Q$3,'IN-NX'!$D$7=D1939,OR(LEFT(L1939,2)="15",AND(LEFT(M1939,2)&lt;&gt;"15",LEFT(M1939,2)&lt;&gt;"33"))),"x","")</f>
        <v/>
      </c>
      <c r="W1939" s="52" t="str">
        <f>IF(AND(OR(LEFT(TH!L1939,2)="15",LEFT(TH!M1939,2)="15"),'152-CT'!$J$8=TH!F1939),"x","")</f>
        <v/>
      </c>
      <c r="X1939" s="52" t="str">
        <f>IF(AND(OR(LEFT(TH!L1939,2)="15",LEFT(TH!M1939,2)="15"),TK!$E$7=TH!F1939),"x","")</f>
        <v/>
      </c>
      <c r="Y1939" s="52" t="str">
        <f>IF(AND(B1939&lt;=NKC!$N$8,B1939&gt;=NKC!$M$8),"x","")</f>
        <v>x</v>
      </c>
    </row>
    <row r="1940" spans="1:25" s="208" customFormat="1" ht="15.75" customHeight="1">
      <c r="A1940" s="201" t="str">
        <f>IF(B1940&lt;&gt;"",IF(AND(B1940&gt;=_TM1,B1940&lt;=_TM2,OR(TH!L1940="1111",TH!M1940="1111")),TH!D1940,""),"")</f>
        <v/>
      </c>
      <c r="B1940" s="36">
        <f t="shared" si="91"/>
        <v>8</v>
      </c>
      <c r="C1940" s="188">
        <f t="shared" si="93"/>
        <v>41512</v>
      </c>
      <c r="D1940" s="37" t="s">
        <v>457</v>
      </c>
      <c r="E1940" s="188">
        <v>41512</v>
      </c>
      <c r="F1940" s="189" t="s">
        <v>909</v>
      </c>
      <c r="G1940" s="480" t="s">
        <v>1084</v>
      </c>
      <c r="H1940" s="7" t="s">
        <v>1258</v>
      </c>
      <c r="I1940" s="249">
        <v>371</v>
      </c>
      <c r="J1940" s="249">
        <v>15578.445292183613</v>
      </c>
      <c r="K1940" s="595">
        <f t="shared" si="92"/>
        <v>5779603</v>
      </c>
      <c r="L1940" s="39" t="s">
        <v>170</v>
      </c>
      <c r="M1940" s="39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IF(OR(TH!L1940=TH!$U$7,M1940=TH!$U$7),"x","")</f>
        <v/>
      </c>
      <c r="V1940" s="52" t="str">
        <f>IF(AND(B1940&gt;='IN-NX'!$P$3,B1940&lt;='IN-NX'!$Q$3,'IN-NX'!$D$7=D1940,OR(LEFT(L1940,2)="15",AND(LEFT(M1940,2)&lt;&gt;"15",LEFT(M1940,2)&lt;&gt;"33"))),"x","")</f>
        <v/>
      </c>
      <c r="W1940" s="52" t="str">
        <f>IF(AND(OR(LEFT(TH!L1940,2)="15",LEFT(TH!M1940,2)="15"),'152-CT'!$J$8=TH!F1940),"x","")</f>
        <v/>
      </c>
      <c r="X1940" s="52" t="str">
        <f>IF(AND(OR(LEFT(TH!L1940,2)="15",LEFT(TH!M1940,2)="15"),TK!$E$7=TH!F1940),"x","")</f>
        <v/>
      </c>
      <c r="Y1940" s="52" t="str">
        <f>IF(AND(B1940&lt;=NKC!$N$8,B1940&gt;=NKC!$M$8),"x","")</f>
        <v>x</v>
      </c>
    </row>
    <row r="1941" spans="1:25" s="208" customFormat="1" ht="15.75" customHeight="1">
      <c r="A1941" s="201" t="str">
        <f>IF(B1941&lt;&gt;"",IF(AND(B1941&gt;=_TM1,B1941&lt;=_TM2,OR(TH!L1941="1111",TH!M1941="1111")),TH!D1941,""),"")</f>
        <v/>
      </c>
      <c r="B1941" s="36">
        <f t="shared" si="91"/>
        <v>9</v>
      </c>
      <c r="C1941" s="188">
        <f t="shared" si="93"/>
        <v>41522</v>
      </c>
      <c r="D1941" s="37" t="s">
        <v>457</v>
      </c>
      <c r="E1941" s="188">
        <v>41522</v>
      </c>
      <c r="F1941" s="189" t="s">
        <v>1116</v>
      </c>
      <c r="G1941" s="480" t="s">
        <v>1085</v>
      </c>
      <c r="H1941" s="7" t="s">
        <v>1258</v>
      </c>
      <c r="I1941" s="249">
        <v>2700</v>
      </c>
      <c r="J1941" s="249">
        <v>4471.4295689131759</v>
      </c>
      <c r="K1941" s="595">
        <f t="shared" si="92"/>
        <v>12072860</v>
      </c>
      <c r="L1941" s="39" t="s">
        <v>170</v>
      </c>
      <c r="M1941" s="39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IF(OR(TH!L1941=TH!$U$7,M1941=TH!$U$7),"x","")</f>
        <v/>
      </c>
      <c r="V1941" s="52" t="str">
        <f>IF(AND(B1941&gt;='IN-NX'!$P$3,B1941&lt;='IN-NX'!$Q$3,'IN-NX'!$D$7=D1941,OR(LEFT(L1941,2)="15",AND(LEFT(M1941,2)&lt;&gt;"15",LEFT(M1941,2)&lt;&gt;"33"))),"x","")</f>
        <v/>
      </c>
      <c r="W1941" s="52" t="str">
        <f>IF(AND(OR(LEFT(TH!L1941,2)="15",LEFT(TH!M1941,2)="15"),'152-CT'!$J$8=TH!F1941),"x","")</f>
        <v/>
      </c>
      <c r="X1941" s="52" t="str">
        <f>IF(AND(OR(LEFT(TH!L1941,2)="15",LEFT(TH!M1941,2)="15"),TK!$E$7=TH!F1941),"x","")</f>
        <v/>
      </c>
      <c r="Y1941" s="52" t="str">
        <f>IF(AND(B1941&lt;=NKC!$N$8,B1941&gt;=NKC!$M$8),"x","")</f>
        <v>x</v>
      </c>
    </row>
    <row r="1942" spans="1:25" s="208" customFormat="1" ht="15.75" customHeight="1">
      <c r="A1942" s="201" t="str">
        <f>IF(B1942&lt;&gt;"",IF(AND(B1942&gt;=_TM1,B1942&lt;=_TM2,OR(TH!L1942="1111",TH!M1942="1111")),TH!D1942,""),"")</f>
        <v/>
      </c>
      <c r="B1942" s="36">
        <f t="shared" ref="B1942:B2005" si="94">IF(C1942&lt;&gt;"",MONTH(C1942),"")</f>
        <v>9</v>
      </c>
      <c r="C1942" s="188">
        <f t="shared" si="93"/>
        <v>41523</v>
      </c>
      <c r="D1942" s="37" t="s">
        <v>457</v>
      </c>
      <c r="E1942" s="188">
        <v>41523</v>
      </c>
      <c r="F1942" s="189" t="s">
        <v>1087</v>
      </c>
      <c r="G1942" s="480" t="s">
        <v>1086</v>
      </c>
      <c r="H1942" s="7" t="s">
        <v>1258</v>
      </c>
      <c r="I1942" s="249">
        <v>1010</v>
      </c>
      <c r="J1942" s="249">
        <v>7487.096235579842</v>
      </c>
      <c r="K1942" s="595">
        <f t="shared" si="92"/>
        <v>7561967</v>
      </c>
      <c r="L1942" s="39" t="s">
        <v>170</v>
      </c>
      <c r="M1942" s="39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IF(OR(TH!L1942=TH!$U$7,M1942=TH!$U$7),"x","")</f>
        <v/>
      </c>
      <c r="V1942" s="52" t="str">
        <f>IF(AND(B1942&gt;='IN-NX'!$P$3,B1942&lt;='IN-NX'!$Q$3,'IN-NX'!$D$7=D1942,OR(LEFT(L1942,2)="15",AND(LEFT(M1942,2)&lt;&gt;"15",LEFT(M1942,2)&lt;&gt;"33"))),"x","")</f>
        <v/>
      </c>
      <c r="W1942" s="52" t="str">
        <f>IF(AND(OR(LEFT(TH!L1942,2)="15",LEFT(TH!M1942,2)="15"),'152-CT'!$J$8=TH!F1942),"x","")</f>
        <v/>
      </c>
      <c r="X1942" s="52" t="str">
        <f>IF(AND(OR(LEFT(TH!L1942,2)="15",LEFT(TH!M1942,2)="15"),TK!$E$7=TH!F1942),"x","")</f>
        <v/>
      </c>
      <c r="Y1942" s="52" t="str">
        <f>IF(AND(B1942&lt;=NKC!$N$8,B1942&gt;=NKC!$M$8),"x","")</f>
        <v>x</v>
      </c>
    </row>
    <row r="1943" spans="1:25" s="208" customFormat="1" ht="15.75" customHeight="1">
      <c r="A1943" s="201" t="str">
        <f>IF(B1943&lt;&gt;"",IF(AND(B1943&gt;=_TM1,B1943&lt;=_TM2,OR(TH!L1943="1111",TH!M1943="1111")),TH!D1943,""),"")</f>
        <v/>
      </c>
      <c r="B1943" s="36">
        <f t="shared" si="94"/>
        <v>9</v>
      </c>
      <c r="C1943" s="188">
        <f t="shared" si="93"/>
        <v>41523</v>
      </c>
      <c r="D1943" s="37" t="s">
        <v>457</v>
      </c>
      <c r="E1943" s="188">
        <v>41523</v>
      </c>
      <c r="F1943" s="189" t="s">
        <v>1088</v>
      </c>
      <c r="G1943" s="480" t="s">
        <v>1086</v>
      </c>
      <c r="H1943" s="7" t="s">
        <v>1258</v>
      </c>
      <c r="I1943" s="249">
        <v>1000</v>
      </c>
      <c r="J1943" s="249">
        <v>6615.596235579842</v>
      </c>
      <c r="K1943" s="595">
        <f t="shared" si="92"/>
        <v>6615596</v>
      </c>
      <c r="L1943" s="39" t="s">
        <v>170</v>
      </c>
      <c r="M1943" s="39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IF(OR(TH!L1943=TH!$U$7,M1943=TH!$U$7),"x","")</f>
        <v/>
      </c>
      <c r="V1943" s="52" t="str">
        <f>IF(AND(B1943&gt;='IN-NX'!$P$3,B1943&lt;='IN-NX'!$Q$3,'IN-NX'!$D$7=D1943,OR(LEFT(L1943,2)="15",AND(LEFT(M1943,2)&lt;&gt;"15",LEFT(M1943,2)&lt;&gt;"33"))),"x","")</f>
        <v/>
      </c>
      <c r="W1943" s="52" t="str">
        <f>IF(AND(OR(LEFT(TH!L1943,2)="15",LEFT(TH!M1943,2)="15"),'152-CT'!$J$8=TH!F1943),"x","")</f>
        <v/>
      </c>
      <c r="X1943" s="52" t="str">
        <f>IF(AND(OR(LEFT(TH!L1943,2)="15",LEFT(TH!M1943,2)="15"),TK!$E$7=TH!F1943),"x","")</f>
        <v/>
      </c>
      <c r="Y1943" s="52" t="str">
        <f>IF(AND(B1943&lt;=NKC!$N$8,B1943&gt;=NKC!$M$8),"x","")</f>
        <v>x</v>
      </c>
    </row>
    <row r="1944" spans="1:25" s="208" customFormat="1" ht="15.75" customHeight="1">
      <c r="A1944" s="201" t="str">
        <f>IF(B1944&lt;&gt;"",IF(AND(B1944&gt;=_TM1,B1944&lt;=_TM2,OR(TH!L1944="1111",TH!M1944="1111")),TH!D1944,""),"")</f>
        <v/>
      </c>
      <c r="B1944" s="36">
        <f t="shared" si="94"/>
        <v>9</v>
      </c>
      <c r="C1944" s="188">
        <f t="shared" si="93"/>
        <v>41526</v>
      </c>
      <c r="D1944" s="37" t="s">
        <v>457</v>
      </c>
      <c r="E1944" s="37">
        <v>41526</v>
      </c>
      <c r="F1944" s="40" t="s">
        <v>1103</v>
      </c>
      <c r="G1944" s="40" t="s">
        <v>1089</v>
      </c>
      <c r="H1944" s="7" t="s">
        <v>1258</v>
      </c>
      <c r="I1944" s="249">
        <v>990</v>
      </c>
      <c r="J1944" s="249">
        <v>6382.3911850747927</v>
      </c>
      <c r="K1944" s="595">
        <f t="shared" si="92"/>
        <v>6318567</v>
      </c>
      <c r="L1944" s="39" t="s">
        <v>170</v>
      </c>
      <c r="M1944" s="39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IF(OR(TH!L1944=TH!$U$7,M1944=TH!$U$7),"x","")</f>
        <v/>
      </c>
      <c r="V1944" s="52" t="str">
        <f>IF(AND(B1944&gt;='IN-NX'!$P$3,B1944&lt;='IN-NX'!$Q$3,'IN-NX'!$D$7=D1944,OR(LEFT(L1944,2)="15",AND(LEFT(M1944,2)&lt;&gt;"15",LEFT(M1944,2)&lt;&gt;"33"))),"x","")</f>
        <v/>
      </c>
      <c r="W1944" s="52" t="str">
        <f>IF(AND(OR(LEFT(TH!L1944,2)="15",LEFT(TH!M1944,2)="15"),'152-CT'!$J$8=TH!F1944),"x","")</f>
        <v/>
      </c>
      <c r="X1944" s="52" t="str">
        <f>IF(AND(OR(LEFT(TH!L1944,2)="15",LEFT(TH!M1944,2)="15"),TK!$E$7=TH!F1944),"x","")</f>
        <v/>
      </c>
      <c r="Y1944" s="52" t="str">
        <f>IF(AND(B1944&lt;=NKC!$N$8,B1944&gt;=NKC!$M$8),"x","")</f>
        <v>x</v>
      </c>
    </row>
    <row r="1945" spans="1:25" s="208" customFormat="1" ht="15.75" customHeight="1">
      <c r="A1945" s="201" t="str">
        <f>IF(B1945&lt;&gt;"",IF(AND(B1945&gt;=_TM1,B1945&lt;=_TM2,OR(TH!L1945="1111",TH!M1945="1111")),TH!D1945,""),"")</f>
        <v/>
      </c>
      <c r="B1945" s="36">
        <f t="shared" si="94"/>
        <v>9</v>
      </c>
      <c r="C1945" s="188">
        <f t="shared" si="93"/>
        <v>41526</v>
      </c>
      <c r="D1945" s="37" t="s">
        <v>457</v>
      </c>
      <c r="E1945" s="37">
        <v>41526</v>
      </c>
      <c r="F1945" s="40" t="s">
        <v>834</v>
      </c>
      <c r="G1945" s="40" t="s">
        <v>1090</v>
      </c>
      <c r="H1945" s="7" t="s">
        <v>1258</v>
      </c>
      <c r="I1945" s="249">
        <v>505</v>
      </c>
      <c r="J1945" s="249">
        <v>20664.655641520432</v>
      </c>
      <c r="K1945" s="595">
        <f t="shared" si="92"/>
        <v>10435651</v>
      </c>
      <c r="L1945" s="39" t="s">
        <v>170</v>
      </c>
      <c r="M1945" s="39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IF(OR(TH!L1945=TH!$U$7,M1945=TH!$U$7),"x","")</f>
        <v/>
      </c>
      <c r="V1945" s="52" t="str">
        <f>IF(AND(B1945&gt;='IN-NX'!$P$3,B1945&lt;='IN-NX'!$Q$3,'IN-NX'!$D$7=D1945,OR(LEFT(L1945,2)="15",AND(LEFT(M1945,2)&lt;&gt;"15",LEFT(M1945,2)&lt;&gt;"33"))),"x","")</f>
        <v/>
      </c>
      <c r="W1945" s="52" t="str">
        <f>IF(AND(OR(LEFT(TH!L1945,2)="15",LEFT(TH!M1945,2)="15"),'152-CT'!$J$8=TH!F1945),"x","")</f>
        <v/>
      </c>
      <c r="X1945" s="52" t="str">
        <f>IF(AND(OR(LEFT(TH!L1945,2)="15",LEFT(TH!M1945,2)="15"),TK!$E$7=TH!F1945),"x","")</f>
        <v/>
      </c>
      <c r="Y1945" s="52" t="str">
        <f>IF(AND(B1945&lt;=NKC!$N$8,B1945&gt;=NKC!$M$8),"x","")</f>
        <v>x</v>
      </c>
    </row>
    <row r="1946" spans="1:25" s="208" customFormat="1" ht="15.75" customHeight="1">
      <c r="A1946" s="201" t="str">
        <f>IF(B1946&lt;&gt;"",IF(AND(B1946&gt;=_TM1,B1946&lt;=_TM2,OR(TH!L1946="1111",TH!M1946="1111")),TH!D1946,""),"")</f>
        <v/>
      </c>
      <c r="B1946" s="36">
        <f t="shared" si="94"/>
        <v>9</v>
      </c>
      <c r="C1946" s="188">
        <f t="shared" si="93"/>
        <v>41526</v>
      </c>
      <c r="D1946" s="37" t="s">
        <v>457</v>
      </c>
      <c r="E1946" s="37">
        <v>41526</v>
      </c>
      <c r="F1946" s="40" t="s">
        <v>907</v>
      </c>
      <c r="G1946" s="40" t="s">
        <v>1091</v>
      </c>
      <c r="H1946" s="7" t="s">
        <v>1258</v>
      </c>
      <c r="I1946" s="249">
        <v>585</v>
      </c>
      <c r="J1946" s="249">
        <v>18595.396235579843</v>
      </c>
      <c r="K1946" s="595">
        <f t="shared" ref="K1946:K2009" si="95">ROUND(I1946*J1946,0)</f>
        <v>10878307</v>
      </c>
      <c r="L1946" s="39" t="s">
        <v>170</v>
      </c>
      <c r="M1946" s="39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IF(OR(TH!L1946=TH!$U$7,M1946=TH!$U$7),"x","")</f>
        <v/>
      </c>
      <c r="V1946" s="52" t="str">
        <f>IF(AND(B1946&gt;='IN-NX'!$P$3,B1946&lt;='IN-NX'!$Q$3,'IN-NX'!$D$7=D1946,OR(LEFT(L1946,2)="15",AND(LEFT(M1946,2)&lt;&gt;"15",LEFT(M1946,2)&lt;&gt;"33"))),"x","")</f>
        <v/>
      </c>
      <c r="W1946" s="52" t="str">
        <f>IF(AND(OR(LEFT(TH!L1946,2)="15",LEFT(TH!M1946,2)="15"),'152-CT'!$J$8=TH!F1946),"x","")</f>
        <v/>
      </c>
      <c r="X1946" s="52" t="str">
        <f>IF(AND(OR(LEFT(TH!L1946,2)="15",LEFT(TH!M1946,2)="15"),TK!$E$7=TH!F1946),"x","")</f>
        <v/>
      </c>
      <c r="Y1946" s="52" t="str">
        <f>IF(AND(B1946&lt;=NKC!$N$8,B1946&gt;=NKC!$M$8),"x","")</f>
        <v>x</v>
      </c>
    </row>
    <row r="1947" spans="1:25" s="208" customFormat="1" ht="15.75" customHeight="1">
      <c r="A1947" s="201" t="str">
        <f>IF(B1947&lt;&gt;"",IF(AND(B1947&gt;=_TM1,B1947&lt;=_TM2,OR(TH!L1947="1111",TH!M1947="1111")),TH!D1947,""),"")</f>
        <v/>
      </c>
      <c r="B1947" s="36">
        <f t="shared" si="94"/>
        <v>9</v>
      </c>
      <c r="C1947" s="188">
        <f t="shared" si="93"/>
        <v>41526</v>
      </c>
      <c r="D1947" s="37" t="s">
        <v>457</v>
      </c>
      <c r="E1947" s="37">
        <v>41526</v>
      </c>
      <c r="F1947" s="40" t="s">
        <v>909</v>
      </c>
      <c r="G1947" s="40" t="s">
        <v>1091</v>
      </c>
      <c r="H1947" s="7" t="s">
        <v>1258</v>
      </c>
      <c r="I1947" s="249">
        <v>300</v>
      </c>
      <c r="J1947" s="249">
        <v>14704.596235579842</v>
      </c>
      <c r="K1947" s="595">
        <f t="shared" si="95"/>
        <v>4411379</v>
      </c>
      <c r="L1947" s="39" t="s">
        <v>170</v>
      </c>
      <c r="M1947" s="39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IF(OR(TH!L1947=TH!$U$7,M1947=TH!$U$7),"x","")</f>
        <v/>
      </c>
      <c r="V1947" s="52" t="str">
        <f>IF(AND(B1947&gt;='IN-NX'!$P$3,B1947&lt;='IN-NX'!$Q$3,'IN-NX'!$D$7=D1947,OR(LEFT(L1947,2)="15",AND(LEFT(M1947,2)&lt;&gt;"15",LEFT(M1947,2)&lt;&gt;"33"))),"x","")</f>
        <v/>
      </c>
      <c r="W1947" s="52" t="str">
        <f>IF(AND(OR(LEFT(TH!L1947,2)="15",LEFT(TH!M1947,2)="15"),'152-CT'!$J$8=TH!F1947),"x","")</f>
        <v/>
      </c>
      <c r="X1947" s="52" t="str">
        <f>IF(AND(OR(LEFT(TH!L1947,2)="15",LEFT(TH!M1947,2)="15"),TK!$E$7=TH!F1947),"x","")</f>
        <v/>
      </c>
      <c r="Y1947" s="52" t="str">
        <f>IF(AND(B1947&lt;=NKC!$N$8,B1947&gt;=NKC!$M$8),"x","")</f>
        <v>x</v>
      </c>
    </row>
    <row r="1948" spans="1:25" s="208" customFormat="1" ht="15.75" customHeight="1">
      <c r="A1948" s="201" t="str">
        <f>IF(B1948&lt;&gt;"",IF(AND(B1948&gt;=_TM1,B1948&lt;=_TM2,OR(TH!L1948="1111",TH!M1948="1111")),TH!D1948,""),"")</f>
        <v/>
      </c>
      <c r="B1948" s="36">
        <f t="shared" si="94"/>
        <v>9</v>
      </c>
      <c r="C1948" s="188">
        <f t="shared" si="93"/>
        <v>41526</v>
      </c>
      <c r="D1948" s="37" t="s">
        <v>457</v>
      </c>
      <c r="E1948" s="37">
        <v>41526</v>
      </c>
      <c r="F1948" s="40" t="s">
        <v>1116</v>
      </c>
      <c r="G1948" s="40" t="s">
        <v>891</v>
      </c>
      <c r="H1948" s="7" t="s">
        <v>1258</v>
      </c>
      <c r="I1948" s="249">
        <v>2680</v>
      </c>
      <c r="J1948" s="249">
        <v>4415.9544445350666</v>
      </c>
      <c r="K1948" s="595">
        <f t="shared" si="95"/>
        <v>11834758</v>
      </c>
      <c r="L1948" s="39" t="s">
        <v>170</v>
      </c>
      <c r="M1948" s="39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IF(OR(TH!L1948=TH!$U$7,M1948=TH!$U$7),"x","")</f>
        <v/>
      </c>
      <c r="V1948" s="52" t="str">
        <f>IF(AND(B1948&gt;='IN-NX'!$P$3,B1948&lt;='IN-NX'!$Q$3,'IN-NX'!$D$7=D1948,OR(LEFT(L1948,2)="15",AND(LEFT(M1948,2)&lt;&gt;"15",LEFT(M1948,2)&lt;&gt;"33"))),"x","")</f>
        <v/>
      </c>
      <c r="W1948" s="52" t="str">
        <f>IF(AND(OR(LEFT(TH!L1948,2)="15",LEFT(TH!M1948,2)="15"),'152-CT'!$J$8=TH!F1948),"x","")</f>
        <v/>
      </c>
      <c r="X1948" s="52" t="str">
        <f>IF(AND(OR(LEFT(TH!L1948,2)="15",LEFT(TH!M1948,2)="15"),TK!$E$7=TH!F1948),"x","")</f>
        <v/>
      </c>
      <c r="Y1948" s="52" t="str">
        <f>IF(AND(B1948&lt;=NKC!$N$8,B1948&gt;=NKC!$M$8),"x","")</f>
        <v>x</v>
      </c>
    </row>
    <row r="1949" spans="1:25" s="208" customFormat="1" ht="15.75" customHeight="1">
      <c r="A1949" s="201" t="str">
        <f>IF(B1949&lt;&gt;"",IF(AND(B1949&gt;=_TM1,B1949&lt;=_TM2,OR(TH!L1949="1111",TH!M1949="1111")),TH!D1949,""),"")</f>
        <v/>
      </c>
      <c r="B1949" s="36">
        <f t="shared" si="94"/>
        <v>9</v>
      </c>
      <c r="C1949" s="188">
        <f t="shared" si="93"/>
        <v>41528</v>
      </c>
      <c r="D1949" s="37" t="s">
        <v>457</v>
      </c>
      <c r="E1949" s="37">
        <v>41528</v>
      </c>
      <c r="F1949" s="40" t="s">
        <v>892</v>
      </c>
      <c r="G1949" s="40" t="s">
        <v>893</v>
      </c>
      <c r="H1949" s="7" t="s">
        <v>1258</v>
      </c>
      <c r="I1949" s="249">
        <v>100</v>
      </c>
      <c r="J1949" s="249">
        <v>11617.596235579844</v>
      </c>
      <c r="K1949" s="595">
        <f t="shared" si="95"/>
        <v>1161760</v>
      </c>
      <c r="L1949" s="39" t="s">
        <v>170</v>
      </c>
      <c r="M1949" s="39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IF(OR(TH!L1949=TH!$U$7,M1949=TH!$U$7),"x","")</f>
        <v/>
      </c>
      <c r="V1949" s="52" t="str">
        <f>IF(AND(B1949&gt;='IN-NX'!$P$3,B1949&lt;='IN-NX'!$Q$3,'IN-NX'!$D$7=D1949,OR(LEFT(L1949,2)="15",AND(LEFT(M1949,2)&lt;&gt;"15",LEFT(M1949,2)&lt;&gt;"33"))),"x","")</f>
        <v/>
      </c>
      <c r="W1949" s="52" t="str">
        <f>IF(AND(OR(LEFT(TH!L1949,2)="15",LEFT(TH!M1949,2)="15"),'152-CT'!$J$8=TH!F1949),"x","")</f>
        <v/>
      </c>
      <c r="X1949" s="52" t="str">
        <f>IF(AND(OR(LEFT(TH!L1949,2)="15",LEFT(TH!M1949,2)="15"),TK!$E$7=TH!F1949),"x","")</f>
        <v/>
      </c>
      <c r="Y1949" s="52" t="str">
        <f>IF(AND(B1949&lt;=NKC!$N$8,B1949&gt;=NKC!$M$8),"x","")</f>
        <v>x</v>
      </c>
    </row>
    <row r="1950" spans="1:25" s="208" customFormat="1" ht="15.75" customHeight="1">
      <c r="A1950" s="201" t="str">
        <f>IF(B1950&lt;&gt;"",IF(AND(B1950&gt;=_TM1,B1950&lt;=_TM2,OR(TH!L1950="1111",TH!M1950="1111")),TH!D1950,""),"")</f>
        <v/>
      </c>
      <c r="B1950" s="36">
        <f t="shared" si="94"/>
        <v>9</v>
      </c>
      <c r="C1950" s="188">
        <f t="shared" si="93"/>
        <v>41528</v>
      </c>
      <c r="D1950" s="37" t="s">
        <v>457</v>
      </c>
      <c r="E1950" s="37">
        <v>41528</v>
      </c>
      <c r="F1950" s="40" t="s">
        <v>895</v>
      </c>
      <c r="G1950" s="40" t="s">
        <v>893</v>
      </c>
      <c r="H1950" s="7" t="s">
        <v>1258</v>
      </c>
      <c r="I1950" s="249">
        <v>102</v>
      </c>
      <c r="J1950" s="249">
        <v>13879.596235579844</v>
      </c>
      <c r="K1950" s="595">
        <f t="shared" si="95"/>
        <v>1415719</v>
      </c>
      <c r="L1950" s="39" t="s">
        <v>170</v>
      </c>
      <c r="M1950" s="39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IF(OR(TH!L1950=TH!$U$7,M1950=TH!$U$7),"x","")</f>
        <v/>
      </c>
      <c r="V1950" s="52" t="str">
        <f>IF(AND(B1950&gt;='IN-NX'!$P$3,B1950&lt;='IN-NX'!$Q$3,'IN-NX'!$D$7=D1950,OR(LEFT(L1950,2)="15",AND(LEFT(M1950,2)&lt;&gt;"15",LEFT(M1950,2)&lt;&gt;"33"))),"x","")</f>
        <v/>
      </c>
      <c r="W1950" s="52" t="str">
        <f>IF(AND(OR(LEFT(TH!L1950,2)="15",LEFT(TH!M1950,2)="15"),'152-CT'!$J$8=TH!F1950),"x","")</f>
        <v/>
      </c>
      <c r="X1950" s="52" t="str">
        <f>IF(AND(OR(LEFT(TH!L1950,2)="15",LEFT(TH!M1950,2)="15"),TK!$E$7=TH!F1950),"x","")</f>
        <v/>
      </c>
      <c r="Y1950" s="52" t="str">
        <f>IF(AND(B1950&lt;=NKC!$N$8,B1950&gt;=NKC!$M$8),"x","")</f>
        <v>x</v>
      </c>
    </row>
    <row r="1951" spans="1:25" s="208" customFormat="1" ht="15.75" customHeight="1">
      <c r="A1951" s="201" t="str">
        <f>IF(B1951&lt;&gt;"",IF(AND(B1951&gt;=_TM1,B1951&lt;=_TM2,OR(TH!L1951="1111",TH!M1951="1111")),TH!D1951,""),"")</f>
        <v/>
      </c>
      <c r="B1951" s="36">
        <f t="shared" si="94"/>
        <v>9</v>
      </c>
      <c r="C1951" s="188">
        <f t="shared" si="93"/>
        <v>41533</v>
      </c>
      <c r="D1951" s="37" t="s">
        <v>457</v>
      </c>
      <c r="E1951" s="37">
        <v>41533</v>
      </c>
      <c r="F1951" s="40" t="s">
        <v>805</v>
      </c>
      <c r="G1951" s="40" t="s">
        <v>896</v>
      </c>
      <c r="H1951" s="7" t="s">
        <v>1258</v>
      </c>
      <c r="I1951" s="249">
        <v>992</v>
      </c>
      <c r="J1951" s="249">
        <v>9217.014582354037</v>
      </c>
      <c r="K1951" s="595">
        <f t="shared" si="95"/>
        <v>9143278</v>
      </c>
      <c r="L1951" s="39" t="s">
        <v>170</v>
      </c>
      <c r="M1951" s="39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IF(OR(TH!L1951=TH!$U$7,M1951=TH!$U$7),"x","")</f>
        <v/>
      </c>
      <c r="V1951" s="52" t="str">
        <f>IF(AND(B1951&gt;='IN-NX'!$P$3,B1951&lt;='IN-NX'!$Q$3,'IN-NX'!$D$7=D1951,OR(LEFT(L1951,2)="15",AND(LEFT(M1951,2)&lt;&gt;"15",LEFT(M1951,2)&lt;&gt;"33"))),"x","")</f>
        <v/>
      </c>
      <c r="W1951" s="52" t="str">
        <f>IF(AND(OR(LEFT(TH!L1951,2)="15",LEFT(TH!M1951,2)="15"),'152-CT'!$J$8=TH!F1951),"x","")</f>
        <v/>
      </c>
      <c r="X1951" s="52" t="str">
        <f>IF(AND(OR(LEFT(TH!L1951,2)="15",LEFT(TH!M1951,2)="15"),TK!$E$7=TH!F1951),"x","")</f>
        <v/>
      </c>
      <c r="Y1951" s="52" t="str">
        <f>IF(AND(B1951&lt;=NKC!$N$8,B1951&gt;=NKC!$M$8),"x","")</f>
        <v>x</v>
      </c>
    </row>
    <row r="1952" spans="1:25" s="208" customFormat="1" ht="15.75" customHeight="1">
      <c r="A1952" s="201" t="str">
        <f>IF(B1952&lt;&gt;"",IF(AND(B1952&gt;=_TM1,B1952&lt;=_TM2,OR(TH!L1952="1111",TH!M1952="1111")),TH!D1952,""),"")</f>
        <v/>
      </c>
      <c r="B1952" s="36">
        <f t="shared" si="94"/>
        <v>9</v>
      </c>
      <c r="C1952" s="188">
        <f t="shared" si="93"/>
        <v>41535</v>
      </c>
      <c r="D1952" s="37" t="s">
        <v>457</v>
      </c>
      <c r="E1952" s="37">
        <v>41535</v>
      </c>
      <c r="F1952" s="40" t="s">
        <v>834</v>
      </c>
      <c r="G1952" s="40" t="s">
        <v>897</v>
      </c>
      <c r="H1952" s="7" t="s">
        <v>1258</v>
      </c>
      <c r="I1952" s="249">
        <v>496</v>
      </c>
      <c r="J1952" s="249">
        <v>20664.654703321779</v>
      </c>
      <c r="K1952" s="595">
        <f t="shared" si="95"/>
        <v>10249669</v>
      </c>
      <c r="L1952" s="39" t="s">
        <v>170</v>
      </c>
      <c r="M1952" s="39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IF(OR(TH!L1952=TH!$U$7,M1952=TH!$U$7),"x","")</f>
        <v/>
      </c>
      <c r="V1952" s="52" t="str">
        <f>IF(AND(B1952&gt;='IN-NX'!$P$3,B1952&lt;='IN-NX'!$Q$3,'IN-NX'!$D$7=D1952,OR(LEFT(L1952,2)="15",AND(LEFT(M1952,2)&lt;&gt;"15",LEFT(M1952,2)&lt;&gt;"33"))),"x","")</f>
        <v/>
      </c>
      <c r="W1952" s="52" t="str">
        <f>IF(AND(OR(LEFT(TH!L1952,2)="15",LEFT(TH!M1952,2)="15"),'152-CT'!$J$8=TH!F1952),"x","")</f>
        <v/>
      </c>
      <c r="X1952" s="52" t="str">
        <f>IF(AND(OR(LEFT(TH!L1952,2)="15",LEFT(TH!M1952,2)="15"),TK!$E$7=TH!F1952),"x","")</f>
        <v/>
      </c>
      <c r="Y1952" s="52" t="str">
        <f>IF(AND(B1952&lt;=NKC!$N$8,B1952&gt;=NKC!$M$8),"x","")</f>
        <v>x</v>
      </c>
    </row>
    <row r="1953" spans="1:25" s="208" customFormat="1" ht="15.75" customHeight="1">
      <c r="A1953" s="201" t="str">
        <f>IF(B1953&lt;&gt;"",IF(AND(B1953&gt;=_TM1,B1953&lt;=_TM2,OR(TH!L1953="1111",TH!M1953="1111")),TH!D1953,""),"")</f>
        <v/>
      </c>
      <c r="B1953" s="36">
        <f t="shared" si="94"/>
        <v>9</v>
      </c>
      <c r="C1953" s="188">
        <f t="shared" si="93"/>
        <v>41536</v>
      </c>
      <c r="D1953" s="37" t="s">
        <v>457</v>
      </c>
      <c r="E1953" s="37">
        <v>41536</v>
      </c>
      <c r="F1953" s="40" t="s">
        <v>898</v>
      </c>
      <c r="G1953" s="40" t="s">
        <v>899</v>
      </c>
      <c r="H1953" s="7" t="s">
        <v>1258</v>
      </c>
      <c r="I1953" s="249">
        <v>294</v>
      </c>
      <c r="J1953" s="249">
        <v>2757.9975961240598</v>
      </c>
      <c r="K1953" s="595">
        <f t="shared" si="95"/>
        <v>810851</v>
      </c>
      <c r="L1953" s="39" t="s">
        <v>170</v>
      </c>
      <c r="M1953" s="39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IF(OR(TH!L1953=TH!$U$7,M1953=TH!$U$7),"x","")</f>
        <v/>
      </c>
      <c r="V1953" s="52" t="str">
        <f>IF(AND(B1953&gt;='IN-NX'!$P$3,B1953&lt;='IN-NX'!$Q$3,'IN-NX'!$D$7=D1953,OR(LEFT(L1953,2)="15",AND(LEFT(M1953,2)&lt;&gt;"15",LEFT(M1953,2)&lt;&gt;"33"))),"x","")</f>
        <v/>
      </c>
      <c r="W1953" s="52" t="str">
        <f>IF(AND(OR(LEFT(TH!L1953,2)="15",LEFT(TH!M1953,2)="15"),'152-CT'!$J$8=TH!F1953),"x","")</f>
        <v/>
      </c>
      <c r="X1953" s="52" t="str">
        <f>IF(AND(OR(LEFT(TH!L1953,2)="15",LEFT(TH!M1953,2)="15"),TK!$E$7=TH!F1953),"x","")</f>
        <v/>
      </c>
      <c r="Y1953" s="52" t="str">
        <f>IF(AND(B1953&lt;=NKC!$N$8,B1953&gt;=NKC!$M$8),"x","")</f>
        <v>x</v>
      </c>
    </row>
    <row r="1954" spans="1:25" s="208" customFormat="1" ht="15.75" customHeight="1">
      <c r="A1954" s="201" t="str">
        <f>IF(B1954&lt;&gt;"",IF(AND(B1954&gt;=_TM1,B1954&lt;=_TM2,OR(TH!L1954="1111",TH!M1954="1111")),TH!D1954,""),"")</f>
        <v/>
      </c>
      <c r="B1954" s="36">
        <f t="shared" si="94"/>
        <v>9</v>
      </c>
      <c r="C1954" s="188">
        <f t="shared" si="93"/>
        <v>41537</v>
      </c>
      <c r="D1954" s="37" t="s">
        <v>457</v>
      </c>
      <c r="E1954" s="37">
        <v>41537</v>
      </c>
      <c r="F1954" s="40" t="s">
        <v>854</v>
      </c>
      <c r="G1954" s="40" t="s">
        <v>900</v>
      </c>
      <c r="H1954" s="7" t="s">
        <v>1258</v>
      </c>
      <c r="I1954" s="249">
        <v>510</v>
      </c>
      <c r="J1954" s="249">
        <v>7460.4785885210194</v>
      </c>
      <c r="K1954" s="595">
        <f t="shared" si="95"/>
        <v>3804844</v>
      </c>
      <c r="L1954" s="39" t="s">
        <v>170</v>
      </c>
      <c r="M1954" s="39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IF(OR(TH!L1954=TH!$U$7,M1954=TH!$U$7),"x","")</f>
        <v/>
      </c>
      <c r="V1954" s="52" t="str">
        <f>IF(AND(B1954&gt;='IN-NX'!$P$3,B1954&lt;='IN-NX'!$Q$3,'IN-NX'!$D$7=D1954,OR(LEFT(L1954,2)="15",AND(LEFT(M1954,2)&lt;&gt;"15",LEFT(M1954,2)&lt;&gt;"33"))),"x","")</f>
        <v/>
      </c>
      <c r="W1954" s="52" t="str">
        <f>IF(AND(OR(LEFT(TH!L1954,2)="15",LEFT(TH!M1954,2)="15"),'152-CT'!$J$8=TH!F1954),"x","")</f>
        <v/>
      </c>
      <c r="X1954" s="52" t="str">
        <f>IF(AND(OR(LEFT(TH!L1954,2)="15",LEFT(TH!M1954,2)="15"),TK!$E$7=TH!F1954),"x","")</f>
        <v/>
      </c>
      <c r="Y1954" s="52" t="str">
        <f>IF(AND(B1954&lt;=NKC!$N$8,B1954&gt;=NKC!$M$8),"x","")</f>
        <v>x</v>
      </c>
    </row>
    <row r="1955" spans="1:25" s="208" customFormat="1" ht="15.75" customHeight="1">
      <c r="A1955" s="201" t="str">
        <f>IF(B1955&lt;&gt;"",IF(AND(B1955&gt;=_TM1,B1955&lt;=_TM2,OR(TH!L1955="1111",TH!M1955="1111")),TH!D1955,""),"")</f>
        <v/>
      </c>
      <c r="B1955" s="36">
        <f t="shared" si="94"/>
        <v>9</v>
      </c>
      <c r="C1955" s="188">
        <f t="shared" si="93"/>
        <v>41538</v>
      </c>
      <c r="D1955" s="37" t="s">
        <v>457</v>
      </c>
      <c r="E1955" s="37">
        <v>41538</v>
      </c>
      <c r="F1955" s="40" t="s">
        <v>711</v>
      </c>
      <c r="G1955" s="40" t="s">
        <v>901</v>
      </c>
      <c r="H1955" s="7" t="s">
        <v>1258</v>
      </c>
      <c r="I1955" s="249">
        <v>331</v>
      </c>
      <c r="J1955" s="249">
        <v>20664.656658540567</v>
      </c>
      <c r="K1955" s="595">
        <f t="shared" si="95"/>
        <v>6840001</v>
      </c>
      <c r="L1955" s="39" t="s">
        <v>170</v>
      </c>
      <c r="M1955" s="39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IF(OR(TH!L1955=TH!$U$7,M1955=TH!$U$7),"x","")</f>
        <v/>
      </c>
      <c r="V1955" s="52" t="str">
        <f>IF(AND(B1955&gt;='IN-NX'!$P$3,B1955&lt;='IN-NX'!$Q$3,'IN-NX'!$D$7=D1955,OR(LEFT(L1955,2)="15",AND(LEFT(M1955,2)&lt;&gt;"15",LEFT(M1955,2)&lt;&gt;"33"))),"x","")</f>
        <v/>
      </c>
      <c r="W1955" s="52" t="str">
        <f>IF(AND(OR(LEFT(TH!L1955,2)="15",LEFT(TH!M1955,2)="15"),'152-CT'!$J$8=TH!F1955),"x","")</f>
        <v/>
      </c>
      <c r="X1955" s="52" t="str">
        <f>IF(AND(OR(LEFT(TH!L1955,2)="15",LEFT(TH!M1955,2)="15"),TK!$E$7=TH!F1955),"x","")</f>
        <v/>
      </c>
      <c r="Y1955" s="52" t="str">
        <f>IF(AND(B1955&lt;=NKC!$N$8,B1955&gt;=NKC!$M$8),"x","")</f>
        <v>x</v>
      </c>
    </row>
    <row r="1956" spans="1:25" s="208" customFormat="1" ht="15.75" customHeight="1">
      <c r="A1956" s="201" t="str">
        <f>IF(B1956&lt;&gt;"",IF(AND(B1956&gt;=_TM1,B1956&lt;=_TM2,OR(TH!L1956="1111",TH!M1956="1111")),TH!D1956,""),"")</f>
        <v/>
      </c>
      <c r="B1956" s="36">
        <f t="shared" si="94"/>
        <v>9</v>
      </c>
      <c r="C1956" s="188">
        <f t="shared" si="93"/>
        <v>41540</v>
      </c>
      <c r="D1956" s="37" t="s">
        <v>457</v>
      </c>
      <c r="E1956" s="37">
        <v>41540</v>
      </c>
      <c r="F1956" s="40" t="s">
        <v>852</v>
      </c>
      <c r="G1956" s="40" t="s">
        <v>1092</v>
      </c>
      <c r="H1956" s="7" t="s">
        <v>1258</v>
      </c>
      <c r="I1956" s="249">
        <v>430</v>
      </c>
      <c r="J1956" s="249">
        <v>7798.3171658124002</v>
      </c>
      <c r="K1956" s="595">
        <f t="shared" si="95"/>
        <v>3353276</v>
      </c>
      <c r="L1956" s="39" t="s">
        <v>170</v>
      </c>
      <c r="M1956" s="39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IF(OR(TH!L1956=TH!$U$7,M1956=TH!$U$7),"x","")</f>
        <v/>
      </c>
      <c r="V1956" s="52" t="str">
        <f>IF(AND(B1956&gt;='IN-NX'!$P$3,B1956&lt;='IN-NX'!$Q$3,'IN-NX'!$D$7=D1956,OR(LEFT(L1956,2)="15",AND(LEFT(M1956,2)&lt;&gt;"15",LEFT(M1956,2)&lt;&gt;"33"))),"x","")</f>
        <v/>
      </c>
      <c r="W1956" s="52" t="str">
        <f>IF(AND(OR(LEFT(TH!L1956,2)="15",LEFT(TH!M1956,2)="15"),'152-CT'!$J$8=TH!F1956),"x","")</f>
        <v/>
      </c>
      <c r="X1956" s="52" t="str">
        <f>IF(AND(OR(LEFT(TH!L1956,2)="15",LEFT(TH!M1956,2)="15"),TK!$E$7=TH!F1956),"x","")</f>
        <v/>
      </c>
      <c r="Y1956" s="52" t="str">
        <f>IF(AND(B1956&lt;=NKC!$N$8,B1956&gt;=NKC!$M$8),"x","")</f>
        <v>x</v>
      </c>
    </row>
    <row r="1957" spans="1:25" s="208" customFormat="1" ht="15.75" customHeight="1">
      <c r="A1957" s="201" t="str">
        <f>IF(B1957&lt;&gt;"",IF(AND(B1957&gt;=_TM1,B1957&lt;=_TM2,OR(TH!L1957="1111",TH!M1957="1111")),TH!D1957,""),"")</f>
        <v/>
      </c>
      <c r="B1957" s="36">
        <f t="shared" si="94"/>
        <v>9</v>
      </c>
      <c r="C1957" s="188">
        <f t="shared" si="93"/>
        <v>41540</v>
      </c>
      <c r="D1957" s="37" t="s">
        <v>457</v>
      </c>
      <c r="E1957" s="37">
        <v>41540</v>
      </c>
      <c r="F1957" s="40" t="s">
        <v>1100</v>
      </c>
      <c r="G1957" s="40" t="s">
        <v>1092</v>
      </c>
      <c r="H1957" s="7" t="s">
        <v>1258</v>
      </c>
      <c r="I1957" s="249">
        <v>200</v>
      </c>
      <c r="J1957" s="249">
        <v>12469.446235579844</v>
      </c>
      <c r="K1957" s="595">
        <f t="shared" si="95"/>
        <v>2493889</v>
      </c>
      <c r="L1957" s="39" t="s">
        <v>170</v>
      </c>
      <c r="M1957" s="39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IF(OR(TH!L1957=TH!$U$7,M1957=TH!$U$7),"x","")</f>
        <v/>
      </c>
      <c r="V1957" s="52" t="str">
        <f>IF(AND(B1957&gt;='IN-NX'!$P$3,B1957&lt;='IN-NX'!$Q$3,'IN-NX'!$D$7=D1957,OR(LEFT(L1957,2)="15",AND(LEFT(M1957,2)&lt;&gt;"15",LEFT(M1957,2)&lt;&gt;"33"))),"x","")</f>
        <v/>
      </c>
      <c r="W1957" s="52" t="str">
        <f>IF(AND(OR(LEFT(TH!L1957,2)="15",LEFT(TH!M1957,2)="15"),'152-CT'!$J$8=TH!F1957),"x","")</f>
        <v/>
      </c>
      <c r="X1957" s="52" t="str">
        <f>IF(AND(OR(LEFT(TH!L1957,2)="15",LEFT(TH!M1957,2)="15"),TK!$E$7=TH!F1957),"x","")</f>
        <v/>
      </c>
      <c r="Y1957" s="52" t="str">
        <f>IF(AND(B1957&lt;=NKC!$N$8,B1957&gt;=NKC!$M$8),"x","")</f>
        <v>x</v>
      </c>
    </row>
    <row r="1958" spans="1:25" s="208" customFormat="1" ht="15.75" customHeight="1">
      <c r="A1958" s="201" t="str">
        <f>IF(B1958&lt;&gt;"",IF(AND(B1958&gt;=_TM1,B1958&lt;=_TM2,OR(TH!L1958="1111",TH!M1958="1111")),TH!D1958,""),"")</f>
        <v/>
      </c>
      <c r="B1958" s="36">
        <f t="shared" si="94"/>
        <v>9</v>
      </c>
      <c r="C1958" s="188">
        <f t="shared" si="93"/>
        <v>41540</v>
      </c>
      <c r="D1958" s="37" t="s">
        <v>457</v>
      </c>
      <c r="E1958" s="188">
        <v>41540</v>
      </c>
      <c r="F1958" s="186" t="s">
        <v>1098</v>
      </c>
      <c r="G1958" s="597" t="s">
        <v>1092</v>
      </c>
      <c r="H1958" s="7" t="s">
        <v>1258</v>
      </c>
      <c r="I1958" s="249">
        <v>108</v>
      </c>
      <c r="J1958" s="249">
        <v>12737.531420765028</v>
      </c>
      <c r="K1958" s="595">
        <f t="shared" si="95"/>
        <v>1375653</v>
      </c>
      <c r="L1958" s="39" t="s">
        <v>170</v>
      </c>
      <c r="M1958" s="39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IF(OR(TH!L1958=TH!$U$7,M1958=TH!$U$7),"x","")</f>
        <v/>
      </c>
      <c r="V1958" s="52" t="str">
        <f>IF(AND(B1958&gt;='IN-NX'!$P$3,B1958&lt;='IN-NX'!$Q$3,'IN-NX'!$D$7=D1958,OR(LEFT(L1958,2)="15",AND(LEFT(M1958,2)&lt;&gt;"15",LEFT(M1958,2)&lt;&gt;"33"))),"x","")</f>
        <v/>
      </c>
      <c r="W1958" s="52" t="str">
        <f>IF(AND(OR(LEFT(TH!L1958,2)="15",LEFT(TH!M1958,2)="15"),'152-CT'!$J$8=TH!F1958),"x","")</f>
        <v/>
      </c>
      <c r="X1958" s="52" t="str">
        <f>IF(AND(OR(LEFT(TH!L1958,2)="15",LEFT(TH!M1958,2)="15"),TK!$E$7=TH!F1958),"x","")</f>
        <v/>
      </c>
      <c r="Y1958" s="52" t="str">
        <f>IF(AND(B1958&lt;=NKC!$N$8,B1958&gt;=NKC!$M$8),"x","")</f>
        <v>x</v>
      </c>
    </row>
    <row r="1959" spans="1:25" s="208" customFormat="1" ht="15.75" customHeight="1">
      <c r="A1959" s="201" t="str">
        <f>IF(B1959&lt;&gt;"",IF(AND(B1959&gt;=_TM1,B1959&lt;=_TM2,OR(TH!L1959="1111",TH!M1959="1111")),TH!D1959,""),"")</f>
        <v/>
      </c>
      <c r="B1959" s="36">
        <f t="shared" si="94"/>
        <v>9</v>
      </c>
      <c r="C1959" s="188">
        <f t="shared" si="93"/>
        <v>41540</v>
      </c>
      <c r="D1959" s="37" t="s">
        <v>457</v>
      </c>
      <c r="E1959" s="188">
        <v>41540</v>
      </c>
      <c r="F1959" s="186" t="s">
        <v>1101</v>
      </c>
      <c r="G1959" s="597" t="s">
        <v>1092</v>
      </c>
      <c r="H1959" s="7" t="s">
        <v>1258</v>
      </c>
      <c r="I1959" s="249">
        <v>257</v>
      </c>
      <c r="J1959" s="249">
        <v>6866.4250293541618</v>
      </c>
      <c r="K1959" s="595">
        <f t="shared" si="95"/>
        <v>1764671</v>
      </c>
      <c r="L1959" s="39" t="s">
        <v>170</v>
      </c>
      <c r="M1959" s="39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IF(OR(TH!L1959=TH!$U$7,M1959=TH!$U$7),"x","")</f>
        <v/>
      </c>
      <c r="V1959" s="52" t="str">
        <f>IF(AND(B1959&gt;='IN-NX'!$P$3,B1959&lt;='IN-NX'!$Q$3,'IN-NX'!$D$7=D1959,OR(LEFT(L1959,2)="15",AND(LEFT(M1959,2)&lt;&gt;"15",LEFT(M1959,2)&lt;&gt;"33"))),"x","")</f>
        <v/>
      </c>
      <c r="W1959" s="52" t="str">
        <f>IF(AND(OR(LEFT(TH!L1959,2)="15",LEFT(TH!M1959,2)="15"),'152-CT'!$J$8=TH!F1959),"x","")</f>
        <v/>
      </c>
      <c r="X1959" s="52" t="str">
        <f>IF(AND(OR(LEFT(TH!L1959,2)="15",LEFT(TH!M1959,2)="15"),TK!$E$7=TH!F1959),"x","")</f>
        <v/>
      </c>
      <c r="Y1959" s="52" t="str">
        <f>IF(AND(B1959&lt;=NKC!$N$8,B1959&gt;=NKC!$M$8),"x","")</f>
        <v>x</v>
      </c>
    </row>
    <row r="1960" spans="1:25" s="208" customFormat="1" ht="15.75" customHeight="1">
      <c r="A1960" s="201" t="str">
        <f>IF(B1960&lt;&gt;"",IF(AND(B1960&gt;=_TM1,B1960&lt;=_TM2,OR(TH!L1960="1111",TH!M1960="1111")),TH!D1960,""),"")</f>
        <v/>
      </c>
      <c r="B1960" s="36">
        <f t="shared" si="94"/>
        <v>9</v>
      </c>
      <c r="C1960" s="188">
        <f t="shared" si="93"/>
        <v>41540</v>
      </c>
      <c r="D1960" s="37" t="s">
        <v>457</v>
      </c>
      <c r="E1960" s="188">
        <v>41540</v>
      </c>
      <c r="F1960" s="186" t="s">
        <v>784</v>
      </c>
      <c r="G1960" s="597" t="s">
        <v>902</v>
      </c>
      <c r="H1960" s="7" t="s">
        <v>1258</v>
      </c>
      <c r="I1960" s="249">
        <v>424</v>
      </c>
      <c r="J1960" s="249">
        <v>16754.59623557984</v>
      </c>
      <c r="K1960" s="595">
        <f t="shared" si="95"/>
        <v>7103949</v>
      </c>
      <c r="L1960" s="39" t="s">
        <v>170</v>
      </c>
      <c r="M1960" s="39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IF(OR(TH!L1960=TH!$U$7,M1960=TH!$U$7),"x","")</f>
        <v/>
      </c>
      <c r="V1960" s="52" t="str">
        <f>IF(AND(B1960&gt;='IN-NX'!$P$3,B1960&lt;='IN-NX'!$Q$3,'IN-NX'!$D$7=D1960,OR(LEFT(L1960,2)="15",AND(LEFT(M1960,2)&lt;&gt;"15",LEFT(M1960,2)&lt;&gt;"33"))),"x","")</f>
        <v/>
      </c>
      <c r="W1960" s="52" t="str">
        <f>IF(AND(OR(LEFT(TH!L1960,2)="15",LEFT(TH!M1960,2)="15"),'152-CT'!$J$8=TH!F1960),"x","")</f>
        <v/>
      </c>
      <c r="X1960" s="52" t="str">
        <f>IF(AND(OR(LEFT(TH!L1960,2)="15",LEFT(TH!M1960,2)="15"),TK!$E$7=TH!F1960),"x","")</f>
        <v/>
      </c>
      <c r="Y1960" s="52" t="str">
        <f>IF(AND(B1960&lt;=NKC!$N$8,B1960&gt;=NKC!$M$8),"x","")</f>
        <v>x</v>
      </c>
    </row>
    <row r="1961" spans="1:25" s="208" customFormat="1" ht="15.75" customHeight="1">
      <c r="A1961" s="201" t="str">
        <f>IF(B1961&lt;&gt;"",IF(AND(B1961&gt;=_TM1,B1961&lt;=_TM2,OR(TH!L1961="1111",TH!M1961="1111")),TH!D1961,""),"")</f>
        <v/>
      </c>
      <c r="B1961" s="36">
        <f t="shared" si="94"/>
        <v>9</v>
      </c>
      <c r="C1961" s="188">
        <f t="shared" si="93"/>
        <v>41540</v>
      </c>
      <c r="D1961" s="37" t="s">
        <v>457</v>
      </c>
      <c r="E1961" s="735">
        <v>41540</v>
      </c>
      <c r="F1961" s="186" t="s">
        <v>856</v>
      </c>
      <c r="G1961" s="40" t="s">
        <v>903</v>
      </c>
      <c r="H1961" s="7" t="s">
        <v>1258</v>
      </c>
      <c r="I1961" s="249">
        <v>980</v>
      </c>
      <c r="J1961" s="249">
        <v>6675.4023580288222</v>
      </c>
      <c r="K1961" s="595">
        <f t="shared" si="95"/>
        <v>6541894</v>
      </c>
      <c r="L1961" s="39" t="s">
        <v>170</v>
      </c>
      <c r="M1961" s="39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IF(OR(TH!L1961=TH!$U$7,M1961=TH!$U$7),"x","")</f>
        <v/>
      </c>
      <c r="V1961" s="52" t="str">
        <f>IF(AND(B1961&gt;='IN-NX'!$P$3,B1961&lt;='IN-NX'!$Q$3,'IN-NX'!$D$7=D1961,OR(LEFT(L1961,2)="15",AND(LEFT(M1961,2)&lt;&gt;"15",LEFT(M1961,2)&lt;&gt;"33"))),"x","")</f>
        <v/>
      </c>
      <c r="W1961" s="52" t="str">
        <f>IF(AND(OR(LEFT(TH!L1961,2)="15",LEFT(TH!M1961,2)="15"),'152-CT'!$J$8=TH!F1961),"x","")</f>
        <v/>
      </c>
      <c r="X1961" s="52" t="str">
        <f>IF(AND(OR(LEFT(TH!L1961,2)="15",LEFT(TH!M1961,2)="15"),TK!$E$7=TH!F1961),"x","")</f>
        <v/>
      </c>
      <c r="Y1961" s="52" t="str">
        <f>IF(AND(B1961&lt;=NKC!$N$8,B1961&gt;=NKC!$M$8),"x","")</f>
        <v>x</v>
      </c>
    </row>
    <row r="1962" spans="1:25" s="208" customFormat="1" ht="15.75" customHeight="1">
      <c r="A1962" s="201" t="str">
        <f>IF(B1962&lt;&gt;"",IF(AND(B1962&gt;=_TM1,B1962&lt;=_TM2,OR(TH!L1962="1111",TH!M1962="1111")),TH!D1962,""),"")</f>
        <v/>
      </c>
      <c r="B1962" s="36">
        <f t="shared" si="94"/>
        <v>9</v>
      </c>
      <c r="C1962" s="188">
        <f t="shared" si="93"/>
        <v>41542</v>
      </c>
      <c r="D1962" s="37" t="s">
        <v>457</v>
      </c>
      <c r="E1962" s="735">
        <v>41542</v>
      </c>
      <c r="F1962" s="40" t="s">
        <v>1116</v>
      </c>
      <c r="G1962" s="40" t="s">
        <v>904</v>
      </c>
      <c r="H1962" s="7" t="s">
        <v>1258</v>
      </c>
      <c r="I1962" s="249">
        <v>2700</v>
      </c>
      <c r="J1962" s="249">
        <v>4072.9395689131761</v>
      </c>
      <c r="K1962" s="595">
        <f t="shared" si="95"/>
        <v>10996937</v>
      </c>
      <c r="L1962" s="39" t="s">
        <v>170</v>
      </c>
      <c r="M1962" s="39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IF(OR(TH!L1962=TH!$U$7,M1962=TH!$U$7),"x","")</f>
        <v/>
      </c>
      <c r="V1962" s="52" t="str">
        <f>IF(AND(B1962&gt;='IN-NX'!$P$3,B1962&lt;='IN-NX'!$Q$3,'IN-NX'!$D$7=D1962,OR(LEFT(L1962,2)="15",AND(LEFT(M1962,2)&lt;&gt;"15",LEFT(M1962,2)&lt;&gt;"33"))),"x","")</f>
        <v/>
      </c>
      <c r="W1962" s="52" t="str">
        <f>IF(AND(OR(LEFT(TH!L1962,2)="15",LEFT(TH!M1962,2)="15"),'152-CT'!$J$8=TH!F1962),"x","")</f>
        <v/>
      </c>
      <c r="X1962" s="52" t="str">
        <f>IF(AND(OR(LEFT(TH!L1962,2)="15",LEFT(TH!M1962,2)="15"),TK!$E$7=TH!F1962),"x","")</f>
        <v/>
      </c>
      <c r="Y1962" s="52" t="str">
        <f>IF(AND(B1962&lt;=NKC!$N$8,B1962&gt;=NKC!$M$8),"x","")</f>
        <v>x</v>
      </c>
    </row>
    <row r="1963" spans="1:25" s="208" customFormat="1" ht="15.75" customHeight="1">
      <c r="A1963" s="201" t="str">
        <f>IF(B1963&lt;&gt;"",IF(AND(B1963&gt;=_TM1,B1963&lt;=_TM2,OR(TH!L1963="1111",TH!M1963="1111")),TH!D1963,""),"")</f>
        <v/>
      </c>
      <c r="B1963" s="36">
        <f t="shared" si="94"/>
        <v>9</v>
      </c>
      <c r="C1963" s="188">
        <f t="shared" si="93"/>
        <v>41543</v>
      </c>
      <c r="D1963" s="37" t="s">
        <v>457</v>
      </c>
      <c r="E1963" s="735">
        <v>41543</v>
      </c>
      <c r="F1963" s="186" t="s">
        <v>1119</v>
      </c>
      <c r="G1963" s="40" t="s">
        <v>905</v>
      </c>
      <c r="H1963" s="7" t="s">
        <v>1258</v>
      </c>
      <c r="I1963" s="249">
        <v>3500</v>
      </c>
      <c r="J1963" s="249">
        <v>3407.2682355798415</v>
      </c>
      <c r="K1963" s="595">
        <f t="shared" si="95"/>
        <v>11925439</v>
      </c>
      <c r="L1963" s="39" t="s">
        <v>170</v>
      </c>
      <c r="M1963" s="39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IF(OR(TH!L1963=TH!$U$7,M1963=TH!$U$7),"x","")</f>
        <v/>
      </c>
      <c r="V1963" s="52" t="str">
        <f>IF(AND(B1963&gt;='IN-NX'!$P$3,B1963&lt;='IN-NX'!$Q$3,'IN-NX'!$D$7=D1963,OR(LEFT(L1963,2)="15",AND(LEFT(M1963,2)&lt;&gt;"15",LEFT(M1963,2)&lt;&gt;"33"))),"x","")</f>
        <v/>
      </c>
      <c r="W1963" s="52" t="str">
        <f>IF(AND(OR(LEFT(TH!L1963,2)="15",LEFT(TH!M1963,2)="15"),'152-CT'!$J$8=TH!F1963),"x","")</f>
        <v/>
      </c>
      <c r="X1963" s="52" t="str">
        <f>IF(AND(OR(LEFT(TH!L1963,2)="15",LEFT(TH!M1963,2)="15"),TK!$E$7=TH!F1963),"x","")</f>
        <v/>
      </c>
      <c r="Y1963" s="52" t="str">
        <f>IF(AND(B1963&lt;=NKC!$N$8,B1963&gt;=NKC!$M$8),"x","")</f>
        <v>x</v>
      </c>
    </row>
    <row r="1964" spans="1:25" s="208" customFormat="1" ht="15.75" customHeight="1">
      <c r="A1964" s="201" t="str">
        <f>IF(B1964&lt;&gt;"",IF(AND(B1964&gt;=_TM1,B1964&lt;=_TM2,OR(TH!L1964="1111",TH!M1964="1111")),TH!D1964,""),"")</f>
        <v/>
      </c>
      <c r="B1964" s="36">
        <f t="shared" si="94"/>
        <v>9</v>
      </c>
      <c r="C1964" s="188">
        <f t="shared" si="93"/>
        <v>41547</v>
      </c>
      <c r="D1964" s="37" t="s">
        <v>457</v>
      </c>
      <c r="E1964" s="735">
        <v>41547</v>
      </c>
      <c r="F1964" s="290" t="s">
        <v>805</v>
      </c>
      <c r="G1964" s="40" t="s">
        <v>906</v>
      </c>
      <c r="H1964" s="7" t="s">
        <v>1258</v>
      </c>
      <c r="I1964" s="249">
        <v>1004</v>
      </c>
      <c r="J1964" s="249">
        <v>9217.0145622730688</v>
      </c>
      <c r="K1964" s="595">
        <f t="shared" si="95"/>
        <v>9253883</v>
      </c>
      <c r="L1964" s="39" t="s">
        <v>170</v>
      </c>
      <c r="M1964" s="39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IF(OR(TH!L1964=TH!$U$7,M1964=TH!$U$7),"x","")</f>
        <v/>
      </c>
      <c r="V1964" s="52" t="str">
        <f>IF(AND(B1964&gt;='IN-NX'!$P$3,B1964&lt;='IN-NX'!$Q$3,'IN-NX'!$D$7=D1964,OR(LEFT(L1964,2)="15",AND(LEFT(M1964,2)&lt;&gt;"15",LEFT(M1964,2)&lt;&gt;"33"))),"x","")</f>
        <v/>
      </c>
      <c r="W1964" s="52" t="str">
        <f>IF(AND(OR(LEFT(TH!L1964,2)="15",LEFT(TH!M1964,2)="15"),'152-CT'!$J$8=TH!F1964),"x","")</f>
        <v/>
      </c>
      <c r="X1964" s="52" t="str">
        <f>IF(AND(OR(LEFT(TH!L1964,2)="15",LEFT(TH!M1964,2)="15"),TK!$E$7=TH!F1964),"x","")</f>
        <v/>
      </c>
      <c r="Y1964" s="52" t="str">
        <f>IF(AND(B1964&lt;=NKC!$N$8,B1964&gt;=NKC!$M$8),"x","")</f>
        <v>x</v>
      </c>
    </row>
    <row r="1965" spans="1:25" s="208" customFormat="1" ht="15.75" customHeight="1">
      <c r="A1965" s="201" t="str">
        <f>IF(B1965&lt;&gt;"",IF(AND(B1965&gt;=_TM1,B1965&lt;=_TM2,OR(TH!L1965="1111",TH!M1965="1111")),TH!D1965,""),"")</f>
        <v/>
      </c>
      <c r="B1965" s="36">
        <f t="shared" si="94"/>
        <v>9</v>
      </c>
      <c r="C1965" s="188">
        <f t="shared" si="93"/>
        <v>41547</v>
      </c>
      <c r="D1965" s="37" t="s">
        <v>457</v>
      </c>
      <c r="E1965" s="735">
        <v>41547</v>
      </c>
      <c r="F1965" s="40" t="s">
        <v>907</v>
      </c>
      <c r="G1965" s="40" t="s">
        <v>908</v>
      </c>
      <c r="H1965" s="7" t="s">
        <v>1258</v>
      </c>
      <c r="I1965" s="249">
        <v>525</v>
      </c>
      <c r="J1965" s="249">
        <v>18595.396235579843</v>
      </c>
      <c r="K1965" s="595">
        <f t="shared" si="95"/>
        <v>9762583</v>
      </c>
      <c r="L1965" s="39" t="s">
        <v>170</v>
      </c>
      <c r="M1965" s="39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IF(OR(TH!L1965=TH!$U$7,M1965=TH!$U$7),"x","")</f>
        <v/>
      </c>
      <c r="V1965" s="52" t="str">
        <f>IF(AND(B1965&gt;='IN-NX'!$P$3,B1965&lt;='IN-NX'!$Q$3,'IN-NX'!$D$7=D1965,OR(LEFT(L1965,2)="15",AND(LEFT(M1965,2)&lt;&gt;"15",LEFT(M1965,2)&lt;&gt;"33"))),"x","")</f>
        <v/>
      </c>
      <c r="W1965" s="52" t="str">
        <f>IF(AND(OR(LEFT(TH!L1965,2)="15",LEFT(TH!M1965,2)="15"),'152-CT'!$J$8=TH!F1965),"x","")</f>
        <v/>
      </c>
      <c r="X1965" s="52" t="str">
        <f>IF(AND(OR(LEFT(TH!L1965,2)="15",LEFT(TH!M1965,2)="15"),TK!$E$7=TH!F1965),"x","")</f>
        <v/>
      </c>
      <c r="Y1965" s="52" t="str">
        <f>IF(AND(B1965&lt;=NKC!$N$8,B1965&gt;=NKC!$M$8),"x","")</f>
        <v>x</v>
      </c>
    </row>
    <row r="1966" spans="1:25" s="208" customFormat="1" ht="15.75" customHeight="1">
      <c r="A1966" s="201" t="str">
        <f>IF(B1966&lt;&gt;"",IF(AND(B1966&gt;=_TM1,B1966&lt;=_TM2,OR(TH!L1966="1111",TH!M1966="1111")),TH!D1966,""),"")</f>
        <v/>
      </c>
      <c r="B1966" s="36">
        <f t="shared" si="94"/>
        <v>9</v>
      </c>
      <c r="C1966" s="188">
        <f t="shared" si="93"/>
        <v>41547</v>
      </c>
      <c r="D1966" s="37" t="s">
        <v>457</v>
      </c>
      <c r="E1966" s="735">
        <v>41547</v>
      </c>
      <c r="F1966" s="186" t="s">
        <v>909</v>
      </c>
      <c r="G1966" s="40" t="s">
        <v>908</v>
      </c>
      <c r="H1966" s="7" t="s">
        <v>1258</v>
      </c>
      <c r="I1966" s="249">
        <v>344</v>
      </c>
      <c r="J1966" s="249">
        <v>15538.59623557984</v>
      </c>
      <c r="K1966" s="595">
        <f t="shared" si="95"/>
        <v>5345277</v>
      </c>
      <c r="L1966" s="39" t="s">
        <v>170</v>
      </c>
      <c r="M1966" s="39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IF(OR(TH!L1966=TH!$U$7,M1966=TH!$U$7),"x","")</f>
        <v/>
      </c>
      <c r="V1966" s="52" t="str">
        <f>IF(AND(B1966&gt;='IN-NX'!$P$3,B1966&lt;='IN-NX'!$Q$3,'IN-NX'!$D$7=D1966,OR(LEFT(L1966,2)="15",AND(LEFT(M1966,2)&lt;&gt;"15",LEFT(M1966,2)&lt;&gt;"33"))),"x","")</f>
        <v/>
      </c>
      <c r="W1966" s="52" t="str">
        <f>IF(AND(OR(LEFT(TH!L1966,2)="15",LEFT(TH!M1966,2)="15"),'152-CT'!$J$8=TH!F1966),"x","")</f>
        <v/>
      </c>
      <c r="X1966" s="52" t="str">
        <f>IF(AND(OR(LEFT(TH!L1966,2)="15",LEFT(TH!M1966,2)="15"),TK!$E$7=TH!F1966),"x","")</f>
        <v/>
      </c>
      <c r="Y1966" s="52" t="str">
        <f>IF(AND(B1966&lt;=NKC!$N$8,B1966&gt;=NKC!$M$8),"x","")</f>
        <v>x</v>
      </c>
    </row>
    <row r="1967" spans="1:25" s="208" customFormat="1" ht="15.75" customHeight="1">
      <c r="A1967" s="201" t="str">
        <f>IF(B1967&lt;&gt;"",IF(AND(B1967&gt;=_TM1,B1967&lt;=_TM2,OR(TH!L1967="1111",TH!M1967="1111")),TH!D1967,""),"")</f>
        <v/>
      </c>
      <c r="B1967" s="36">
        <f t="shared" si="94"/>
        <v>9</v>
      </c>
      <c r="C1967" s="188">
        <f t="shared" si="93"/>
        <v>41547</v>
      </c>
      <c r="D1967" s="37" t="s">
        <v>457</v>
      </c>
      <c r="E1967" s="735">
        <v>41547</v>
      </c>
      <c r="F1967" s="40" t="s">
        <v>910</v>
      </c>
      <c r="G1967" s="40" t="s">
        <v>911</v>
      </c>
      <c r="H1967" s="7" t="s">
        <v>1258</v>
      </c>
      <c r="I1967" s="249">
        <v>499</v>
      </c>
      <c r="J1967" s="249">
        <v>8532.4238908904645</v>
      </c>
      <c r="K1967" s="595">
        <f t="shared" si="95"/>
        <v>4257680</v>
      </c>
      <c r="L1967" s="39" t="s">
        <v>170</v>
      </c>
      <c r="M1967" s="39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IF(OR(TH!L1967=TH!$U$7,M1967=TH!$U$7),"x","")</f>
        <v/>
      </c>
      <c r="V1967" s="52" t="str">
        <f>IF(AND(B1967&gt;='IN-NX'!$P$3,B1967&lt;='IN-NX'!$Q$3,'IN-NX'!$D$7=D1967,OR(LEFT(L1967,2)="15",AND(LEFT(M1967,2)&lt;&gt;"15",LEFT(M1967,2)&lt;&gt;"33"))),"x","")</f>
        <v/>
      </c>
      <c r="W1967" s="52" t="str">
        <f>IF(AND(OR(LEFT(TH!L1967,2)="15",LEFT(TH!M1967,2)="15"),'152-CT'!$J$8=TH!F1967),"x","")</f>
        <v/>
      </c>
      <c r="X1967" s="52" t="str">
        <f>IF(AND(OR(LEFT(TH!L1967,2)="15",LEFT(TH!M1967,2)="15"),TK!$E$7=TH!F1967),"x","")</f>
        <v/>
      </c>
      <c r="Y1967" s="52" t="str">
        <f>IF(AND(B1967&lt;=NKC!$N$8,B1967&gt;=NKC!$M$8),"x","")</f>
        <v>x</v>
      </c>
    </row>
    <row r="1968" spans="1:25" s="208" customFormat="1" ht="15.75" customHeight="1">
      <c r="A1968" s="201" t="str">
        <f>IF(B1968&lt;&gt;"",IF(AND(B1968&gt;=_TM1,B1968&lt;=_TM2,OR(TH!L1968="1111",TH!M1968="1111")),TH!D1968,""),"")</f>
        <v/>
      </c>
      <c r="B1968" s="36">
        <f t="shared" si="94"/>
        <v>9</v>
      </c>
      <c r="C1968" s="188">
        <f t="shared" si="93"/>
        <v>41547</v>
      </c>
      <c r="D1968" s="37" t="s">
        <v>457</v>
      </c>
      <c r="E1968" s="735">
        <v>41547</v>
      </c>
      <c r="F1968" s="186" t="s">
        <v>912</v>
      </c>
      <c r="G1968" s="40" t="s">
        <v>911</v>
      </c>
      <c r="H1968" s="7" t="s">
        <v>1258</v>
      </c>
      <c r="I1968" s="249">
        <v>503</v>
      </c>
      <c r="J1968" s="249">
        <v>4261.5544860768605</v>
      </c>
      <c r="K1968" s="595">
        <f t="shared" si="95"/>
        <v>2143562</v>
      </c>
      <c r="L1968" s="39" t="s">
        <v>170</v>
      </c>
      <c r="M1968" s="39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IF(OR(TH!L1968=TH!$U$7,M1968=TH!$U$7),"x","")</f>
        <v/>
      </c>
      <c r="V1968" s="52" t="str">
        <f>IF(AND(B1968&gt;='IN-NX'!$P$3,B1968&lt;='IN-NX'!$Q$3,'IN-NX'!$D$7=D1968,OR(LEFT(L1968,2)="15",AND(LEFT(M1968,2)&lt;&gt;"15",LEFT(M1968,2)&lt;&gt;"33"))),"x","")</f>
        <v/>
      </c>
      <c r="W1968" s="52" t="str">
        <f>IF(AND(OR(LEFT(TH!L1968,2)="15",LEFT(TH!M1968,2)="15"),'152-CT'!$J$8=TH!F1968),"x","")</f>
        <v/>
      </c>
      <c r="X1968" s="52" t="str">
        <f>IF(AND(OR(LEFT(TH!L1968,2)="15",LEFT(TH!M1968,2)="15"),TK!$E$7=TH!F1968),"x","")</f>
        <v/>
      </c>
      <c r="Y1968" s="52" t="str">
        <f>IF(AND(B1968&lt;=NKC!$N$8,B1968&gt;=NKC!$M$8),"x","")</f>
        <v>x</v>
      </c>
    </row>
    <row r="1969" spans="1:25" s="208" customFormat="1" ht="15.75" customHeight="1">
      <c r="A1969" s="201" t="str">
        <f>IF(B1969&lt;&gt;"",IF(AND(B1969&gt;=_TM1,B1969&lt;=_TM2,OR(TH!L1969="1111",TH!M1969="1111")),TH!D1969,""),"")</f>
        <v/>
      </c>
      <c r="B1969" s="36">
        <f t="shared" si="94"/>
        <v>9</v>
      </c>
      <c r="C1969" s="188">
        <f t="shared" si="93"/>
        <v>41547</v>
      </c>
      <c r="D1969" s="37" t="s">
        <v>457</v>
      </c>
      <c r="E1969" s="735">
        <v>41547</v>
      </c>
      <c r="F1969" s="186" t="s">
        <v>912</v>
      </c>
      <c r="G1969" s="40" t="s">
        <v>911</v>
      </c>
      <c r="H1969" s="7" t="s">
        <v>1258</v>
      </c>
      <c r="I1969" s="249">
        <v>503</v>
      </c>
      <c r="J1969" s="249">
        <v>4261.5544860768605</v>
      </c>
      <c r="K1969" s="595">
        <f t="shared" si="95"/>
        <v>2143562</v>
      </c>
      <c r="L1969" s="39" t="s">
        <v>170</v>
      </c>
      <c r="M1969" s="39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IF(OR(TH!L1969=TH!$U$7,M1969=TH!$U$7),"x","")</f>
        <v/>
      </c>
      <c r="V1969" s="52" t="str">
        <f>IF(AND(B1969&gt;='IN-NX'!$P$3,B1969&lt;='IN-NX'!$Q$3,'IN-NX'!$D$7=D1969,OR(LEFT(L1969,2)="15",AND(LEFT(M1969,2)&lt;&gt;"15",LEFT(M1969,2)&lt;&gt;"33"))),"x","")</f>
        <v/>
      </c>
      <c r="W1969" s="52" t="str">
        <f>IF(AND(OR(LEFT(TH!L1969,2)="15",LEFT(TH!M1969,2)="15"),'152-CT'!$J$8=TH!F1969),"x","")</f>
        <v/>
      </c>
      <c r="X1969" s="52" t="str">
        <f>IF(AND(OR(LEFT(TH!L1969,2)="15",LEFT(TH!M1969,2)="15"),TK!$E$7=TH!F1969),"x","")</f>
        <v/>
      </c>
      <c r="Y1969" s="52" t="str">
        <f>IF(AND(B1969&lt;=NKC!$N$8,B1969&gt;=NKC!$M$8),"x","")</f>
        <v>x</v>
      </c>
    </row>
    <row r="1970" spans="1:25" s="208" customFormat="1" ht="15.75" customHeight="1">
      <c r="A1970" s="201" t="str">
        <f>IF(B1970&lt;&gt;"",IF(AND(B1970&gt;=_TM1,B1970&lt;=_TM2,OR(TH!L1970="1111",TH!M1970="1111")),TH!D1970,""),"")</f>
        <v/>
      </c>
      <c r="B1970" s="36">
        <f t="shared" si="94"/>
        <v>9</v>
      </c>
      <c r="C1970" s="188">
        <f t="shared" si="93"/>
        <v>41547</v>
      </c>
      <c r="D1970" s="37" t="s">
        <v>457</v>
      </c>
      <c r="E1970" s="181">
        <v>41547</v>
      </c>
      <c r="F1970" s="186" t="s">
        <v>913</v>
      </c>
      <c r="G1970" s="597" t="s">
        <v>911</v>
      </c>
      <c r="H1970" s="7" t="s">
        <v>1258</v>
      </c>
      <c r="I1970" s="249">
        <v>510</v>
      </c>
      <c r="J1970" s="249">
        <v>4307.9197649916068</v>
      </c>
      <c r="K1970" s="595">
        <f t="shared" si="95"/>
        <v>2197039</v>
      </c>
      <c r="L1970" s="39" t="s">
        <v>170</v>
      </c>
      <c r="M1970" s="39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IF(OR(TH!L1970=TH!$U$7,M1970=TH!$U$7),"x","")</f>
        <v/>
      </c>
      <c r="V1970" s="52" t="str">
        <f>IF(AND(B1970&gt;='IN-NX'!$P$3,B1970&lt;='IN-NX'!$Q$3,'IN-NX'!$D$7=D1970,OR(LEFT(L1970,2)="15",AND(LEFT(M1970,2)&lt;&gt;"15",LEFT(M1970,2)&lt;&gt;"33"))),"x","")</f>
        <v/>
      </c>
      <c r="W1970" s="52" t="str">
        <f>IF(AND(OR(LEFT(TH!L1970,2)="15",LEFT(TH!M1970,2)="15"),'152-CT'!$J$8=TH!F1970),"x","")</f>
        <v/>
      </c>
      <c r="X1970" s="52" t="str">
        <f>IF(AND(OR(LEFT(TH!L1970,2)="15",LEFT(TH!M1970,2)="15"),TK!$E$7=TH!F1970),"x","")</f>
        <v/>
      </c>
      <c r="Y1970" s="52" t="str">
        <f>IF(AND(B1970&lt;=NKC!$N$8,B1970&gt;=NKC!$M$8),"x","")</f>
        <v>x</v>
      </c>
    </row>
    <row r="1971" spans="1:25" s="208" customFormat="1" ht="15.75" customHeight="1">
      <c r="A1971" s="201" t="str">
        <f>IF(B1971&lt;&gt;"",IF(AND(B1971&gt;=_TM1,B1971&lt;=_TM2,OR(TH!L1971="1111",TH!M1971="1111")),TH!D1971,""),"")</f>
        <v/>
      </c>
      <c r="B1971" s="36">
        <f t="shared" si="94"/>
        <v>9</v>
      </c>
      <c r="C1971" s="188">
        <f t="shared" si="93"/>
        <v>41547</v>
      </c>
      <c r="D1971" s="37" t="s">
        <v>457</v>
      </c>
      <c r="E1971" s="735">
        <v>41547</v>
      </c>
      <c r="F1971" s="40" t="s">
        <v>1103</v>
      </c>
      <c r="G1971" s="40" t="s">
        <v>914</v>
      </c>
      <c r="H1971" s="7" t="s">
        <v>1258</v>
      </c>
      <c r="I1971" s="249">
        <v>2700</v>
      </c>
      <c r="J1971" s="249">
        <v>6142.688828172435</v>
      </c>
      <c r="K1971" s="595">
        <f t="shared" si="95"/>
        <v>16585260</v>
      </c>
      <c r="L1971" s="39" t="s">
        <v>170</v>
      </c>
      <c r="M1971" s="39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IF(OR(TH!L1971=TH!$U$7,M1971=TH!$U$7),"x","")</f>
        <v/>
      </c>
      <c r="V1971" s="52" t="str">
        <f>IF(AND(B1971&gt;='IN-NX'!$P$3,B1971&lt;='IN-NX'!$Q$3,'IN-NX'!$D$7=D1971,OR(LEFT(L1971,2)="15",AND(LEFT(M1971,2)&lt;&gt;"15",LEFT(M1971,2)&lt;&gt;"33"))),"x","")</f>
        <v/>
      </c>
      <c r="W1971" s="52" t="str">
        <f>IF(AND(OR(LEFT(TH!L1971,2)="15",LEFT(TH!M1971,2)="15"),'152-CT'!$J$8=TH!F1971),"x","")</f>
        <v/>
      </c>
      <c r="X1971" s="52" t="str">
        <f>IF(AND(OR(LEFT(TH!L1971,2)="15",LEFT(TH!M1971,2)="15"),TK!$E$7=TH!F1971),"x","")</f>
        <v/>
      </c>
      <c r="Y1971" s="52" t="str">
        <f>IF(AND(B1971&lt;=NKC!$N$8,B1971&gt;=NKC!$M$8),"x","")</f>
        <v>x</v>
      </c>
    </row>
    <row r="1972" spans="1:25" s="798" customFormat="1" ht="15.75" customHeight="1">
      <c r="A1972" s="201" t="str">
        <f>IF(B1972&lt;&gt;"",IF(AND(B1972&gt;=_TM1,B1972&lt;=_TM2,OR(TH!L1972="1111",TH!M1972="1111")),TH!D1972,""),"")</f>
        <v/>
      </c>
      <c r="B1972" s="796">
        <f t="shared" si="94"/>
        <v>10</v>
      </c>
      <c r="C1972" s="853">
        <f t="shared" si="93"/>
        <v>41548</v>
      </c>
      <c r="D1972" s="37" t="s">
        <v>457</v>
      </c>
      <c r="E1972" s="872">
        <v>41548</v>
      </c>
      <c r="F1972" s="864" t="s">
        <v>907</v>
      </c>
      <c r="G1972" s="855" t="s">
        <v>915</v>
      </c>
      <c r="H1972" s="856" t="s">
        <v>1258</v>
      </c>
      <c r="I1972" s="863">
        <v>60</v>
      </c>
      <c r="J1972" s="863">
        <v>18010.140192092691</v>
      </c>
      <c r="K1972" s="793">
        <f t="shared" si="95"/>
        <v>1080608</v>
      </c>
      <c r="L1972" s="786" t="s">
        <v>170</v>
      </c>
      <c r="M1972" s="786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IF(OR(TH!L1972=TH!$U$7,M1972=TH!$U$7),"x","")</f>
        <v/>
      </c>
      <c r="V1972" s="52" t="str">
        <f>IF(AND(B1972&gt;='IN-NX'!$P$3,B1972&lt;='IN-NX'!$Q$3,'IN-NX'!$D$7=D1972,OR(LEFT(L1972,2)="15",AND(LEFT(M1972,2)&lt;&gt;"15",LEFT(M1972,2)&lt;&gt;"33"))),"x","")</f>
        <v/>
      </c>
      <c r="W1972" s="52" t="str">
        <f>IF(AND(OR(LEFT(TH!L1972,2)="15",LEFT(TH!M1972,2)="15"),'152-CT'!$J$8=TH!F1972),"x","")</f>
        <v/>
      </c>
      <c r="X1972" s="52" t="str">
        <f>IF(AND(OR(LEFT(TH!L1972,2)="15",LEFT(TH!M1972,2)="15"),TK!$E$7=TH!F1972),"x","")</f>
        <v/>
      </c>
      <c r="Y1972" s="52" t="str">
        <f>IF(AND(B1972&lt;=NKC!$N$8,B1972&gt;=NKC!$M$8),"x","")</f>
        <v/>
      </c>
    </row>
    <row r="1973" spans="1:25" s="208" customFormat="1" ht="15.75" customHeight="1">
      <c r="A1973" s="201" t="str">
        <f>IF(B1973&lt;&gt;"",IF(AND(B1973&gt;=_TM1,B1973&lt;=_TM2,OR(TH!L1973="1111",TH!M1973="1111")),TH!D1973,""),"")</f>
        <v/>
      </c>
      <c r="B1973" s="36">
        <f t="shared" si="94"/>
        <v>10</v>
      </c>
      <c r="C1973" s="188">
        <f t="shared" si="93"/>
        <v>41548</v>
      </c>
      <c r="D1973" s="37" t="s">
        <v>457</v>
      </c>
      <c r="E1973" s="735">
        <v>41548</v>
      </c>
      <c r="F1973" s="186" t="s">
        <v>909</v>
      </c>
      <c r="G1973" s="40" t="s">
        <v>915</v>
      </c>
      <c r="H1973" s="7" t="s">
        <v>1258</v>
      </c>
      <c r="I1973" s="249">
        <v>98</v>
      </c>
      <c r="J1973" s="249">
        <v>15727.479988011059</v>
      </c>
      <c r="K1973" s="595">
        <f t="shared" si="95"/>
        <v>1541293</v>
      </c>
      <c r="L1973" s="39" t="s">
        <v>170</v>
      </c>
      <c r="M1973" s="39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IF(OR(TH!L1973=TH!$U$7,M1973=TH!$U$7),"x","")</f>
        <v/>
      </c>
      <c r="V1973" s="52" t="str">
        <f>IF(AND(B1973&gt;='IN-NX'!$P$3,B1973&lt;='IN-NX'!$Q$3,'IN-NX'!$D$7=D1973,OR(LEFT(L1973,2)="15",AND(LEFT(M1973,2)&lt;&gt;"15",LEFT(M1973,2)&lt;&gt;"33"))),"x","")</f>
        <v/>
      </c>
      <c r="W1973" s="52" t="str">
        <f>IF(AND(OR(LEFT(TH!L1973,2)="15",LEFT(TH!M1973,2)="15"),'152-CT'!$J$8=TH!F1973),"x","")</f>
        <v/>
      </c>
      <c r="X1973" s="52" t="str">
        <f>IF(AND(OR(LEFT(TH!L1973,2)="15",LEFT(TH!M1973,2)="15"),TK!$E$7=TH!F1973),"x","")</f>
        <v/>
      </c>
      <c r="Y1973" s="52" t="str">
        <f>IF(AND(B1973&lt;=NKC!$N$8,B1973&gt;=NKC!$M$8),"x","")</f>
        <v/>
      </c>
    </row>
    <row r="1974" spans="1:25" s="208" customFormat="1" ht="15.75" customHeight="1">
      <c r="A1974" s="201" t="str">
        <f>IF(B1974&lt;&gt;"",IF(AND(B1974&gt;=_TM1,B1974&lt;=_TM2,OR(TH!L1974="1111",TH!M1974="1111")),TH!D1974,""),"")</f>
        <v/>
      </c>
      <c r="B1974" s="36">
        <f t="shared" si="94"/>
        <v>10</v>
      </c>
      <c r="C1974" s="188">
        <f t="shared" si="93"/>
        <v>41548</v>
      </c>
      <c r="D1974" s="37" t="s">
        <v>457</v>
      </c>
      <c r="E1974" s="735">
        <v>41548</v>
      </c>
      <c r="F1974" s="186" t="s">
        <v>1122</v>
      </c>
      <c r="G1974" s="40" t="s">
        <v>916</v>
      </c>
      <c r="H1974" s="7" t="s">
        <v>1258</v>
      </c>
      <c r="I1974" s="249">
        <v>1554</v>
      </c>
      <c r="J1974" s="249">
        <v>4656.7469488494489</v>
      </c>
      <c r="K1974" s="595">
        <f t="shared" si="95"/>
        <v>7236585</v>
      </c>
      <c r="L1974" s="39" t="s">
        <v>170</v>
      </c>
      <c r="M1974" s="39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IF(OR(TH!L1974=TH!$U$7,M1974=TH!$U$7),"x","")</f>
        <v/>
      </c>
      <c r="V1974" s="52" t="str">
        <f>IF(AND(B1974&gt;='IN-NX'!$P$3,B1974&lt;='IN-NX'!$Q$3,'IN-NX'!$D$7=D1974,OR(LEFT(L1974,2)="15",AND(LEFT(M1974,2)&lt;&gt;"15",LEFT(M1974,2)&lt;&gt;"33"))),"x","")</f>
        <v/>
      </c>
      <c r="W1974" s="52" t="str">
        <f>IF(AND(OR(LEFT(TH!L1974,2)="15",LEFT(TH!M1974,2)="15"),'152-CT'!$J$8=TH!F1974),"x","")</f>
        <v/>
      </c>
      <c r="X1974" s="52" t="str">
        <f>IF(AND(OR(LEFT(TH!L1974,2)="15",LEFT(TH!M1974,2)="15"),TK!$E$7=TH!F1974),"x","")</f>
        <v/>
      </c>
      <c r="Y1974" s="52" t="str">
        <f>IF(AND(B1974&lt;=NKC!$N$8,B1974&gt;=NKC!$M$8),"x","")</f>
        <v/>
      </c>
    </row>
    <row r="1975" spans="1:25" s="208" customFormat="1" ht="15.75" customHeight="1">
      <c r="A1975" s="201" t="str">
        <f>IF(B1975&lt;&gt;"",IF(AND(B1975&gt;=_TM1,B1975&lt;=_TM2,OR(TH!L1975="1111",TH!M1975="1111")),TH!D1975,""),"")</f>
        <v/>
      </c>
      <c r="B1975" s="36">
        <f t="shared" si="94"/>
        <v>10</v>
      </c>
      <c r="C1975" s="188">
        <f t="shared" si="93"/>
        <v>41548</v>
      </c>
      <c r="D1975" s="37" t="s">
        <v>457</v>
      </c>
      <c r="E1975" s="735">
        <v>41548</v>
      </c>
      <c r="F1975" s="186" t="s">
        <v>843</v>
      </c>
      <c r="G1975" s="40" t="s">
        <v>916</v>
      </c>
      <c r="H1975" s="7" t="s">
        <v>1258</v>
      </c>
      <c r="I1975" s="249">
        <v>525</v>
      </c>
      <c r="J1975" s="249">
        <v>11432.585430187928</v>
      </c>
      <c r="K1975" s="595">
        <f t="shared" si="95"/>
        <v>6002107</v>
      </c>
      <c r="L1975" s="39" t="s">
        <v>170</v>
      </c>
      <c r="M1975" s="39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IF(OR(TH!L1975=TH!$U$7,M1975=TH!$U$7),"x","")</f>
        <v/>
      </c>
      <c r="V1975" s="52" t="str">
        <f>IF(AND(B1975&gt;='IN-NX'!$P$3,B1975&lt;='IN-NX'!$Q$3,'IN-NX'!$D$7=D1975,OR(LEFT(L1975,2)="15",AND(LEFT(M1975,2)&lt;&gt;"15",LEFT(M1975,2)&lt;&gt;"33"))),"x","")</f>
        <v/>
      </c>
      <c r="W1975" s="52" t="str">
        <f>IF(AND(OR(LEFT(TH!L1975,2)="15",LEFT(TH!M1975,2)="15"),'152-CT'!$J$8=TH!F1975),"x","")</f>
        <v/>
      </c>
      <c r="X1975" s="52" t="str">
        <f>IF(AND(OR(LEFT(TH!L1975,2)="15",LEFT(TH!M1975,2)="15"),TK!$E$7=TH!F1975),"x","")</f>
        <v/>
      </c>
      <c r="Y1975" s="52" t="str">
        <f>IF(AND(B1975&lt;=NKC!$N$8,B1975&gt;=NKC!$M$8),"x","")</f>
        <v/>
      </c>
    </row>
    <row r="1976" spans="1:25" s="208" customFormat="1" ht="15.75" customHeight="1">
      <c r="A1976" s="201" t="str">
        <f>IF(B1976&lt;&gt;"",IF(AND(B1976&gt;=_TM1,B1976&lt;=_TM2,OR(TH!L1976="1111",TH!M1976="1111")),TH!D1976,""),"")</f>
        <v/>
      </c>
      <c r="B1976" s="36">
        <f t="shared" si="94"/>
        <v>10</v>
      </c>
      <c r="C1976" s="188">
        <f t="shared" si="93"/>
        <v>41548</v>
      </c>
      <c r="D1976" s="37" t="s">
        <v>457</v>
      </c>
      <c r="E1976" s="735">
        <v>41548</v>
      </c>
      <c r="F1976" s="186" t="s">
        <v>814</v>
      </c>
      <c r="G1976" s="40" t="s">
        <v>917</v>
      </c>
      <c r="H1976" s="7" t="s">
        <v>1258</v>
      </c>
      <c r="I1976" s="249">
        <v>220</v>
      </c>
      <c r="J1976" s="249">
        <v>18398.035646638145</v>
      </c>
      <c r="K1976" s="595">
        <f t="shared" si="95"/>
        <v>4047568</v>
      </c>
      <c r="L1976" s="39" t="s">
        <v>170</v>
      </c>
      <c r="M1976" s="39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IF(OR(TH!L1976=TH!$U$7,M1976=TH!$U$7),"x","")</f>
        <v/>
      </c>
      <c r="V1976" s="52" t="str">
        <f>IF(AND(B1976&gt;='IN-NX'!$P$3,B1976&lt;='IN-NX'!$Q$3,'IN-NX'!$D$7=D1976,OR(LEFT(L1976,2)="15",AND(LEFT(M1976,2)&lt;&gt;"15",LEFT(M1976,2)&lt;&gt;"33"))),"x","")</f>
        <v/>
      </c>
      <c r="W1976" s="52" t="str">
        <f>IF(AND(OR(LEFT(TH!L1976,2)="15",LEFT(TH!M1976,2)="15"),'152-CT'!$J$8=TH!F1976),"x","")</f>
        <v/>
      </c>
      <c r="X1976" s="52" t="str">
        <f>IF(AND(OR(LEFT(TH!L1976,2)="15",LEFT(TH!M1976,2)="15"),TK!$E$7=TH!F1976),"x","")</f>
        <v/>
      </c>
      <c r="Y1976" s="52" t="str">
        <f>IF(AND(B1976&lt;=NKC!$N$8,B1976&gt;=NKC!$M$8),"x","")</f>
        <v/>
      </c>
    </row>
    <row r="1977" spans="1:25" s="208" customFormat="1" ht="15.75" customHeight="1">
      <c r="A1977" s="201" t="str">
        <f>IF(B1977&lt;&gt;"",IF(AND(B1977&gt;=_TM1,B1977&lt;=_TM2,OR(TH!L1977="1111",TH!M1977="1111")),TH!D1977,""),"")</f>
        <v/>
      </c>
      <c r="B1977" s="36">
        <f t="shared" si="94"/>
        <v>10</v>
      </c>
      <c r="C1977" s="188">
        <f t="shared" si="93"/>
        <v>41549</v>
      </c>
      <c r="D1977" s="37" t="s">
        <v>457</v>
      </c>
      <c r="E1977" s="735">
        <v>41549</v>
      </c>
      <c r="F1977" s="186" t="s">
        <v>1119</v>
      </c>
      <c r="G1977" s="40" t="s">
        <v>918</v>
      </c>
      <c r="H1977" s="7" t="s">
        <v>1258</v>
      </c>
      <c r="I1977" s="249">
        <v>3397</v>
      </c>
      <c r="J1977" s="249">
        <v>3785.9982874709676</v>
      </c>
      <c r="K1977" s="595">
        <f t="shared" si="95"/>
        <v>12861036</v>
      </c>
      <c r="L1977" s="39" t="s">
        <v>170</v>
      </c>
      <c r="M1977" s="39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IF(OR(TH!L1977=TH!$U$7,M1977=TH!$U$7),"x","")</f>
        <v/>
      </c>
      <c r="V1977" s="52" t="str">
        <f>IF(AND(B1977&gt;='IN-NX'!$P$3,B1977&lt;='IN-NX'!$Q$3,'IN-NX'!$D$7=D1977,OR(LEFT(L1977,2)="15",AND(LEFT(M1977,2)&lt;&gt;"15",LEFT(M1977,2)&lt;&gt;"33"))),"x","")</f>
        <v/>
      </c>
      <c r="W1977" s="52" t="str">
        <f>IF(AND(OR(LEFT(TH!L1977,2)="15",LEFT(TH!M1977,2)="15"),'152-CT'!$J$8=TH!F1977),"x","")</f>
        <v/>
      </c>
      <c r="X1977" s="52" t="str">
        <f>IF(AND(OR(LEFT(TH!L1977,2)="15",LEFT(TH!M1977,2)="15"),TK!$E$7=TH!F1977),"x","")</f>
        <v/>
      </c>
      <c r="Y1977" s="52" t="str">
        <f>IF(AND(B1977&lt;=NKC!$N$8,B1977&gt;=NKC!$M$8),"x","")</f>
        <v/>
      </c>
    </row>
    <row r="1978" spans="1:25" s="208" customFormat="1" ht="15.75" customHeight="1">
      <c r="A1978" s="201" t="str">
        <f>IF(B1978&lt;&gt;"",IF(AND(B1978&gt;=_TM1,B1978&lt;=_TM2,OR(TH!L1978="1111",TH!M1978="1111")),TH!D1978,""),"")</f>
        <v/>
      </c>
      <c r="B1978" s="36">
        <f t="shared" si="94"/>
        <v>10</v>
      </c>
      <c r="C1978" s="188">
        <f t="shared" si="93"/>
        <v>41550</v>
      </c>
      <c r="D1978" s="37" t="s">
        <v>457</v>
      </c>
      <c r="E1978" s="735">
        <v>41550</v>
      </c>
      <c r="F1978" s="186" t="s">
        <v>913</v>
      </c>
      <c r="G1978" s="40" t="s">
        <v>920</v>
      </c>
      <c r="H1978" s="7" t="s">
        <v>1258</v>
      </c>
      <c r="I1978" s="249">
        <v>494</v>
      </c>
      <c r="J1978" s="249">
        <v>4562.1136738740688</v>
      </c>
      <c r="K1978" s="595">
        <f t="shared" si="95"/>
        <v>2253684</v>
      </c>
      <c r="L1978" s="39" t="s">
        <v>170</v>
      </c>
      <c r="M1978" s="39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IF(OR(TH!L1978=TH!$U$7,M1978=TH!$U$7),"x","")</f>
        <v/>
      </c>
      <c r="V1978" s="52" t="str">
        <f>IF(AND(B1978&gt;='IN-NX'!$P$3,B1978&lt;='IN-NX'!$Q$3,'IN-NX'!$D$7=D1978,OR(LEFT(L1978,2)="15",AND(LEFT(M1978,2)&lt;&gt;"15",LEFT(M1978,2)&lt;&gt;"33"))),"x","")</f>
        <v/>
      </c>
      <c r="W1978" s="52" t="str">
        <f>IF(AND(OR(LEFT(TH!L1978,2)="15",LEFT(TH!M1978,2)="15"),'152-CT'!$J$8=TH!F1978),"x","")</f>
        <v/>
      </c>
      <c r="X1978" s="52" t="str">
        <f>IF(AND(OR(LEFT(TH!L1978,2)="15",LEFT(TH!M1978,2)="15"),TK!$E$7=TH!F1978),"x","")</f>
        <v/>
      </c>
      <c r="Y1978" s="52" t="str">
        <f>IF(AND(B1978&lt;=NKC!$N$8,B1978&gt;=NKC!$M$8),"x","")</f>
        <v/>
      </c>
    </row>
    <row r="1979" spans="1:25" s="208" customFormat="1" ht="15.75" customHeight="1">
      <c r="A1979" s="201" t="str">
        <f>IF(B1979&lt;&gt;"",IF(AND(B1979&gt;=_TM1,B1979&lt;=_TM2,OR(TH!L1979="1111",TH!M1979="1111")),TH!D1979,""),"")</f>
        <v/>
      </c>
      <c r="B1979" s="36">
        <f t="shared" si="94"/>
        <v>10</v>
      </c>
      <c r="C1979" s="188">
        <f t="shared" si="93"/>
        <v>41550</v>
      </c>
      <c r="D1979" s="37" t="s">
        <v>457</v>
      </c>
      <c r="E1979" s="735">
        <v>41550</v>
      </c>
      <c r="F1979" s="186" t="s">
        <v>921</v>
      </c>
      <c r="G1979" s="40" t="s">
        <v>920</v>
      </c>
      <c r="H1979" s="7" t="s">
        <v>1258</v>
      </c>
      <c r="I1979" s="249">
        <v>509</v>
      </c>
      <c r="J1979" s="249">
        <v>4666.9675987724559</v>
      </c>
      <c r="K1979" s="595">
        <f t="shared" si="95"/>
        <v>2375487</v>
      </c>
      <c r="L1979" s="39" t="s">
        <v>170</v>
      </c>
      <c r="M1979" s="39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IF(OR(TH!L1979=TH!$U$7,M1979=TH!$U$7),"x","")</f>
        <v/>
      </c>
      <c r="V1979" s="52" t="str">
        <f>IF(AND(B1979&gt;='IN-NX'!$P$3,B1979&lt;='IN-NX'!$Q$3,'IN-NX'!$D$7=D1979,OR(LEFT(L1979,2)="15",AND(LEFT(M1979,2)&lt;&gt;"15",LEFT(M1979,2)&lt;&gt;"33"))),"x","")</f>
        <v/>
      </c>
      <c r="W1979" s="52" t="str">
        <f>IF(AND(OR(LEFT(TH!L1979,2)="15",LEFT(TH!M1979,2)="15"),'152-CT'!$J$8=TH!F1979),"x","")</f>
        <v/>
      </c>
      <c r="X1979" s="52" t="str">
        <f>IF(AND(OR(LEFT(TH!L1979,2)="15",LEFT(TH!M1979,2)="15"),TK!$E$7=TH!F1979),"x","")</f>
        <v/>
      </c>
      <c r="Y1979" s="52" t="str">
        <f>IF(AND(B1979&lt;=NKC!$N$8,B1979&gt;=NKC!$M$8),"x","")</f>
        <v/>
      </c>
    </row>
    <row r="1980" spans="1:25" s="208" customFormat="1" ht="15.75" customHeight="1">
      <c r="A1980" s="201" t="str">
        <f>IF(B1980&lt;&gt;"",IF(AND(B1980&gt;=_TM1,B1980&lt;=_TM2,OR(TH!L1980="1111",TH!M1980="1111")),TH!D1980,""),"")</f>
        <v/>
      </c>
      <c r="B1980" s="36">
        <f t="shared" si="94"/>
        <v>10</v>
      </c>
      <c r="C1980" s="188">
        <f t="shared" ref="C1980:C2043" si="96">E1980</f>
        <v>41552</v>
      </c>
      <c r="D1980" s="37" t="s">
        <v>457</v>
      </c>
      <c r="E1980" s="735">
        <v>41552</v>
      </c>
      <c r="F1980" s="186" t="s">
        <v>1119</v>
      </c>
      <c r="G1980" s="40" t="s">
        <v>922</v>
      </c>
      <c r="H1980" s="7" t="s">
        <v>1258</v>
      </c>
      <c r="I1980" s="249">
        <v>103</v>
      </c>
      <c r="J1980" s="249">
        <v>3955.5775707334697</v>
      </c>
      <c r="K1980" s="595">
        <f t="shared" si="95"/>
        <v>407424</v>
      </c>
      <c r="L1980" s="39" t="s">
        <v>170</v>
      </c>
      <c r="M1980" s="39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IF(OR(TH!L1980=TH!$U$7,M1980=TH!$U$7),"x","")</f>
        <v/>
      </c>
      <c r="V1980" s="52" t="str">
        <f>IF(AND(B1980&gt;='IN-NX'!$P$3,B1980&lt;='IN-NX'!$Q$3,'IN-NX'!$D$7=D1980,OR(LEFT(L1980,2)="15",AND(LEFT(M1980,2)&lt;&gt;"15",LEFT(M1980,2)&lt;&gt;"33"))),"x","")</f>
        <v/>
      </c>
      <c r="W1980" s="52" t="str">
        <f>IF(AND(OR(LEFT(TH!L1980,2)="15",LEFT(TH!M1980,2)="15"),'152-CT'!$J$8=TH!F1980),"x","")</f>
        <v/>
      </c>
      <c r="X1980" s="52" t="str">
        <f>IF(AND(OR(LEFT(TH!L1980,2)="15",LEFT(TH!M1980,2)="15"),TK!$E$7=TH!F1980),"x","")</f>
        <v/>
      </c>
      <c r="Y1980" s="52" t="str">
        <f>IF(AND(B1980&lt;=NKC!$N$8,B1980&gt;=NKC!$M$8),"x","")</f>
        <v/>
      </c>
    </row>
    <row r="1981" spans="1:25" s="208" customFormat="1" ht="15.75" customHeight="1">
      <c r="A1981" s="201" t="str">
        <f>IF(B1981&lt;&gt;"",IF(AND(B1981&gt;=_TM1,B1981&lt;=_TM2,OR(TH!L1981="1111",TH!M1981="1111")),TH!D1981,""),"")</f>
        <v/>
      </c>
      <c r="B1981" s="36">
        <f t="shared" si="94"/>
        <v>10</v>
      </c>
      <c r="C1981" s="188">
        <f t="shared" si="96"/>
        <v>41552</v>
      </c>
      <c r="D1981" s="37" t="s">
        <v>457</v>
      </c>
      <c r="E1981" s="735">
        <v>41552</v>
      </c>
      <c r="F1981" s="186" t="s">
        <v>1116</v>
      </c>
      <c r="G1981" s="40" t="s">
        <v>922</v>
      </c>
      <c r="H1981" s="7" t="s">
        <v>1258</v>
      </c>
      <c r="I1981" s="249">
        <v>2658</v>
      </c>
      <c r="J1981" s="249">
        <v>4322.7422613176732</v>
      </c>
      <c r="K1981" s="595">
        <f t="shared" si="95"/>
        <v>11489849</v>
      </c>
      <c r="L1981" s="39" t="s">
        <v>170</v>
      </c>
      <c r="M1981" s="39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IF(OR(TH!L1981=TH!$U$7,M1981=TH!$U$7),"x","")</f>
        <v/>
      </c>
      <c r="V1981" s="52" t="str">
        <f>IF(AND(B1981&gt;='IN-NX'!$P$3,B1981&lt;='IN-NX'!$Q$3,'IN-NX'!$D$7=D1981,OR(LEFT(L1981,2)="15",AND(LEFT(M1981,2)&lt;&gt;"15",LEFT(M1981,2)&lt;&gt;"33"))),"x","")</f>
        <v/>
      </c>
      <c r="W1981" s="52" t="str">
        <f>IF(AND(OR(LEFT(TH!L1981,2)="15",LEFT(TH!M1981,2)="15"),'152-CT'!$J$8=TH!F1981),"x","")</f>
        <v/>
      </c>
      <c r="X1981" s="52" t="str">
        <f>IF(AND(OR(LEFT(TH!L1981,2)="15",LEFT(TH!M1981,2)="15"),TK!$E$7=TH!F1981),"x","")</f>
        <v/>
      </c>
      <c r="Y1981" s="52" t="str">
        <f>IF(AND(B1981&lt;=NKC!$N$8,B1981&gt;=NKC!$M$8),"x","")</f>
        <v/>
      </c>
    </row>
    <row r="1982" spans="1:25" s="208" customFormat="1" ht="15.75" customHeight="1">
      <c r="A1982" s="201" t="str">
        <f>IF(B1982&lt;&gt;"",IF(AND(B1982&gt;=_TM1,B1982&lt;=_TM2,OR(TH!L1982="1111",TH!M1982="1111")),TH!D1982,""),"")</f>
        <v/>
      </c>
      <c r="B1982" s="36">
        <f t="shared" si="94"/>
        <v>10</v>
      </c>
      <c r="C1982" s="188">
        <f t="shared" si="96"/>
        <v>41552</v>
      </c>
      <c r="D1982" s="37" t="s">
        <v>457</v>
      </c>
      <c r="E1982" s="181">
        <v>41552</v>
      </c>
      <c r="F1982" s="186" t="s">
        <v>1103</v>
      </c>
      <c r="G1982" s="597" t="s">
        <v>923</v>
      </c>
      <c r="H1982" s="7" t="s">
        <v>1258</v>
      </c>
      <c r="I1982" s="249">
        <v>2260</v>
      </c>
      <c r="J1982" s="249">
        <v>6517.9901920926932</v>
      </c>
      <c r="K1982" s="595">
        <f t="shared" si="95"/>
        <v>14730658</v>
      </c>
      <c r="L1982" s="39" t="s">
        <v>170</v>
      </c>
      <c r="M1982" s="39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IF(OR(TH!L1982=TH!$U$7,M1982=TH!$U$7),"x","")</f>
        <v/>
      </c>
      <c r="V1982" s="52" t="str">
        <f>IF(AND(B1982&gt;='IN-NX'!$P$3,B1982&lt;='IN-NX'!$Q$3,'IN-NX'!$D$7=D1982,OR(LEFT(L1982,2)="15",AND(LEFT(M1982,2)&lt;&gt;"15",LEFT(M1982,2)&lt;&gt;"33"))),"x","")</f>
        <v/>
      </c>
      <c r="W1982" s="52" t="str">
        <f>IF(AND(OR(LEFT(TH!L1982,2)="15",LEFT(TH!M1982,2)="15"),'152-CT'!$J$8=TH!F1982),"x","")</f>
        <v/>
      </c>
      <c r="X1982" s="52" t="str">
        <f>IF(AND(OR(LEFT(TH!L1982,2)="15",LEFT(TH!M1982,2)="15"),TK!$E$7=TH!F1982),"x","")</f>
        <v/>
      </c>
      <c r="Y1982" s="52" t="str">
        <f>IF(AND(B1982&lt;=NKC!$N$8,B1982&gt;=NKC!$M$8),"x","")</f>
        <v/>
      </c>
    </row>
    <row r="1983" spans="1:25" s="208" customFormat="1" ht="15.75" customHeight="1">
      <c r="A1983" s="201" t="str">
        <f>IF(B1983&lt;&gt;"",IF(AND(B1983&gt;=_TM1,B1983&lt;=_TM2,OR(TH!L1983="1111",TH!M1983="1111")),TH!D1983,""),"")</f>
        <v/>
      </c>
      <c r="B1983" s="36">
        <f t="shared" si="94"/>
        <v>10</v>
      </c>
      <c r="C1983" s="188">
        <f t="shared" si="96"/>
        <v>41555</v>
      </c>
      <c r="D1983" s="37" t="s">
        <v>457</v>
      </c>
      <c r="E1983" s="188">
        <v>41555</v>
      </c>
      <c r="F1983" s="189" t="s">
        <v>834</v>
      </c>
      <c r="G1983" s="480" t="s">
        <v>924</v>
      </c>
      <c r="H1983" s="7" t="s">
        <v>1258</v>
      </c>
      <c r="I1983" s="249">
        <v>516</v>
      </c>
      <c r="J1983" s="249">
        <v>19797.521199844628</v>
      </c>
      <c r="K1983" s="595">
        <f t="shared" si="95"/>
        <v>10215521</v>
      </c>
      <c r="L1983" s="39" t="s">
        <v>170</v>
      </c>
      <c r="M1983" s="39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IF(OR(TH!L1983=TH!$U$7,M1983=TH!$U$7),"x","")</f>
        <v/>
      </c>
      <c r="V1983" s="52" t="str">
        <f>IF(AND(B1983&gt;='IN-NX'!$P$3,B1983&lt;='IN-NX'!$Q$3,'IN-NX'!$D$7=D1983,OR(LEFT(L1983,2)="15",AND(LEFT(M1983,2)&lt;&gt;"15",LEFT(M1983,2)&lt;&gt;"33"))),"x","")</f>
        <v/>
      </c>
      <c r="W1983" s="52" t="str">
        <f>IF(AND(OR(LEFT(TH!L1983,2)="15",LEFT(TH!M1983,2)="15"),'152-CT'!$J$8=TH!F1983),"x","")</f>
        <v/>
      </c>
      <c r="X1983" s="52" t="str">
        <f>IF(AND(OR(LEFT(TH!L1983,2)="15",LEFT(TH!M1983,2)="15"),TK!$E$7=TH!F1983),"x","")</f>
        <v/>
      </c>
      <c r="Y1983" s="52" t="str">
        <f>IF(AND(B1983&lt;=NKC!$N$8,B1983&gt;=NKC!$M$8),"x","")</f>
        <v/>
      </c>
    </row>
    <row r="1984" spans="1:25" s="208" customFormat="1" ht="15.75" customHeight="1">
      <c r="A1984" s="201" t="str">
        <f>IF(B1984&lt;&gt;"",IF(AND(B1984&gt;=_TM1,B1984&lt;=_TM2,OR(TH!L1984="1111",TH!M1984="1111")),TH!D1984,""),"")</f>
        <v/>
      </c>
      <c r="B1984" s="36">
        <f t="shared" si="94"/>
        <v>10</v>
      </c>
      <c r="C1984" s="188">
        <f t="shared" si="96"/>
        <v>41557</v>
      </c>
      <c r="D1984" s="37" t="s">
        <v>457</v>
      </c>
      <c r="E1984" s="188">
        <v>41557</v>
      </c>
      <c r="F1984" s="189" t="s">
        <v>1097</v>
      </c>
      <c r="G1984" s="480" t="s">
        <v>925</v>
      </c>
      <c r="H1984" s="7" t="s">
        <v>1258</v>
      </c>
      <c r="I1984" s="249">
        <v>304</v>
      </c>
      <c r="J1984" s="249">
        <v>6506.4901920926923</v>
      </c>
      <c r="K1984" s="595">
        <f t="shared" si="95"/>
        <v>1977973</v>
      </c>
      <c r="L1984" s="39" t="s">
        <v>170</v>
      </c>
      <c r="M1984" s="39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IF(OR(TH!L1984=TH!$U$7,M1984=TH!$U$7),"x","")</f>
        <v/>
      </c>
      <c r="V1984" s="52" t="str">
        <f>IF(AND(B1984&gt;='IN-NX'!$P$3,B1984&lt;='IN-NX'!$Q$3,'IN-NX'!$D$7=D1984,OR(LEFT(L1984,2)="15",AND(LEFT(M1984,2)&lt;&gt;"15",LEFT(M1984,2)&lt;&gt;"33"))),"x","")</f>
        <v/>
      </c>
      <c r="W1984" s="52" t="str">
        <f>IF(AND(OR(LEFT(TH!L1984,2)="15",LEFT(TH!M1984,2)="15"),'152-CT'!$J$8=TH!F1984),"x","")</f>
        <v/>
      </c>
      <c r="X1984" s="52" t="str">
        <f>IF(AND(OR(LEFT(TH!L1984,2)="15",LEFT(TH!M1984,2)="15"),TK!$E$7=TH!F1984),"x","")</f>
        <v/>
      </c>
      <c r="Y1984" s="52" t="str">
        <f>IF(AND(B1984&lt;=NKC!$N$8,B1984&gt;=NKC!$M$8),"x","")</f>
        <v/>
      </c>
    </row>
    <row r="1985" spans="1:25" s="208" customFormat="1" ht="15.75" customHeight="1">
      <c r="A1985" s="201" t="str">
        <f>IF(B1985&lt;&gt;"",IF(AND(B1985&gt;=_TM1,B1985&lt;=_TM2,OR(TH!L1985="1111",TH!M1985="1111")),TH!D1985,""),"")</f>
        <v/>
      </c>
      <c r="B1985" s="36">
        <f t="shared" si="94"/>
        <v>10</v>
      </c>
      <c r="C1985" s="188">
        <f t="shared" si="96"/>
        <v>41563</v>
      </c>
      <c r="D1985" s="37" t="s">
        <v>457</v>
      </c>
      <c r="E1985" s="188">
        <v>41563</v>
      </c>
      <c r="F1985" s="189" t="s">
        <v>805</v>
      </c>
      <c r="G1985" s="480" t="s">
        <v>926</v>
      </c>
      <c r="H1985" s="7" t="s">
        <v>1258</v>
      </c>
      <c r="I1985" s="249">
        <v>996</v>
      </c>
      <c r="J1985" s="249">
        <v>9477.6267382774313</v>
      </c>
      <c r="K1985" s="595">
        <f t="shared" si="95"/>
        <v>9439716</v>
      </c>
      <c r="L1985" s="39" t="s">
        <v>170</v>
      </c>
      <c r="M1985" s="39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IF(OR(TH!L1985=TH!$U$7,M1985=TH!$U$7),"x","")</f>
        <v/>
      </c>
      <c r="V1985" s="52" t="str">
        <f>IF(AND(B1985&gt;='IN-NX'!$P$3,B1985&lt;='IN-NX'!$Q$3,'IN-NX'!$D$7=D1985,OR(LEFT(L1985,2)="15",AND(LEFT(M1985,2)&lt;&gt;"15",LEFT(M1985,2)&lt;&gt;"33"))),"x","")</f>
        <v/>
      </c>
      <c r="W1985" s="52" t="str">
        <f>IF(AND(OR(LEFT(TH!L1985,2)="15",LEFT(TH!M1985,2)="15"),'152-CT'!$J$8=TH!F1985),"x","")</f>
        <v/>
      </c>
      <c r="X1985" s="52" t="str">
        <f>IF(AND(OR(LEFT(TH!L1985,2)="15",LEFT(TH!M1985,2)="15"),TK!$E$7=TH!F1985),"x","")</f>
        <v/>
      </c>
      <c r="Y1985" s="52" t="str">
        <f>IF(AND(B1985&lt;=NKC!$N$8,B1985&gt;=NKC!$M$8),"x","")</f>
        <v/>
      </c>
    </row>
    <row r="1986" spans="1:25" s="208" customFormat="1" ht="15.75" customHeight="1">
      <c r="A1986" s="201" t="str">
        <f>IF(B1986&lt;&gt;"",IF(AND(B1986&gt;=_TM1,B1986&lt;=_TM2,OR(TH!L1986="1111",TH!M1986="1111")),TH!D1986,""),"")</f>
        <v/>
      </c>
      <c r="B1986" s="36">
        <f t="shared" si="94"/>
        <v>10</v>
      </c>
      <c r="C1986" s="188">
        <f t="shared" si="96"/>
        <v>41563</v>
      </c>
      <c r="D1986" s="37" t="s">
        <v>457</v>
      </c>
      <c r="E1986" s="188">
        <v>41563</v>
      </c>
      <c r="F1986" s="189" t="s">
        <v>1126</v>
      </c>
      <c r="G1986" s="480" t="s">
        <v>927</v>
      </c>
      <c r="H1986" s="7" t="s">
        <v>1258</v>
      </c>
      <c r="I1986" s="249">
        <v>1400</v>
      </c>
      <c r="J1986" s="249">
        <v>4845.6401920926928</v>
      </c>
      <c r="K1986" s="595">
        <f t="shared" si="95"/>
        <v>6783896</v>
      </c>
      <c r="L1986" s="39" t="s">
        <v>170</v>
      </c>
      <c r="M1986" s="39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IF(OR(TH!L1986=TH!$U$7,M1986=TH!$U$7),"x","")</f>
        <v/>
      </c>
      <c r="V1986" s="52" t="str">
        <f>IF(AND(B1986&gt;='IN-NX'!$P$3,B1986&lt;='IN-NX'!$Q$3,'IN-NX'!$D$7=D1986,OR(LEFT(L1986,2)="15",AND(LEFT(M1986,2)&lt;&gt;"15",LEFT(M1986,2)&lt;&gt;"33"))),"x","")</f>
        <v/>
      </c>
      <c r="W1986" s="52" t="str">
        <f>IF(AND(OR(LEFT(TH!L1986,2)="15",LEFT(TH!M1986,2)="15"),'152-CT'!$J$8=TH!F1986),"x","")</f>
        <v/>
      </c>
      <c r="X1986" s="52" t="str">
        <f>IF(AND(OR(LEFT(TH!L1986,2)="15",LEFT(TH!M1986,2)="15"),TK!$E$7=TH!F1986),"x","")</f>
        <v/>
      </c>
      <c r="Y1986" s="52" t="str">
        <f>IF(AND(B1986&lt;=NKC!$N$8,B1986&gt;=NKC!$M$8),"x","")</f>
        <v/>
      </c>
    </row>
    <row r="1987" spans="1:25" s="208" customFormat="1" ht="15.75" customHeight="1">
      <c r="A1987" s="201" t="str">
        <f>IF(B1987&lt;&gt;"",IF(AND(B1987&gt;=_TM1,B1987&lt;=_TM2,OR(TH!L1987="1111",TH!M1987="1111")),TH!D1987,""),"")</f>
        <v/>
      </c>
      <c r="B1987" s="36">
        <f t="shared" si="94"/>
        <v>10</v>
      </c>
      <c r="C1987" s="188">
        <f t="shared" si="96"/>
        <v>41563</v>
      </c>
      <c r="D1987" s="37" t="s">
        <v>457</v>
      </c>
      <c r="E1987" s="188">
        <v>41563</v>
      </c>
      <c r="F1987" s="189" t="s">
        <v>1116</v>
      </c>
      <c r="G1987" s="480" t="s">
        <v>928</v>
      </c>
      <c r="H1987" s="7" t="s">
        <v>1258</v>
      </c>
      <c r="I1987" s="249">
        <v>5391</v>
      </c>
      <c r="J1987" s="249">
        <v>4059.7951447916353</v>
      </c>
      <c r="K1987" s="595">
        <f t="shared" si="95"/>
        <v>21886356</v>
      </c>
      <c r="L1987" s="39" t="s">
        <v>170</v>
      </c>
      <c r="M1987" s="39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IF(OR(TH!L1987=TH!$U$7,M1987=TH!$U$7),"x","")</f>
        <v/>
      </c>
      <c r="V1987" s="52" t="str">
        <f>IF(AND(B1987&gt;='IN-NX'!$P$3,B1987&lt;='IN-NX'!$Q$3,'IN-NX'!$D$7=D1987,OR(LEFT(L1987,2)="15",AND(LEFT(M1987,2)&lt;&gt;"15",LEFT(M1987,2)&lt;&gt;"33"))),"x","")</f>
        <v/>
      </c>
      <c r="W1987" s="52" t="str">
        <f>IF(AND(OR(LEFT(TH!L1987,2)="15",LEFT(TH!M1987,2)="15"),'152-CT'!$J$8=TH!F1987),"x","")</f>
        <v/>
      </c>
      <c r="X1987" s="52" t="str">
        <f>IF(AND(OR(LEFT(TH!L1987,2)="15",LEFT(TH!M1987,2)="15"),TK!$E$7=TH!F1987),"x","")</f>
        <v/>
      </c>
      <c r="Y1987" s="52" t="str">
        <f>IF(AND(B1987&lt;=NKC!$N$8,B1987&gt;=NKC!$M$8),"x","")</f>
        <v/>
      </c>
    </row>
    <row r="1988" spans="1:25" s="208" customFormat="1" ht="15.75" customHeight="1">
      <c r="A1988" s="201" t="str">
        <f>IF(B1988&lt;&gt;"",IF(AND(B1988&gt;=_TM1,B1988&lt;=_TM2,OR(TH!L1988="1111",TH!M1988="1111")),TH!D1988,""),"")</f>
        <v/>
      </c>
      <c r="B1988" s="36">
        <f t="shared" si="94"/>
        <v>10</v>
      </c>
      <c r="C1988" s="188">
        <f t="shared" si="96"/>
        <v>41565</v>
      </c>
      <c r="D1988" s="37" t="s">
        <v>457</v>
      </c>
      <c r="E1988" s="37">
        <v>41565</v>
      </c>
      <c r="F1988" s="40" t="s">
        <v>907</v>
      </c>
      <c r="G1988" s="40" t="s">
        <v>929</v>
      </c>
      <c r="H1988" s="7" t="s">
        <v>1258</v>
      </c>
      <c r="I1988" s="249">
        <v>100</v>
      </c>
      <c r="J1988" s="249">
        <v>17903.490192092693</v>
      </c>
      <c r="K1988" s="595">
        <f t="shared" si="95"/>
        <v>1790349</v>
      </c>
      <c r="L1988" s="39" t="s">
        <v>170</v>
      </c>
      <c r="M1988" s="39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IF(OR(TH!L1988=TH!$U$7,M1988=TH!$U$7),"x","")</f>
        <v/>
      </c>
      <c r="V1988" s="52" t="str">
        <f>IF(AND(B1988&gt;='IN-NX'!$P$3,B1988&lt;='IN-NX'!$Q$3,'IN-NX'!$D$7=D1988,OR(LEFT(L1988,2)="15",AND(LEFT(M1988,2)&lt;&gt;"15",LEFT(M1988,2)&lt;&gt;"33"))),"x","")</f>
        <v/>
      </c>
      <c r="W1988" s="52" t="str">
        <f>IF(AND(OR(LEFT(TH!L1988,2)="15",LEFT(TH!M1988,2)="15"),'152-CT'!$J$8=TH!F1988),"x","")</f>
        <v/>
      </c>
      <c r="X1988" s="52" t="str">
        <f>IF(AND(OR(LEFT(TH!L1988,2)="15",LEFT(TH!M1988,2)="15"),TK!$E$7=TH!F1988),"x","")</f>
        <v/>
      </c>
      <c r="Y1988" s="52" t="str">
        <f>IF(AND(B1988&lt;=NKC!$N$8,B1988&gt;=NKC!$M$8),"x","")</f>
        <v/>
      </c>
    </row>
    <row r="1989" spans="1:25" s="208" customFormat="1" ht="15.75" customHeight="1">
      <c r="A1989" s="201" t="str">
        <f>IF(B1989&lt;&gt;"",IF(AND(B1989&gt;=_TM1,B1989&lt;=_TM2,OR(TH!L1989="1111",TH!M1989="1111")),TH!D1989,""),"")</f>
        <v/>
      </c>
      <c r="B1989" s="36">
        <f t="shared" si="94"/>
        <v>10</v>
      </c>
      <c r="C1989" s="188">
        <f t="shared" si="96"/>
        <v>41566</v>
      </c>
      <c r="D1989" s="37" t="s">
        <v>457</v>
      </c>
      <c r="E1989" s="37">
        <v>41566</v>
      </c>
      <c r="F1989" s="40" t="s">
        <v>1108</v>
      </c>
      <c r="G1989" s="40" t="s">
        <v>930</v>
      </c>
      <c r="H1989" s="7" t="s">
        <v>1258</v>
      </c>
      <c r="I1989" s="249">
        <v>1157</v>
      </c>
      <c r="J1989" s="249">
        <v>4680.8869077365989</v>
      </c>
      <c r="K1989" s="595">
        <f t="shared" si="95"/>
        <v>5415786</v>
      </c>
      <c r="L1989" s="39" t="s">
        <v>170</v>
      </c>
      <c r="M1989" s="39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IF(OR(TH!L1989=TH!$U$7,M1989=TH!$U$7),"x","")</f>
        <v/>
      </c>
      <c r="V1989" s="52" t="str">
        <f>IF(AND(B1989&gt;='IN-NX'!$P$3,B1989&lt;='IN-NX'!$Q$3,'IN-NX'!$D$7=D1989,OR(LEFT(L1989,2)="15",AND(LEFT(M1989,2)&lt;&gt;"15",LEFT(M1989,2)&lt;&gt;"33"))),"x","")</f>
        <v/>
      </c>
      <c r="W1989" s="52" t="str">
        <f>IF(AND(OR(LEFT(TH!L1989,2)="15",LEFT(TH!M1989,2)="15"),'152-CT'!$J$8=TH!F1989),"x","")</f>
        <v/>
      </c>
      <c r="X1989" s="52" t="str">
        <f>IF(AND(OR(LEFT(TH!L1989,2)="15",LEFT(TH!M1989,2)="15"),TK!$E$7=TH!F1989),"x","")</f>
        <v/>
      </c>
      <c r="Y1989" s="52" t="str">
        <f>IF(AND(B1989&lt;=NKC!$N$8,B1989&gt;=NKC!$M$8),"x","")</f>
        <v/>
      </c>
    </row>
    <row r="1990" spans="1:25" s="208" customFormat="1" ht="15.75" customHeight="1">
      <c r="A1990" s="201" t="str">
        <f>IF(B1990&lt;&gt;"",IF(AND(B1990&gt;=_TM1,B1990&lt;=_TM2,OR(TH!L1990="1111",TH!M1990="1111")),TH!D1990,""),"")</f>
        <v/>
      </c>
      <c r="B1990" s="36">
        <f t="shared" si="94"/>
        <v>10</v>
      </c>
      <c r="C1990" s="188">
        <f t="shared" si="96"/>
        <v>41566</v>
      </c>
      <c r="D1990" s="37" t="s">
        <v>457</v>
      </c>
      <c r="E1990" s="181">
        <v>41566</v>
      </c>
      <c r="F1990" s="186" t="s">
        <v>931</v>
      </c>
      <c r="G1990" s="597" t="s">
        <v>930</v>
      </c>
      <c r="H1990" s="7" t="s">
        <v>1258</v>
      </c>
      <c r="I1990" s="249">
        <v>220</v>
      </c>
      <c r="J1990" s="249">
        <v>7902.0356466381472</v>
      </c>
      <c r="K1990" s="595">
        <f t="shared" si="95"/>
        <v>1738448</v>
      </c>
      <c r="L1990" s="39" t="s">
        <v>170</v>
      </c>
      <c r="M1990" s="39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IF(OR(TH!L1990=TH!$U$7,M1990=TH!$U$7),"x","")</f>
        <v/>
      </c>
      <c r="V1990" s="52" t="str">
        <f>IF(AND(B1990&gt;='IN-NX'!$P$3,B1990&lt;='IN-NX'!$Q$3,'IN-NX'!$D$7=D1990,OR(LEFT(L1990,2)="15",AND(LEFT(M1990,2)&lt;&gt;"15",LEFT(M1990,2)&lt;&gt;"33"))),"x","")</f>
        <v/>
      </c>
      <c r="W1990" s="52" t="str">
        <f>IF(AND(OR(LEFT(TH!L1990,2)="15",LEFT(TH!M1990,2)="15"),'152-CT'!$J$8=TH!F1990),"x","")</f>
        <v/>
      </c>
      <c r="X1990" s="52" t="str">
        <f>IF(AND(OR(LEFT(TH!L1990,2)="15",LEFT(TH!M1990,2)="15"),TK!$E$7=TH!F1990),"x","")</f>
        <v/>
      </c>
      <c r="Y1990" s="52" t="str">
        <f>IF(AND(B1990&lt;=NKC!$N$8,B1990&gt;=NKC!$M$8),"x","")</f>
        <v/>
      </c>
    </row>
    <row r="1991" spans="1:25" s="208" customFormat="1" ht="15.75" customHeight="1">
      <c r="A1991" s="201" t="str">
        <f>IF(B1991&lt;&gt;"",IF(AND(B1991&gt;=_TM1,B1991&lt;=_TM2,OR(TH!L1991="1111",TH!M1991="1111")),TH!D1991,""),"")</f>
        <v/>
      </c>
      <c r="B1991" s="36">
        <f t="shared" si="94"/>
        <v>10</v>
      </c>
      <c r="C1991" s="188">
        <f t="shared" si="96"/>
        <v>41568</v>
      </c>
      <c r="D1991" s="37" t="s">
        <v>457</v>
      </c>
      <c r="E1991" s="181">
        <v>41568</v>
      </c>
      <c r="F1991" s="186" t="s">
        <v>698</v>
      </c>
      <c r="G1991" s="597" t="s">
        <v>932</v>
      </c>
      <c r="H1991" s="7" t="s">
        <v>1258</v>
      </c>
      <c r="I1991" s="249">
        <v>529</v>
      </c>
      <c r="J1991" s="249">
        <v>8357.4788499376828</v>
      </c>
      <c r="K1991" s="595">
        <f t="shared" si="95"/>
        <v>4421106</v>
      </c>
      <c r="L1991" s="39" t="s">
        <v>170</v>
      </c>
      <c r="M1991" s="39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IF(OR(TH!L1991=TH!$U$7,M1991=TH!$U$7),"x","")</f>
        <v/>
      </c>
      <c r="V1991" s="52" t="str">
        <f>IF(AND(B1991&gt;='IN-NX'!$P$3,B1991&lt;='IN-NX'!$Q$3,'IN-NX'!$D$7=D1991,OR(LEFT(L1991,2)="15",AND(LEFT(M1991,2)&lt;&gt;"15",LEFT(M1991,2)&lt;&gt;"33"))),"x","")</f>
        <v/>
      </c>
      <c r="W1991" s="52" t="str">
        <f>IF(AND(OR(LEFT(TH!L1991,2)="15",LEFT(TH!M1991,2)="15"),'152-CT'!$J$8=TH!F1991),"x","")</f>
        <v/>
      </c>
      <c r="X1991" s="52" t="str">
        <f>IF(AND(OR(LEFT(TH!L1991,2)="15",LEFT(TH!M1991,2)="15"),TK!$E$7=TH!F1991),"x","")</f>
        <v/>
      </c>
      <c r="Y1991" s="52" t="str">
        <f>IF(AND(B1991&lt;=NKC!$N$8,B1991&gt;=NKC!$M$8),"x","")</f>
        <v/>
      </c>
    </row>
    <row r="1992" spans="1:25" s="208" customFormat="1" ht="15.75" customHeight="1">
      <c r="A1992" s="201" t="str">
        <f>IF(B1992&lt;&gt;"",IF(AND(B1992&gt;=_TM1,B1992&lt;=_TM2,OR(TH!L1992="1111",TH!M1992="1111")),TH!D1992,""),"")</f>
        <v/>
      </c>
      <c r="B1992" s="36">
        <f t="shared" si="94"/>
        <v>10</v>
      </c>
      <c r="C1992" s="188">
        <f t="shared" si="96"/>
        <v>41568</v>
      </c>
      <c r="D1992" s="37" t="s">
        <v>457</v>
      </c>
      <c r="E1992" s="181">
        <v>41568</v>
      </c>
      <c r="F1992" s="186" t="s">
        <v>933</v>
      </c>
      <c r="G1992" s="597" t="s">
        <v>934</v>
      </c>
      <c r="H1992" s="7" t="s">
        <v>1258</v>
      </c>
      <c r="I1992" s="249">
        <v>80</v>
      </c>
      <c r="J1992" s="249">
        <v>3398.4651920926926</v>
      </c>
      <c r="K1992" s="595">
        <f t="shared" si="95"/>
        <v>271877</v>
      </c>
      <c r="L1992" s="39" t="s">
        <v>170</v>
      </c>
      <c r="M1992" s="39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IF(OR(TH!L1992=TH!$U$7,M1992=TH!$U$7),"x","")</f>
        <v/>
      </c>
      <c r="V1992" s="52" t="str">
        <f>IF(AND(B1992&gt;='IN-NX'!$P$3,B1992&lt;='IN-NX'!$Q$3,'IN-NX'!$D$7=D1992,OR(LEFT(L1992,2)="15",AND(LEFT(M1992,2)&lt;&gt;"15",LEFT(M1992,2)&lt;&gt;"33"))),"x","")</f>
        <v/>
      </c>
      <c r="W1992" s="52" t="str">
        <f>IF(AND(OR(LEFT(TH!L1992,2)="15",LEFT(TH!M1992,2)="15"),'152-CT'!$J$8=TH!F1992),"x","")</f>
        <v/>
      </c>
      <c r="X1992" s="52" t="str">
        <f>IF(AND(OR(LEFT(TH!L1992,2)="15",LEFT(TH!M1992,2)="15"),TK!$E$7=TH!F1992),"x","")</f>
        <v/>
      </c>
      <c r="Y1992" s="52" t="str">
        <f>IF(AND(B1992&lt;=NKC!$N$8,B1992&gt;=NKC!$M$8),"x","")</f>
        <v/>
      </c>
    </row>
    <row r="1993" spans="1:25" s="208" customFormat="1" ht="15.75" customHeight="1">
      <c r="A1993" s="201" t="str">
        <f>IF(B1993&lt;&gt;"",IF(AND(B1993&gt;=_TM1,B1993&lt;=_TM2,OR(TH!L1993="1111",TH!M1993="1111")),TH!D1993,""),"")</f>
        <v/>
      </c>
      <c r="B1993" s="36">
        <f t="shared" si="94"/>
        <v>10</v>
      </c>
      <c r="C1993" s="188">
        <f t="shared" si="96"/>
        <v>41568</v>
      </c>
      <c r="D1993" s="37" t="s">
        <v>457</v>
      </c>
      <c r="E1993" s="181">
        <v>41568</v>
      </c>
      <c r="F1993" s="186" t="s">
        <v>935</v>
      </c>
      <c r="G1993" s="597" t="s">
        <v>934</v>
      </c>
      <c r="H1993" s="7" t="s">
        <v>1258</v>
      </c>
      <c r="I1993" s="249">
        <v>80</v>
      </c>
      <c r="J1993" s="249">
        <v>3911.7401920926918</v>
      </c>
      <c r="K1993" s="595">
        <f t="shared" si="95"/>
        <v>312939</v>
      </c>
      <c r="L1993" s="39" t="s">
        <v>170</v>
      </c>
      <c r="M1993" s="39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IF(OR(TH!L1993=TH!$U$7,M1993=TH!$U$7),"x","")</f>
        <v/>
      </c>
      <c r="V1993" s="52" t="str">
        <f>IF(AND(B1993&gt;='IN-NX'!$P$3,B1993&lt;='IN-NX'!$Q$3,'IN-NX'!$D$7=D1993,OR(LEFT(L1993,2)="15",AND(LEFT(M1993,2)&lt;&gt;"15",LEFT(M1993,2)&lt;&gt;"33"))),"x","")</f>
        <v/>
      </c>
      <c r="W1993" s="52" t="str">
        <f>IF(AND(OR(LEFT(TH!L1993,2)="15",LEFT(TH!M1993,2)="15"),'152-CT'!$J$8=TH!F1993),"x","")</f>
        <v/>
      </c>
      <c r="X1993" s="52" t="str">
        <f>IF(AND(OR(LEFT(TH!L1993,2)="15",LEFT(TH!M1993,2)="15"),TK!$E$7=TH!F1993),"x","")</f>
        <v/>
      </c>
      <c r="Y1993" s="52" t="str">
        <f>IF(AND(B1993&lt;=NKC!$N$8,B1993&gt;=NKC!$M$8),"x","")</f>
        <v/>
      </c>
    </row>
    <row r="1994" spans="1:25" s="208" customFormat="1" ht="15.75" customHeight="1">
      <c r="A1994" s="201" t="str">
        <f>IF(B1994&lt;&gt;"",IF(AND(B1994&gt;=_TM1,B1994&lt;=_TM2,OR(TH!L1994="1111",TH!M1994="1111")),TH!D1994,""),"")</f>
        <v/>
      </c>
      <c r="B1994" s="36">
        <f t="shared" si="94"/>
        <v>10</v>
      </c>
      <c r="C1994" s="188">
        <f t="shared" si="96"/>
        <v>41568</v>
      </c>
      <c r="D1994" s="37" t="s">
        <v>457</v>
      </c>
      <c r="E1994" s="181">
        <v>41568</v>
      </c>
      <c r="F1994" s="186" t="s">
        <v>1130</v>
      </c>
      <c r="G1994" s="597" t="s">
        <v>934</v>
      </c>
      <c r="H1994" s="7" t="s">
        <v>1258</v>
      </c>
      <c r="I1994" s="249">
        <v>79</v>
      </c>
      <c r="J1994" s="249">
        <v>4626.5281667762365</v>
      </c>
      <c r="K1994" s="595">
        <f t="shared" si="95"/>
        <v>365496</v>
      </c>
      <c r="L1994" s="39" t="s">
        <v>170</v>
      </c>
      <c r="M1994" s="39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IF(OR(TH!L1994=TH!$U$7,M1994=TH!$U$7),"x","")</f>
        <v/>
      </c>
      <c r="V1994" s="52" t="str">
        <f>IF(AND(B1994&gt;='IN-NX'!$P$3,B1994&lt;='IN-NX'!$Q$3,'IN-NX'!$D$7=D1994,OR(LEFT(L1994,2)="15",AND(LEFT(M1994,2)&lt;&gt;"15",LEFT(M1994,2)&lt;&gt;"33"))),"x","")</f>
        <v/>
      </c>
      <c r="W1994" s="52" t="str">
        <f>IF(AND(OR(LEFT(TH!L1994,2)="15",LEFT(TH!M1994,2)="15"),'152-CT'!$J$8=TH!F1994),"x","")</f>
        <v/>
      </c>
      <c r="X1994" s="52" t="str">
        <f>IF(AND(OR(LEFT(TH!L1994,2)="15",LEFT(TH!M1994,2)="15"),TK!$E$7=TH!F1994),"x","")</f>
        <v/>
      </c>
      <c r="Y1994" s="52" t="str">
        <f>IF(AND(B1994&lt;=NKC!$N$8,B1994&gt;=NKC!$M$8),"x","")</f>
        <v/>
      </c>
    </row>
    <row r="1995" spans="1:25" s="208" customFormat="1" ht="15.75" customHeight="1">
      <c r="A1995" s="201" t="str">
        <f>IF(B1995&lt;&gt;"",IF(AND(B1995&gt;=_TM1,B1995&lt;=_TM2,OR(TH!L1995="1111",TH!M1995="1111")),TH!D1995,""),"")</f>
        <v/>
      </c>
      <c r="B1995" s="36">
        <f t="shared" si="94"/>
        <v>10</v>
      </c>
      <c r="C1995" s="188">
        <f t="shared" si="96"/>
        <v>41568</v>
      </c>
      <c r="D1995" s="37" t="s">
        <v>457</v>
      </c>
      <c r="E1995" s="181">
        <v>41568</v>
      </c>
      <c r="F1995" s="186" t="s">
        <v>1127</v>
      </c>
      <c r="G1995" s="597" t="s">
        <v>934</v>
      </c>
      <c r="H1995" s="7" t="s">
        <v>1258</v>
      </c>
      <c r="I1995" s="249">
        <v>82</v>
      </c>
      <c r="J1995" s="249">
        <v>4038.9779969707411</v>
      </c>
      <c r="K1995" s="595">
        <f t="shared" si="95"/>
        <v>331196</v>
      </c>
      <c r="L1995" s="39" t="s">
        <v>170</v>
      </c>
      <c r="M1995" s="39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IF(OR(TH!L1995=TH!$U$7,M1995=TH!$U$7),"x","")</f>
        <v/>
      </c>
      <c r="V1995" s="52" t="str">
        <f>IF(AND(B1995&gt;='IN-NX'!$P$3,B1995&lt;='IN-NX'!$Q$3,'IN-NX'!$D$7=D1995,OR(LEFT(L1995,2)="15",AND(LEFT(M1995,2)&lt;&gt;"15",LEFT(M1995,2)&lt;&gt;"33"))),"x","")</f>
        <v/>
      </c>
      <c r="W1995" s="52" t="str">
        <f>IF(AND(OR(LEFT(TH!L1995,2)="15",LEFT(TH!M1995,2)="15"),'152-CT'!$J$8=TH!F1995),"x","")</f>
        <v/>
      </c>
      <c r="X1995" s="52" t="str">
        <f>IF(AND(OR(LEFT(TH!L1995,2)="15",LEFT(TH!M1995,2)="15"),TK!$E$7=TH!F1995),"x","")</f>
        <v/>
      </c>
      <c r="Y1995" s="52" t="str">
        <f>IF(AND(B1995&lt;=NKC!$N$8,B1995&gt;=NKC!$M$8),"x","")</f>
        <v/>
      </c>
    </row>
    <row r="1996" spans="1:25" s="208" customFormat="1" ht="15.75" customHeight="1">
      <c r="A1996" s="201" t="str">
        <f>IF(B1996&lt;&gt;"",IF(AND(B1996&gt;=_TM1,B1996&lt;=_TM2,OR(TH!L1996="1111",TH!M1996="1111")),TH!D1996,""),"")</f>
        <v/>
      </c>
      <c r="B1996" s="36">
        <f t="shared" si="94"/>
        <v>10</v>
      </c>
      <c r="C1996" s="188">
        <f t="shared" si="96"/>
        <v>41568</v>
      </c>
      <c r="D1996" s="37" t="s">
        <v>457</v>
      </c>
      <c r="E1996" s="181">
        <v>41568</v>
      </c>
      <c r="F1996" s="186" t="s">
        <v>936</v>
      </c>
      <c r="G1996" s="597" t="s">
        <v>934</v>
      </c>
      <c r="H1996" s="7" t="s">
        <v>1258</v>
      </c>
      <c r="I1996" s="249">
        <v>81</v>
      </c>
      <c r="J1996" s="249">
        <v>6437.8111797470137</v>
      </c>
      <c r="K1996" s="595">
        <f t="shared" si="95"/>
        <v>521463</v>
      </c>
      <c r="L1996" s="39" t="s">
        <v>170</v>
      </c>
      <c r="M1996" s="39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IF(OR(TH!L1996=TH!$U$7,M1996=TH!$U$7),"x","")</f>
        <v/>
      </c>
      <c r="V1996" s="52" t="str">
        <f>IF(AND(B1996&gt;='IN-NX'!$P$3,B1996&lt;='IN-NX'!$Q$3,'IN-NX'!$D$7=D1996,OR(LEFT(L1996,2)="15",AND(LEFT(M1996,2)&lt;&gt;"15",LEFT(M1996,2)&lt;&gt;"33"))),"x","")</f>
        <v/>
      </c>
      <c r="W1996" s="52" t="str">
        <f>IF(AND(OR(LEFT(TH!L1996,2)="15",LEFT(TH!M1996,2)="15"),'152-CT'!$J$8=TH!F1996),"x","")</f>
        <v/>
      </c>
      <c r="X1996" s="52" t="str">
        <f>IF(AND(OR(LEFT(TH!L1996,2)="15",LEFT(TH!M1996,2)="15"),TK!$E$7=TH!F1996),"x","")</f>
        <v/>
      </c>
      <c r="Y1996" s="52" t="str">
        <f>IF(AND(B1996&lt;=NKC!$N$8,B1996&gt;=NKC!$M$8),"x","")</f>
        <v/>
      </c>
    </row>
    <row r="1997" spans="1:25" s="208" customFormat="1" ht="15.75" customHeight="1">
      <c r="A1997" s="201" t="str">
        <f>IF(B1997&lt;&gt;"",IF(AND(B1997&gt;=_TM1,B1997&lt;=_TM2,OR(TH!L1997="1111",TH!M1997="1111")),TH!D1997,""),"")</f>
        <v/>
      </c>
      <c r="B1997" s="36">
        <f t="shared" si="94"/>
        <v>10</v>
      </c>
      <c r="C1997" s="188">
        <f t="shared" si="96"/>
        <v>41568</v>
      </c>
      <c r="D1997" s="37" t="s">
        <v>457</v>
      </c>
      <c r="E1997" s="188">
        <v>41568</v>
      </c>
      <c r="F1997" s="189" t="s">
        <v>937</v>
      </c>
      <c r="G1997" s="480" t="s">
        <v>934</v>
      </c>
      <c r="H1997" s="7" t="s">
        <v>1258</v>
      </c>
      <c r="I1997" s="249">
        <v>81</v>
      </c>
      <c r="J1997" s="249">
        <v>6411.3914266605943</v>
      </c>
      <c r="K1997" s="595">
        <f t="shared" si="95"/>
        <v>519323</v>
      </c>
      <c r="L1997" s="39" t="s">
        <v>170</v>
      </c>
      <c r="M1997" s="39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IF(OR(TH!L1997=TH!$U$7,M1997=TH!$U$7),"x","")</f>
        <v/>
      </c>
      <c r="V1997" s="52" t="str">
        <f>IF(AND(B1997&gt;='IN-NX'!$P$3,B1997&lt;='IN-NX'!$Q$3,'IN-NX'!$D$7=D1997,OR(LEFT(L1997,2)="15",AND(LEFT(M1997,2)&lt;&gt;"15",LEFT(M1997,2)&lt;&gt;"33"))),"x","")</f>
        <v/>
      </c>
      <c r="W1997" s="52" t="str">
        <f>IF(AND(OR(LEFT(TH!L1997,2)="15",LEFT(TH!M1997,2)="15"),'152-CT'!$J$8=TH!F1997),"x","")</f>
        <v/>
      </c>
      <c r="X1997" s="52" t="str">
        <f>IF(AND(OR(LEFT(TH!L1997,2)="15",LEFT(TH!M1997,2)="15"),TK!$E$7=TH!F1997),"x","")</f>
        <v/>
      </c>
      <c r="Y1997" s="52" t="str">
        <f>IF(AND(B1997&lt;=NKC!$N$8,B1997&gt;=NKC!$M$8),"x","")</f>
        <v/>
      </c>
    </row>
    <row r="1998" spans="1:25" s="208" customFormat="1" ht="15.75" customHeight="1">
      <c r="A1998" s="201" t="str">
        <f>IF(B1998&lt;&gt;"",IF(AND(B1998&gt;=_TM1,B1998&lt;=_TM2,OR(TH!L1998="1111",TH!M1998="1111")),TH!D1998,""),"")</f>
        <v/>
      </c>
      <c r="B1998" s="36">
        <f t="shared" si="94"/>
        <v>10</v>
      </c>
      <c r="C1998" s="188">
        <f t="shared" si="96"/>
        <v>41568</v>
      </c>
      <c r="D1998" s="37" t="s">
        <v>457</v>
      </c>
      <c r="E1998" s="188">
        <v>41568</v>
      </c>
      <c r="F1998" s="189" t="s">
        <v>938</v>
      </c>
      <c r="G1998" s="480" t="s">
        <v>939</v>
      </c>
      <c r="H1998" s="7" t="s">
        <v>1258</v>
      </c>
      <c r="I1998" s="249">
        <v>80</v>
      </c>
      <c r="J1998" s="249">
        <v>4676.6276920926921</v>
      </c>
      <c r="K1998" s="595">
        <f t="shared" si="95"/>
        <v>374130</v>
      </c>
      <c r="L1998" s="39" t="s">
        <v>170</v>
      </c>
      <c r="M1998" s="39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IF(OR(TH!L1998=TH!$U$7,M1998=TH!$U$7),"x","")</f>
        <v/>
      </c>
      <c r="V1998" s="52" t="str">
        <f>IF(AND(B1998&gt;='IN-NX'!$P$3,B1998&lt;='IN-NX'!$Q$3,'IN-NX'!$D$7=D1998,OR(LEFT(L1998,2)="15",AND(LEFT(M1998,2)&lt;&gt;"15",LEFT(M1998,2)&lt;&gt;"33"))),"x","")</f>
        <v/>
      </c>
      <c r="W1998" s="52" t="str">
        <f>IF(AND(OR(LEFT(TH!L1998,2)="15",LEFT(TH!M1998,2)="15"),'152-CT'!$J$8=TH!F1998),"x","")</f>
        <v/>
      </c>
      <c r="X1998" s="52" t="str">
        <f>IF(AND(OR(LEFT(TH!L1998,2)="15",LEFT(TH!M1998,2)="15"),TK!$E$7=TH!F1998),"x","")</f>
        <v/>
      </c>
      <c r="Y1998" s="52" t="str">
        <f>IF(AND(B1998&lt;=NKC!$N$8,B1998&gt;=NKC!$M$8),"x","")</f>
        <v/>
      </c>
    </row>
    <row r="1999" spans="1:25" s="208" customFormat="1" ht="15.75" customHeight="1">
      <c r="A1999" s="201" t="str">
        <f>IF(B1999&lt;&gt;"",IF(AND(B1999&gt;=_TM1,B1999&lt;=_TM2,OR(TH!L1999="1111",TH!M1999="1111")),TH!D1999,""),"")</f>
        <v/>
      </c>
      <c r="B1999" s="36">
        <f t="shared" si="94"/>
        <v>10</v>
      </c>
      <c r="C1999" s="188">
        <f t="shared" si="96"/>
        <v>41568</v>
      </c>
      <c r="D1999" s="37" t="s">
        <v>457</v>
      </c>
      <c r="E1999" s="735">
        <v>41568</v>
      </c>
      <c r="F1999" s="186" t="s">
        <v>940</v>
      </c>
      <c r="G1999" s="40" t="s">
        <v>939</v>
      </c>
      <c r="H1999" s="7" t="s">
        <v>1258</v>
      </c>
      <c r="I1999" s="249">
        <v>59</v>
      </c>
      <c r="J1999" s="249">
        <v>4642.1342598893016</v>
      </c>
      <c r="K1999" s="595">
        <f t="shared" si="95"/>
        <v>273886</v>
      </c>
      <c r="L1999" s="39" t="s">
        <v>170</v>
      </c>
      <c r="M1999" s="39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IF(OR(TH!L1999=TH!$U$7,M1999=TH!$U$7),"x","")</f>
        <v/>
      </c>
      <c r="V1999" s="52" t="str">
        <f>IF(AND(B1999&gt;='IN-NX'!$P$3,B1999&lt;='IN-NX'!$Q$3,'IN-NX'!$D$7=D1999,OR(LEFT(L1999,2)="15",AND(LEFT(M1999,2)&lt;&gt;"15",LEFT(M1999,2)&lt;&gt;"33"))),"x","")</f>
        <v/>
      </c>
      <c r="W1999" s="52" t="str">
        <f>IF(AND(OR(LEFT(TH!L1999,2)="15",LEFT(TH!M1999,2)="15"),'152-CT'!$J$8=TH!F1999),"x","")</f>
        <v/>
      </c>
      <c r="X1999" s="52" t="str">
        <f>IF(AND(OR(LEFT(TH!L1999,2)="15",LEFT(TH!M1999,2)="15"),TK!$E$7=TH!F1999),"x","")</f>
        <v/>
      </c>
      <c r="Y1999" s="52" t="str">
        <f>IF(AND(B1999&lt;=NKC!$N$8,B1999&gt;=NKC!$M$8),"x","")</f>
        <v/>
      </c>
    </row>
    <row r="2000" spans="1:25" s="208" customFormat="1" ht="15.75" customHeight="1">
      <c r="A2000" s="201" t="str">
        <f>IF(B2000&lt;&gt;"",IF(AND(B2000&gt;=_TM1,B2000&lt;=_TM2,OR(TH!L2000="1111",TH!M2000="1111")),TH!D2000,""),"")</f>
        <v/>
      </c>
      <c r="B2000" s="36">
        <f t="shared" si="94"/>
        <v>10</v>
      </c>
      <c r="C2000" s="188">
        <f t="shared" si="96"/>
        <v>41568</v>
      </c>
      <c r="D2000" s="37" t="s">
        <v>457</v>
      </c>
      <c r="E2000" s="735">
        <v>41568</v>
      </c>
      <c r="F2000" s="290" t="s">
        <v>941</v>
      </c>
      <c r="G2000" s="40" t="s">
        <v>939</v>
      </c>
      <c r="H2000" s="7" t="s">
        <v>1258</v>
      </c>
      <c r="I2000" s="249">
        <v>80</v>
      </c>
      <c r="J2000" s="249">
        <v>6479.7401920926914</v>
      </c>
      <c r="K2000" s="595">
        <f t="shared" si="95"/>
        <v>518379</v>
      </c>
      <c r="L2000" s="39" t="s">
        <v>170</v>
      </c>
      <c r="M2000" s="39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IF(OR(TH!L2000=TH!$U$7,M2000=TH!$U$7),"x","")</f>
        <v/>
      </c>
      <c r="V2000" s="52" t="str">
        <f>IF(AND(B2000&gt;='IN-NX'!$P$3,B2000&lt;='IN-NX'!$Q$3,'IN-NX'!$D$7=D2000,OR(LEFT(L2000,2)="15",AND(LEFT(M2000,2)&lt;&gt;"15",LEFT(M2000,2)&lt;&gt;"33"))),"x","")</f>
        <v/>
      </c>
      <c r="W2000" s="52" t="str">
        <f>IF(AND(OR(LEFT(TH!L2000,2)="15",LEFT(TH!M2000,2)="15"),'152-CT'!$J$8=TH!F2000),"x","")</f>
        <v/>
      </c>
      <c r="X2000" s="52" t="str">
        <f>IF(AND(OR(LEFT(TH!L2000,2)="15",LEFT(TH!M2000,2)="15"),TK!$E$7=TH!F2000),"x","")</f>
        <v/>
      </c>
      <c r="Y2000" s="52" t="str">
        <f>IF(AND(B2000&lt;=NKC!$N$8,B2000&gt;=NKC!$M$8),"x","")</f>
        <v/>
      </c>
    </row>
    <row r="2001" spans="1:25" s="208" customFormat="1" ht="15.75" customHeight="1">
      <c r="A2001" s="201" t="str">
        <f>IF(B2001&lt;&gt;"",IF(AND(B2001&gt;=_TM1,B2001&lt;=_TM2,OR(TH!L2001="1111",TH!M2001="1111")),TH!D2001,""),"")</f>
        <v/>
      </c>
      <c r="B2001" s="36">
        <f t="shared" si="94"/>
        <v>10</v>
      </c>
      <c r="C2001" s="188">
        <f t="shared" si="96"/>
        <v>41568</v>
      </c>
      <c r="D2001" s="37" t="s">
        <v>457</v>
      </c>
      <c r="E2001" s="735">
        <v>41568</v>
      </c>
      <c r="F2001" s="186" t="s">
        <v>942</v>
      </c>
      <c r="G2001" s="40" t="s">
        <v>939</v>
      </c>
      <c r="H2001" s="7" t="s">
        <v>1258</v>
      </c>
      <c r="I2001" s="249">
        <v>15</v>
      </c>
      <c r="J2001" s="249">
        <v>9328.4901920926932</v>
      </c>
      <c r="K2001" s="595">
        <f t="shared" si="95"/>
        <v>139927</v>
      </c>
      <c r="L2001" s="39" t="s">
        <v>170</v>
      </c>
      <c r="M2001" s="39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IF(OR(TH!L2001=TH!$U$7,M2001=TH!$U$7),"x","")</f>
        <v/>
      </c>
      <c r="V2001" s="52" t="str">
        <f>IF(AND(B2001&gt;='IN-NX'!$P$3,B2001&lt;='IN-NX'!$Q$3,'IN-NX'!$D$7=D2001,OR(LEFT(L2001,2)="15",AND(LEFT(M2001,2)&lt;&gt;"15",LEFT(M2001,2)&lt;&gt;"33"))),"x","")</f>
        <v/>
      </c>
      <c r="W2001" s="52" t="str">
        <f>IF(AND(OR(LEFT(TH!L2001,2)="15",LEFT(TH!M2001,2)="15"),'152-CT'!$J$8=TH!F2001),"x","")</f>
        <v/>
      </c>
      <c r="X2001" s="52" t="str">
        <f>IF(AND(OR(LEFT(TH!L2001,2)="15",LEFT(TH!M2001,2)="15"),TK!$E$7=TH!F2001),"x","")</f>
        <v/>
      </c>
      <c r="Y2001" s="52" t="str">
        <f>IF(AND(B2001&lt;=NKC!$N$8,B2001&gt;=NKC!$M$8),"x","")</f>
        <v/>
      </c>
    </row>
    <row r="2002" spans="1:25" s="208" customFormat="1" ht="15.75" customHeight="1">
      <c r="A2002" s="201" t="str">
        <f>IF(B2002&lt;&gt;"",IF(AND(B2002&gt;=_TM1,B2002&lt;=_TM2,OR(TH!L2002="1111",TH!M2002="1111")),TH!D2002,""),"")</f>
        <v/>
      </c>
      <c r="B2002" s="36">
        <f t="shared" si="94"/>
        <v>10</v>
      </c>
      <c r="C2002" s="188">
        <f t="shared" si="96"/>
        <v>41568</v>
      </c>
      <c r="D2002" s="37" t="s">
        <v>457</v>
      </c>
      <c r="E2002" s="735">
        <v>41568</v>
      </c>
      <c r="F2002" s="40" t="s">
        <v>943</v>
      </c>
      <c r="G2002" s="40" t="s">
        <v>939</v>
      </c>
      <c r="H2002" s="7" t="s">
        <v>1258</v>
      </c>
      <c r="I2002" s="249">
        <v>21</v>
      </c>
      <c r="J2002" s="249">
        <v>10823.490192092693</v>
      </c>
      <c r="K2002" s="595">
        <f t="shared" si="95"/>
        <v>227293</v>
      </c>
      <c r="L2002" s="39" t="s">
        <v>170</v>
      </c>
      <c r="M2002" s="39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IF(OR(TH!L2002=TH!$U$7,M2002=TH!$U$7),"x","")</f>
        <v/>
      </c>
      <c r="V2002" s="52" t="str">
        <f>IF(AND(B2002&gt;='IN-NX'!$P$3,B2002&lt;='IN-NX'!$Q$3,'IN-NX'!$D$7=D2002,OR(LEFT(L2002,2)="15",AND(LEFT(M2002,2)&lt;&gt;"15",LEFT(M2002,2)&lt;&gt;"33"))),"x","")</f>
        <v/>
      </c>
      <c r="W2002" s="52" t="str">
        <f>IF(AND(OR(LEFT(TH!L2002,2)="15",LEFT(TH!M2002,2)="15"),'152-CT'!$J$8=TH!F2002),"x","")</f>
        <v/>
      </c>
      <c r="X2002" s="52" t="str">
        <f>IF(AND(OR(LEFT(TH!L2002,2)="15",LEFT(TH!M2002,2)="15"),TK!$E$7=TH!F2002),"x","")</f>
        <v/>
      </c>
      <c r="Y2002" s="52" t="str">
        <f>IF(AND(B2002&lt;=NKC!$N$8,B2002&gt;=NKC!$M$8),"x","")</f>
        <v/>
      </c>
    </row>
    <row r="2003" spans="1:25" s="208" customFormat="1" ht="15.75" customHeight="1">
      <c r="A2003" s="201" t="str">
        <f>IF(B2003&lt;&gt;"",IF(AND(B2003&gt;=_TM1,B2003&lt;=_TM2,OR(TH!L2003="1111",TH!M2003="1111")),TH!D2003,""),"")</f>
        <v/>
      </c>
      <c r="B2003" s="36">
        <f t="shared" si="94"/>
        <v>10</v>
      </c>
      <c r="C2003" s="188">
        <f t="shared" si="96"/>
        <v>41568</v>
      </c>
      <c r="D2003" s="37" t="s">
        <v>457</v>
      </c>
      <c r="E2003" s="735">
        <v>41568</v>
      </c>
      <c r="F2003" s="186" t="s">
        <v>944</v>
      </c>
      <c r="G2003" s="40" t="s">
        <v>939</v>
      </c>
      <c r="H2003" s="7" t="s">
        <v>1258</v>
      </c>
      <c r="I2003" s="249">
        <v>8</v>
      </c>
      <c r="J2003" s="249">
        <v>9328.4901920926932</v>
      </c>
      <c r="K2003" s="595">
        <f t="shared" si="95"/>
        <v>74628</v>
      </c>
      <c r="L2003" s="39" t="s">
        <v>170</v>
      </c>
      <c r="M2003" s="39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IF(OR(TH!L2003=TH!$U$7,M2003=TH!$U$7),"x","")</f>
        <v/>
      </c>
      <c r="V2003" s="52" t="str">
        <f>IF(AND(B2003&gt;='IN-NX'!$P$3,B2003&lt;='IN-NX'!$Q$3,'IN-NX'!$D$7=D2003,OR(LEFT(L2003,2)="15",AND(LEFT(M2003,2)&lt;&gt;"15",LEFT(M2003,2)&lt;&gt;"33"))),"x","")</f>
        <v/>
      </c>
      <c r="W2003" s="52" t="str">
        <f>IF(AND(OR(LEFT(TH!L2003,2)="15",LEFT(TH!M2003,2)="15"),'152-CT'!$J$8=TH!F2003),"x","")</f>
        <v/>
      </c>
      <c r="X2003" s="52" t="str">
        <f>IF(AND(OR(LEFT(TH!L2003,2)="15",LEFT(TH!M2003,2)="15"),TK!$E$7=TH!F2003),"x","")</f>
        <v/>
      </c>
      <c r="Y2003" s="52" t="str">
        <f>IF(AND(B2003&lt;=NKC!$N$8,B2003&gt;=NKC!$M$8),"x","")</f>
        <v/>
      </c>
    </row>
    <row r="2004" spans="1:25" s="208" customFormat="1" ht="15.75" customHeight="1">
      <c r="A2004" s="201" t="str">
        <f>IF(B2004&lt;&gt;"",IF(AND(B2004&gt;=_TM1,B2004&lt;=_TM2,OR(TH!L2004="1111",TH!M2004="1111")),TH!D2004,""),"")</f>
        <v/>
      </c>
      <c r="B2004" s="36">
        <f t="shared" si="94"/>
        <v>10</v>
      </c>
      <c r="C2004" s="188">
        <f t="shared" si="96"/>
        <v>41568</v>
      </c>
      <c r="D2004" s="37" t="s">
        <v>457</v>
      </c>
      <c r="E2004" s="735">
        <v>41568</v>
      </c>
      <c r="F2004" s="186" t="s">
        <v>945</v>
      </c>
      <c r="G2004" s="40" t="s">
        <v>939</v>
      </c>
      <c r="H2004" s="7" t="s">
        <v>1258</v>
      </c>
      <c r="I2004" s="249">
        <v>10</v>
      </c>
      <c r="J2004" s="249">
        <v>10898.490192092691</v>
      </c>
      <c r="K2004" s="595">
        <f t="shared" si="95"/>
        <v>108985</v>
      </c>
      <c r="L2004" s="39" t="s">
        <v>170</v>
      </c>
      <c r="M2004" s="39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IF(OR(TH!L2004=TH!$U$7,M2004=TH!$U$7),"x","")</f>
        <v/>
      </c>
      <c r="V2004" s="52" t="str">
        <f>IF(AND(B2004&gt;='IN-NX'!$P$3,B2004&lt;='IN-NX'!$Q$3,'IN-NX'!$D$7=D2004,OR(LEFT(L2004,2)="15",AND(LEFT(M2004,2)&lt;&gt;"15",LEFT(M2004,2)&lt;&gt;"33"))),"x","")</f>
        <v/>
      </c>
      <c r="W2004" s="52" t="str">
        <f>IF(AND(OR(LEFT(TH!L2004,2)="15",LEFT(TH!M2004,2)="15"),'152-CT'!$J$8=TH!F2004),"x","")</f>
        <v/>
      </c>
      <c r="X2004" s="52" t="str">
        <f>IF(AND(OR(LEFT(TH!L2004,2)="15",LEFT(TH!M2004,2)="15"),TK!$E$7=TH!F2004),"x","")</f>
        <v/>
      </c>
      <c r="Y2004" s="52" t="str">
        <f>IF(AND(B2004&lt;=NKC!$N$8,B2004&gt;=NKC!$M$8),"x","")</f>
        <v/>
      </c>
    </row>
    <row r="2005" spans="1:25" s="208" customFormat="1" ht="15.75" customHeight="1">
      <c r="A2005" s="201" t="str">
        <f>IF(B2005&lt;&gt;"",IF(AND(B2005&gt;=_TM1,B2005&lt;=_TM2,OR(TH!L2005="1111",TH!M2005="1111")),TH!D2005,""),"")</f>
        <v/>
      </c>
      <c r="B2005" s="36">
        <f t="shared" si="94"/>
        <v>10</v>
      </c>
      <c r="C2005" s="188">
        <f t="shared" si="96"/>
        <v>41568</v>
      </c>
      <c r="D2005" s="37" t="s">
        <v>457</v>
      </c>
      <c r="E2005" s="735">
        <v>41568</v>
      </c>
      <c r="F2005" s="186" t="s">
        <v>946</v>
      </c>
      <c r="G2005" s="40" t="s">
        <v>939</v>
      </c>
      <c r="H2005" s="7" t="s">
        <v>1258</v>
      </c>
      <c r="I2005" s="249">
        <v>10</v>
      </c>
      <c r="J2005" s="249">
        <v>15308.99019209269</v>
      </c>
      <c r="K2005" s="595">
        <f t="shared" si="95"/>
        <v>153090</v>
      </c>
      <c r="L2005" s="39" t="s">
        <v>170</v>
      </c>
      <c r="M2005" s="39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IF(OR(TH!L2005=TH!$U$7,M2005=TH!$U$7),"x","")</f>
        <v/>
      </c>
      <c r="V2005" s="52" t="str">
        <f>IF(AND(B2005&gt;='IN-NX'!$P$3,B2005&lt;='IN-NX'!$Q$3,'IN-NX'!$D$7=D2005,OR(LEFT(L2005,2)="15",AND(LEFT(M2005,2)&lt;&gt;"15",LEFT(M2005,2)&lt;&gt;"33"))),"x","")</f>
        <v/>
      </c>
      <c r="W2005" s="52" t="str">
        <f>IF(AND(OR(LEFT(TH!L2005,2)="15",LEFT(TH!M2005,2)="15"),'152-CT'!$J$8=TH!F2005),"x","")</f>
        <v/>
      </c>
      <c r="X2005" s="52" t="str">
        <f>IF(AND(OR(LEFT(TH!L2005,2)="15",LEFT(TH!M2005,2)="15"),TK!$E$7=TH!F2005),"x","")</f>
        <v/>
      </c>
      <c r="Y2005" s="52" t="str">
        <f>IF(AND(B2005&lt;=NKC!$N$8,B2005&gt;=NKC!$M$8),"x","")</f>
        <v/>
      </c>
    </row>
    <row r="2006" spans="1:25" s="208" customFormat="1" ht="15.75" customHeight="1">
      <c r="A2006" s="201" t="str">
        <f>IF(B2006&lt;&gt;"",IF(AND(B2006&gt;=_TM1,B2006&lt;=_TM2,OR(TH!L2006="1111",TH!M2006="1111")),TH!D2006,""),"")</f>
        <v/>
      </c>
      <c r="B2006" s="36">
        <f t="shared" ref="B2006:B2069" si="97">IF(C2006&lt;&gt;"",MONTH(C2006),"")</f>
        <v>10</v>
      </c>
      <c r="C2006" s="188">
        <f t="shared" si="96"/>
        <v>41568</v>
      </c>
      <c r="D2006" s="37" t="s">
        <v>457</v>
      </c>
      <c r="E2006" s="735">
        <v>41568</v>
      </c>
      <c r="F2006" s="186" t="s">
        <v>947</v>
      </c>
      <c r="G2006" s="40" t="s">
        <v>948</v>
      </c>
      <c r="H2006" s="7" t="s">
        <v>1258</v>
      </c>
      <c r="I2006" s="249">
        <v>62</v>
      </c>
      <c r="J2006" s="249">
        <v>6978.6514824152728</v>
      </c>
      <c r="K2006" s="595">
        <f t="shared" si="95"/>
        <v>432676</v>
      </c>
      <c r="L2006" s="39" t="s">
        <v>170</v>
      </c>
      <c r="M2006" s="39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IF(OR(TH!L2006=TH!$U$7,M2006=TH!$U$7),"x","")</f>
        <v/>
      </c>
      <c r="V2006" s="52" t="str">
        <f>IF(AND(B2006&gt;='IN-NX'!$P$3,B2006&lt;='IN-NX'!$Q$3,'IN-NX'!$D$7=D2006,OR(LEFT(L2006,2)="15",AND(LEFT(M2006,2)&lt;&gt;"15",LEFT(M2006,2)&lt;&gt;"33"))),"x","")</f>
        <v/>
      </c>
      <c r="W2006" s="52" t="str">
        <f>IF(AND(OR(LEFT(TH!L2006,2)="15",LEFT(TH!M2006,2)="15"),'152-CT'!$J$8=TH!F2006),"x","")</f>
        <v/>
      </c>
      <c r="X2006" s="52" t="str">
        <f>IF(AND(OR(LEFT(TH!L2006,2)="15",LEFT(TH!M2006,2)="15"),TK!$E$7=TH!F2006),"x","")</f>
        <v/>
      </c>
      <c r="Y2006" s="52" t="str">
        <f>IF(AND(B2006&lt;=NKC!$N$8,B2006&gt;=NKC!$M$8),"x","")</f>
        <v/>
      </c>
    </row>
    <row r="2007" spans="1:25" s="208" customFormat="1" ht="15.75" customHeight="1">
      <c r="A2007" s="201" t="str">
        <f>IF(B2007&lt;&gt;"",IF(AND(B2007&gt;=_TM1,B2007&lt;=_TM2,OR(TH!L2007="1111",TH!M2007="1111")),TH!D2007,""),"")</f>
        <v/>
      </c>
      <c r="B2007" s="36">
        <f t="shared" si="97"/>
        <v>10</v>
      </c>
      <c r="C2007" s="188">
        <f t="shared" si="96"/>
        <v>41568</v>
      </c>
      <c r="D2007" s="37" t="s">
        <v>457</v>
      </c>
      <c r="E2007" s="188">
        <v>41568</v>
      </c>
      <c r="F2007" s="189" t="s">
        <v>949</v>
      </c>
      <c r="G2007" s="480" t="s">
        <v>950</v>
      </c>
      <c r="H2007" s="7" t="s">
        <v>1258</v>
      </c>
      <c r="I2007" s="249">
        <v>50</v>
      </c>
      <c r="J2007" s="249">
        <v>12435.890192092693</v>
      </c>
      <c r="K2007" s="595">
        <f t="shared" si="95"/>
        <v>621795</v>
      </c>
      <c r="L2007" s="39" t="s">
        <v>170</v>
      </c>
      <c r="M2007" s="39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IF(OR(TH!L2007=TH!$U$7,M2007=TH!$U$7),"x","")</f>
        <v/>
      </c>
      <c r="V2007" s="52" t="str">
        <f>IF(AND(B2007&gt;='IN-NX'!$P$3,B2007&lt;='IN-NX'!$Q$3,'IN-NX'!$D$7=D2007,OR(LEFT(L2007,2)="15",AND(LEFT(M2007,2)&lt;&gt;"15",LEFT(M2007,2)&lt;&gt;"33"))),"x","")</f>
        <v/>
      </c>
      <c r="W2007" s="52" t="str">
        <f>IF(AND(OR(LEFT(TH!L2007,2)="15",LEFT(TH!M2007,2)="15"),'152-CT'!$J$8=TH!F2007),"x","")</f>
        <v/>
      </c>
      <c r="X2007" s="52" t="str">
        <f>IF(AND(OR(LEFT(TH!L2007,2)="15",LEFT(TH!M2007,2)="15"),TK!$E$7=TH!F2007),"x","")</f>
        <v/>
      </c>
      <c r="Y2007" s="52" t="str">
        <f>IF(AND(B2007&lt;=NKC!$N$8,B2007&gt;=NKC!$M$8),"x","")</f>
        <v/>
      </c>
    </row>
    <row r="2008" spans="1:25" s="208" customFormat="1" ht="15.75" customHeight="1">
      <c r="A2008" s="201" t="str">
        <f>IF(B2008&lt;&gt;"",IF(AND(B2008&gt;=_TM1,B2008&lt;=_TM2,OR(TH!L2008="1111",TH!M2008="1111")),TH!D2008,""),"")</f>
        <v/>
      </c>
      <c r="B2008" s="36">
        <f t="shared" si="97"/>
        <v>10</v>
      </c>
      <c r="C2008" s="188">
        <f t="shared" si="96"/>
        <v>41568</v>
      </c>
      <c r="D2008" s="37" t="s">
        <v>457</v>
      </c>
      <c r="E2008" s="188">
        <v>41568</v>
      </c>
      <c r="F2008" s="189" t="s">
        <v>951</v>
      </c>
      <c r="G2008" s="480" t="s">
        <v>952</v>
      </c>
      <c r="H2008" s="7" t="s">
        <v>1258</v>
      </c>
      <c r="I2008" s="249">
        <v>51</v>
      </c>
      <c r="J2008" s="249">
        <v>11744.490192092693</v>
      </c>
      <c r="K2008" s="595">
        <f t="shared" si="95"/>
        <v>598969</v>
      </c>
      <c r="L2008" s="39" t="s">
        <v>170</v>
      </c>
      <c r="M2008" s="39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IF(OR(TH!L2008=TH!$U$7,M2008=TH!$U$7),"x","")</f>
        <v/>
      </c>
      <c r="V2008" s="52" t="str">
        <f>IF(AND(B2008&gt;='IN-NX'!$P$3,B2008&lt;='IN-NX'!$Q$3,'IN-NX'!$D$7=D2008,OR(LEFT(L2008,2)="15",AND(LEFT(M2008,2)&lt;&gt;"15",LEFT(M2008,2)&lt;&gt;"33"))),"x","")</f>
        <v/>
      </c>
      <c r="W2008" s="52" t="str">
        <f>IF(AND(OR(LEFT(TH!L2008,2)="15",LEFT(TH!M2008,2)="15"),'152-CT'!$J$8=TH!F2008),"x","")</f>
        <v/>
      </c>
      <c r="X2008" s="52" t="str">
        <f>IF(AND(OR(LEFT(TH!L2008,2)="15",LEFT(TH!M2008,2)="15"),TK!$E$7=TH!F2008),"x","")</f>
        <v/>
      </c>
      <c r="Y2008" s="52" t="str">
        <f>IF(AND(B2008&lt;=NKC!$N$8,B2008&gt;=NKC!$M$8),"x","")</f>
        <v/>
      </c>
    </row>
    <row r="2009" spans="1:25" s="208" customFormat="1" ht="15.75" customHeight="1">
      <c r="A2009" s="201" t="str">
        <f>IF(B2009&lt;&gt;"",IF(AND(B2009&gt;=_TM1,B2009&lt;=_TM2,OR(TH!L2009="1111",TH!M2009="1111")),TH!D2009,""),"")</f>
        <v/>
      </c>
      <c r="B2009" s="36">
        <f t="shared" si="97"/>
        <v>10</v>
      </c>
      <c r="C2009" s="188">
        <f t="shared" si="96"/>
        <v>41568</v>
      </c>
      <c r="D2009" s="37" t="s">
        <v>457</v>
      </c>
      <c r="E2009" s="188">
        <v>41568</v>
      </c>
      <c r="F2009" s="189" t="s">
        <v>1124</v>
      </c>
      <c r="G2009" s="480" t="s">
        <v>953</v>
      </c>
      <c r="H2009" s="7" t="s">
        <v>1258</v>
      </c>
      <c r="I2009" s="249">
        <v>66</v>
      </c>
      <c r="J2009" s="249">
        <v>4580.4901920926914</v>
      </c>
      <c r="K2009" s="595">
        <f t="shared" si="95"/>
        <v>302312</v>
      </c>
      <c r="L2009" s="39" t="s">
        <v>170</v>
      </c>
      <c r="M2009" s="39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IF(OR(TH!L2009=TH!$U$7,M2009=TH!$U$7),"x","")</f>
        <v/>
      </c>
      <c r="V2009" s="52" t="str">
        <f>IF(AND(B2009&gt;='IN-NX'!$P$3,B2009&lt;='IN-NX'!$Q$3,'IN-NX'!$D$7=D2009,OR(LEFT(L2009,2)="15",AND(LEFT(M2009,2)&lt;&gt;"15",LEFT(M2009,2)&lt;&gt;"33"))),"x","")</f>
        <v/>
      </c>
      <c r="W2009" s="52" t="str">
        <f>IF(AND(OR(LEFT(TH!L2009,2)="15",LEFT(TH!M2009,2)="15"),'152-CT'!$J$8=TH!F2009),"x","")</f>
        <v/>
      </c>
      <c r="X2009" s="52" t="str">
        <f>IF(AND(OR(LEFT(TH!L2009,2)="15",LEFT(TH!M2009,2)="15"),TK!$E$7=TH!F2009),"x","")</f>
        <v/>
      </c>
      <c r="Y2009" s="52" t="str">
        <f>IF(AND(B2009&lt;=NKC!$N$8,B2009&gt;=NKC!$M$8),"x","")</f>
        <v/>
      </c>
    </row>
    <row r="2010" spans="1:25" s="208" customFormat="1" ht="15.75" customHeight="1">
      <c r="A2010" s="201" t="str">
        <f>IF(B2010&lt;&gt;"",IF(AND(B2010&gt;=_TM1,B2010&lt;=_TM2,OR(TH!L2010="1111",TH!M2010="1111")),TH!D2010,""),"")</f>
        <v/>
      </c>
      <c r="B2010" s="36">
        <f t="shared" si="97"/>
        <v>10</v>
      </c>
      <c r="C2010" s="188">
        <f t="shared" si="96"/>
        <v>41568</v>
      </c>
      <c r="D2010" s="37" t="s">
        <v>457</v>
      </c>
      <c r="E2010" s="188">
        <v>41568</v>
      </c>
      <c r="F2010" s="189" t="s">
        <v>1125</v>
      </c>
      <c r="G2010" s="480" t="s">
        <v>611</v>
      </c>
      <c r="H2010" s="7" t="s">
        <v>1258</v>
      </c>
      <c r="I2010" s="249">
        <v>62</v>
      </c>
      <c r="J2010" s="249">
        <v>4895.7482566088211</v>
      </c>
      <c r="K2010" s="595">
        <f t="shared" ref="K2010:K2073" si="98">ROUND(I2010*J2010,0)</f>
        <v>303536</v>
      </c>
      <c r="L2010" s="39" t="s">
        <v>170</v>
      </c>
      <c r="M2010" s="39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IF(OR(TH!L2010=TH!$U$7,M2010=TH!$U$7),"x","")</f>
        <v/>
      </c>
      <c r="V2010" s="52" t="str">
        <f>IF(AND(B2010&gt;='IN-NX'!$P$3,B2010&lt;='IN-NX'!$Q$3,'IN-NX'!$D$7=D2010,OR(LEFT(L2010,2)="15",AND(LEFT(M2010,2)&lt;&gt;"15",LEFT(M2010,2)&lt;&gt;"33"))),"x","")</f>
        <v/>
      </c>
      <c r="W2010" s="52" t="str">
        <f>IF(AND(OR(LEFT(TH!L2010,2)="15",LEFT(TH!M2010,2)="15"),'152-CT'!$J$8=TH!F2010),"x","")</f>
        <v/>
      </c>
      <c r="X2010" s="52" t="str">
        <f>IF(AND(OR(LEFT(TH!L2010,2)="15",LEFT(TH!M2010,2)="15"),TK!$E$7=TH!F2010),"x","")</f>
        <v/>
      </c>
      <c r="Y2010" s="52" t="str">
        <f>IF(AND(B2010&lt;=NKC!$N$8,B2010&gt;=NKC!$M$8),"x","")</f>
        <v/>
      </c>
    </row>
    <row r="2011" spans="1:25" s="208" customFormat="1" ht="15.75" customHeight="1">
      <c r="A2011" s="201" t="str">
        <f>IF(B2011&lt;&gt;"",IF(AND(B2011&gt;=_TM1,B2011&lt;=_TM2,OR(TH!L2011="1111",TH!M2011="1111")),TH!D2011,""),"")</f>
        <v/>
      </c>
      <c r="B2011" s="36">
        <f t="shared" si="97"/>
        <v>10</v>
      </c>
      <c r="C2011" s="188">
        <f t="shared" si="96"/>
        <v>41568</v>
      </c>
      <c r="D2011" s="37" t="s">
        <v>457</v>
      </c>
      <c r="E2011" s="188">
        <v>41568</v>
      </c>
      <c r="F2011" s="189" t="s">
        <v>954</v>
      </c>
      <c r="G2011" s="480" t="s">
        <v>955</v>
      </c>
      <c r="H2011" s="7" t="s">
        <v>1258</v>
      </c>
      <c r="I2011" s="249">
        <v>16</v>
      </c>
      <c r="J2011" s="249">
        <v>15943.490192092693</v>
      </c>
      <c r="K2011" s="595">
        <f t="shared" si="98"/>
        <v>255096</v>
      </c>
      <c r="L2011" s="39" t="s">
        <v>170</v>
      </c>
      <c r="M2011" s="39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IF(OR(TH!L2011=TH!$U$7,M2011=TH!$U$7),"x","")</f>
        <v/>
      </c>
      <c r="V2011" s="52" t="str">
        <f>IF(AND(B2011&gt;='IN-NX'!$P$3,B2011&lt;='IN-NX'!$Q$3,'IN-NX'!$D$7=D2011,OR(LEFT(L2011,2)="15",AND(LEFT(M2011,2)&lt;&gt;"15",LEFT(M2011,2)&lt;&gt;"33"))),"x","")</f>
        <v/>
      </c>
      <c r="W2011" s="52" t="str">
        <f>IF(AND(OR(LEFT(TH!L2011,2)="15",LEFT(TH!M2011,2)="15"),'152-CT'!$J$8=TH!F2011),"x","")</f>
        <v/>
      </c>
      <c r="X2011" s="52" t="str">
        <f>IF(AND(OR(LEFT(TH!L2011,2)="15",LEFT(TH!M2011,2)="15"),TK!$E$7=TH!F2011),"x","")</f>
        <v/>
      </c>
      <c r="Y2011" s="52" t="str">
        <f>IF(AND(B2011&lt;=NKC!$N$8,B2011&gt;=NKC!$M$8),"x","")</f>
        <v/>
      </c>
    </row>
    <row r="2012" spans="1:25" s="208" customFormat="1" ht="15.75" customHeight="1">
      <c r="A2012" s="201" t="str">
        <f>IF(B2012&lt;&gt;"",IF(AND(B2012&gt;=_TM1,B2012&lt;=_TM2,OR(TH!L2012="1111",TH!M2012="1111")),TH!D2012,""),"")</f>
        <v/>
      </c>
      <c r="B2012" s="36">
        <f t="shared" si="97"/>
        <v>10</v>
      </c>
      <c r="C2012" s="188">
        <f t="shared" si="96"/>
        <v>41568</v>
      </c>
      <c r="D2012" s="37" t="s">
        <v>457</v>
      </c>
      <c r="E2012" s="188">
        <v>41568</v>
      </c>
      <c r="F2012" s="189" t="s">
        <v>956</v>
      </c>
      <c r="G2012" s="480" t="s">
        <v>957</v>
      </c>
      <c r="H2012" s="7" t="s">
        <v>1258</v>
      </c>
      <c r="I2012" s="249">
        <v>13</v>
      </c>
      <c r="J2012" s="249">
        <v>15943.490192092691</v>
      </c>
      <c r="K2012" s="595">
        <f t="shared" si="98"/>
        <v>207265</v>
      </c>
      <c r="L2012" s="39" t="s">
        <v>170</v>
      </c>
      <c r="M2012" s="39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IF(OR(TH!L2012=TH!$U$7,M2012=TH!$U$7),"x","")</f>
        <v/>
      </c>
      <c r="V2012" s="52" t="str">
        <f>IF(AND(B2012&gt;='IN-NX'!$P$3,B2012&lt;='IN-NX'!$Q$3,'IN-NX'!$D$7=D2012,OR(LEFT(L2012,2)="15",AND(LEFT(M2012,2)&lt;&gt;"15",LEFT(M2012,2)&lt;&gt;"33"))),"x","")</f>
        <v/>
      </c>
      <c r="W2012" s="52" t="str">
        <f>IF(AND(OR(LEFT(TH!L2012,2)="15",LEFT(TH!M2012,2)="15"),'152-CT'!$J$8=TH!F2012),"x","")</f>
        <v/>
      </c>
      <c r="X2012" s="52" t="str">
        <f>IF(AND(OR(LEFT(TH!L2012,2)="15",LEFT(TH!M2012,2)="15"),TK!$E$7=TH!F2012),"x","")</f>
        <v/>
      </c>
      <c r="Y2012" s="52" t="str">
        <f>IF(AND(B2012&lt;=NKC!$N$8,B2012&gt;=NKC!$M$8),"x","")</f>
        <v/>
      </c>
    </row>
    <row r="2013" spans="1:25" s="208" customFormat="1" ht="15.75" customHeight="1">
      <c r="A2013" s="201" t="str">
        <f>IF(B2013&lt;&gt;"",IF(AND(B2013&gt;=_TM1,B2013&lt;=_TM2,OR(TH!L2013="1111",TH!M2013="1111")),TH!D2013,""),"")</f>
        <v/>
      </c>
      <c r="B2013" s="36">
        <f t="shared" si="97"/>
        <v>10</v>
      </c>
      <c r="C2013" s="188">
        <f t="shared" si="96"/>
        <v>41568</v>
      </c>
      <c r="D2013" s="37" t="s">
        <v>457</v>
      </c>
      <c r="E2013" s="188">
        <v>41568</v>
      </c>
      <c r="F2013" s="189" t="s">
        <v>958</v>
      </c>
      <c r="G2013" s="480" t="s">
        <v>959</v>
      </c>
      <c r="H2013" s="7" t="s">
        <v>1258</v>
      </c>
      <c r="I2013" s="249">
        <v>13</v>
      </c>
      <c r="J2013" s="249">
        <v>23971.490192092697</v>
      </c>
      <c r="K2013" s="595">
        <f t="shared" si="98"/>
        <v>311629</v>
      </c>
      <c r="L2013" s="39" t="s">
        <v>170</v>
      </c>
      <c r="M2013" s="39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IF(OR(TH!L2013=TH!$U$7,M2013=TH!$U$7),"x","")</f>
        <v/>
      </c>
      <c r="V2013" s="52" t="str">
        <f>IF(AND(B2013&gt;='IN-NX'!$P$3,B2013&lt;='IN-NX'!$Q$3,'IN-NX'!$D$7=D2013,OR(LEFT(L2013,2)="15",AND(LEFT(M2013,2)&lt;&gt;"15",LEFT(M2013,2)&lt;&gt;"33"))),"x","")</f>
        <v/>
      </c>
      <c r="W2013" s="52" t="str">
        <f>IF(AND(OR(LEFT(TH!L2013,2)="15",LEFT(TH!M2013,2)="15"),'152-CT'!$J$8=TH!F2013),"x","")</f>
        <v/>
      </c>
      <c r="X2013" s="52" t="str">
        <f>IF(AND(OR(LEFT(TH!L2013,2)="15",LEFT(TH!M2013,2)="15"),TK!$E$7=TH!F2013),"x","")</f>
        <v/>
      </c>
      <c r="Y2013" s="52" t="str">
        <f>IF(AND(B2013&lt;=NKC!$N$8,B2013&gt;=NKC!$M$8),"x","")</f>
        <v/>
      </c>
    </row>
    <row r="2014" spans="1:25" s="208" customFormat="1" ht="15.75" customHeight="1">
      <c r="A2014" s="201" t="str">
        <f>IF(B2014&lt;&gt;"",IF(AND(B2014&gt;=_TM1,B2014&lt;=_TM2,OR(TH!L2014="1111",TH!M2014="1111")),TH!D2014,""),"")</f>
        <v/>
      </c>
      <c r="B2014" s="36">
        <f t="shared" si="97"/>
        <v>10</v>
      </c>
      <c r="C2014" s="188">
        <f t="shared" si="96"/>
        <v>41568</v>
      </c>
      <c r="D2014" s="37" t="s">
        <v>457</v>
      </c>
      <c r="E2014" s="188">
        <v>41568</v>
      </c>
      <c r="F2014" s="189" t="s">
        <v>1121</v>
      </c>
      <c r="G2014" s="480" t="s">
        <v>950</v>
      </c>
      <c r="H2014" s="7" t="s">
        <v>1258</v>
      </c>
      <c r="I2014" s="249">
        <v>200</v>
      </c>
      <c r="J2014" s="249">
        <v>4408.4901920926932</v>
      </c>
      <c r="K2014" s="595">
        <f t="shared" si="98"/>
        <v>881698</v>
      </c>
      <c r="L2014" s="39" t="s">
        <v>170</v>
      </c>
      <c r="M2014" s="39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IF(OR(TH!L2014=TH!$U$7,M2014=TH!$U$7),"x","")</f>
        <v/>
      </c>
      <c r="V2014" s="52" t="str">
        <f>IF(AND(B2014&gt;='IN-NX'!$P$3,B2014&lt;='IN-NX'!$Q$3,'IN-NX'!$D$7=D2014,OR(LEFT(L2014,2)="15",AND(LEFT(M2014,2)&lt;&gt;"15",LEFT(M2014,2)&lt;&gt;"33"))),"x","")</f>
        <v/>
      </c>
      <c r="W2014" s="52" t="str">
        <f>IF(AND(OR(LEFT(TH!L2014,2)="15",LEFT(TH!M2014,2)="15"),'152-CT'!$J$8=TH!F2014),"x","")</f>
        <v/>
      </c>
      <c r="X2014" s="52" t="str">
        <f>IF(AND(OR(LEFT(TH!L2014,2)="15",LEFT(TH!M2014,2)="15"),TK!$E$7=TH!F2014),"x","")</f>
        <v/>
      </c>
      <c r="Y2014" s="52" t="str">
        <f>IF(AND(B2014&lt;=NKC!$N$8,B2014&gt;=NKC!$M$8),"x","")</f>
        <v/>
      </c>
    </row>
    <row r="2015" spans="1:25" s="208" customFormat="1" ht="15.75" customHeight="1">
      <c r="A2015" s="201" t="str">
        <f>IF(B2015&lt;&gt;"",IF(AND(B2015&gt;=_TM1,B2015&lt;=_TM2,OR(TH!L2015="1111",TH!M2015="1111")),TH!D2015,""),"")</f>
        <v/>
      </c>
      <c r="B2015" s="36">
        <f t="shared" si="97"/>
        <v>10</v>
      </c>
      <c r="C2015" s="188">
        <f t="shared" si="96"/>
        <v>41568</v>
      </c>
      <c r="D2015" s="37" t="s">
        <v>457</v>
      </c>
      <c r="E2015" s="188">
        <v>41568</v>
      </c>
      <c r="F2015" s="189" t="s">
        <v>960</v>
      </c>
      <c r="G2015" s="480" t="s">
        <v>955</v>
      </c>
      <c r="H2015" s="7" t="s">
        <v>1258</v>
      </c>
      <c r="I2015" s="249">
        <v>50</v>
      </c>
      <c r="J2015" s="249">
        <v>33775.490192092693</v>
      </c>
      <c r="K2015" s="595">
        <f t="shared" si="98"/>
        <v>1688775</v>
      </c>
      <c r="L2015" s="39" t="s">
        <v>170</v>
      </c>
      <c r="M2015" s="39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IF(OR(TH!L2015=TH!$U$7,M2015=TH!$U$7),"x","")</f>
        <v/>
      </c>
      <c r="V2015" s="52" t="str">
        <f>IF(AND(B2015&gt;='IN-NX'!$P$3,B2015&lt;='IN-NX'!$Q$3,'IN-NX'!$D$7=D2015,OR(LEFT(L2015,2)="15",AND(LEFT(M2015,2)&lt;&gt;"15",LEFT(M2015,2)&lt;&gt;"33"))),"x","")</f>
        <v/>
      </c>
      <c r="W2015" s="52" t="str">
        <f>IF(AND(OR(LEFT(TH!L2015,2)="15",LEFT(TH!M2015,2)="15"),'152-CT'!$J$8=TH!F2015),"x","")</f>
        <v/>
      </c>
      <c r="X2015" s="52" t="str">
        <f>IF(AND(OR(LEFT(TH!L2015,2)="15",LEFT(TH!M2015,2)="15"),TK!$E$7=TH!F2015),"x","")</f>
        <v/>
      </c>
      <c r="Y2015" s="52" t="str">
        <f>IF(AND(B2015&lt;=NKC!$N$8,B2015&gt;=NKC!$M$8),"x","")</f>
        <v/>
      </c>
    </row>
    <row r="2016" spans="1:25" s="208" customFormat="1" ht="15.75" customHeight="1">
      <c r="A2016" s="201" t="str">
        <f>IF(B2016&lt;&gt;"",IF(AND(B2016&gt;=_TM1,B2016&lt;=_TM2,OR(TH!L2016="1111",TH!M2016="1111")),TH!D2016,""),"")</f>
        <v/>
      </c>
      <c r="B2016" s="36">
        <f t="shared" si="97"/>
        <v>10</v>
      </c>
      <c r="C2016" s="188">
        <f t="shared" si="96"/>
        <v>41568</v>
      </c>
      <c r="D2016" s="37" t="s">
        <v>457</v>
      </c>
      <c r="E2016" s="37">
        <v>41568</v>
      </c>
      <c r="F2016" s="40" t="s">
        <v>961</v>
      </c>
      <c r="G2016" s="40" t="s">
        <v>955</v>
      </c>
      <c r="H2016" s="7" t="s">
        <v>1258</v>
      </c>
      <c r="I2016" s="249">
        <v>50</v>
      </c>
      <c r="J2016" s="249">
        <v>62541.290192092696</v>
      </c>
      <c r="K2016" s="595">
        <f t="shared" si="98"/>
        <v>3127065</v>
      </c>
      <c r="L2016" s="39" t="s">
        <v>170</v>
      </c>
      <c r="M2016" s="39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IF(OR(TH!L2016=TH!$U$7,M2016=TH!$U$7),"x","")</f>
        <v/>
      </c>
      <c r="V2016" s="52" t="str">
        <f>IF(AND(B2016&gt;='IN-NX'!$P$3,B2016&lt;='IN-NX'!$Q$3,'IN-NX'!$D$7=D2016,OR(LEFT(L2016,2)="15",AND(LEFT(M2016,2)&lt;&gt;"15",LEFT(M2016,2)&lt;&gt;"33"))),"x","")</f>
        <v/>
      </c>
      <c r="W2016" s="52" t="str">
        <f>IF(AND(OR(LEFT(TH!L2016,2)="15",LEFT(TH!M2016,2)="15"),'152-CT'!$J$8=TH!F2016),"x","")</f>
        <v/>
      </c>
      <c r="X2016" s="52" t="str">
        <f>IF(AND(OR(LEFT(TH!L2016,2)="15",LEFT(TH!M2016,2)="15"),TK!$E$7=TH!F2016),"x","")</f>
        <v/>
      </c>
      <c r="Y2016" s="52" t="str">
        <f>IF(AND(B2016&lt;=NKC!$N$8,B2016&gt;=NKC!$M$8),"x","")</f>
        <v/>
      </c>
    </row>
    <row r="2017" spans="1:25" s="208" customFormat="1" ht="15.75" customHeight="1">
      <c r="A2017" s="201" t="str">
        <f>IF(B2017&lt;&gt;"",IF(AND(B2017&gt;=_TM1,B2017&lt;=_TM2,OR(TH!L2017="1111",TH!M2017="1111")),TH!D2017,""),"")</f>
        <v/>
      </c>
      <c r="B2017" s="36">
        <f t="shared" si="97"/>
        <v>10</v>
      </c>
      <c r="C2017" s="188">
        <f t="shared" si="96"/>
        <v>41569</v>
      </c>
      <c r="D2017" s="37" t="s">
        <v>457</v>
      </c>
      <c r="E2017" s="37">
        <v>41569</v>
      </c>
      <c r="F2017" s="40" t="s">
        <v>1120</v>
      </c>
      <c r="G2017" s="40" t="s">
        <v>957</v>
      </c>
      <c r="H2017" s="7" t="s">
        <v>1258</v>
      </c>
      <c r="I2017" s="249">
        <v>1980</v>
      </c>
      <c r="J2017" s="249">
        <v>4431.2720102745106</v>
      </c>
      <c r="K2017" s="595">
        <f t="shared" si="98"/>
        <v>8773919</v>
      </c>
      <c r="L2017" s="39" t="s">
        <v>170</v>
      </c>
      <c r="M2017" s="39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IF(OR(TH!L2017=TH!$U$7,M2017=TH!$U$7),"x","")</f>
        <v/>
      </c>
      <c r="V2017" s="52" t="str">
        <f>IF(AND(B2017&gt;='IN-NX'!$P$3,B2017&lt;='IN-NX'!$Q$3,'IN-NX'!$D$7=D2017,OR(LEFT(L2017,2)="15",AND(LEFT(M2017,2)&lt;&gt;"15",LEFT(M2017,2)&lt;&gt;"33"))),"x","")</f>
        <v/>
      </c>
      <c r="W2017" s="52" t="str">
        <f>IF(AND(OR(LEFT(TH!L2017,2)="15",LEFT(TH!M2017,2)="15"),'152-CT'!$J$8=TH!F2017),"x","")</f>
        <v/>
      </c>
      <c r="X2017" s="52" t="str">
        <f>IF(AND(OR(LEFT(TH!L2017,2)="15",LEFT(TH!M2017,2)="15"),TK!$E$7=TH!F2017),"x","")</f>
        <v/>
      </c>
      <c r="Y2017" s="52" t="str">
        <f>IF(AND(B2017&lt;=NKC!$N$8,B2017&gt;=NKC!$M$8),"x","")</f>
        <v/>
      </c>
    </row>
    <row r="2018" spans="1:25" s="208" customFormat="1" ht="15.75" customHeight="1">
      <c r="A2018" s="201" t="str">
        <f>IF(B2018&lt;&gt;"",IF(AND(B2018&gt;=_TM1,B2018&lt;=_TM2,OR(TH!L2018="1111",TH!M2018="1111")),TH!D2018,""),"")</f>
        <v/>
      </c>
      <c r="B2018" s="36">
        <f t="shared" si="97"/>
        <v>10</v>
      </c>
      <c r="C2018" s="188">
        <f t="shared" si="96"/>
        <v>41571</v>
      </c>
      <c r="D2018" s="37" t="s">
        <v>457</v>
      </c>
      <c r="E2018" s="37">
        <v>41571</v>
      </c>
      <c r="F2018" s="189" t="s">
        <v>1097</v>
      </c>
      <c r="G2018" s="40" t="s">
        <v>959</v>
      </c>
      <c r="H2018" s="7" t="s">
        <v>1258</v>
      </c>
      <c r="I2018" s="249">
        <v>100</v>
      </c>
      <c r="J2018" s="249">
        <v>5921.0001920926916</v>
      </c>
      <c r="K2018" s="595">
        <f t="shared" si="98"/>
        <v>592100</v>
      </c>
      <c r="L2018" s="39" t="s">
        <v>170</v>
      </c>
      <c r="M2018" s="39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IF(OR(TH!L2018=TH!$U$7,M2018=TH!$U$7),"x","")</f>
        <v/>
      </c>
      <c r="V2018" s="52" t="str">
        <f>IF(AND(B2018&gt;='IN-NX'!$P$3,B2018&lt;='IN-NX'!$Q$3,'IN-NX'!$D$7=D2018,OR(LEFT(L2018,2)="15",AND(LEFT(M2018,2)&lt;&gt;"15",LEFT(M2018,2)&lt;&gt;"33"))),"x","")</f>
        <v/>
      </c>
      <c r="W2018" s="52" t="str">
        <f>IF(AND(OR(LEFT(TH!L2018,2)="15",LEFT(TH!M2018,2)="15"),'152-CT'!$J$8=TH!F2018),"x","")</f>
        <v/>
      </c>
      <c r="X2018" s="52" t="str">
        <f>IF(AND(OR(LEFT(TH!L2018,2)="15",LEFT(TH!M2018,2)="15"),TK!$E$7=TH!F2018),"x","")</f>
        <v/>
      </c>
      <c r="Y2018" s="52" t="str">
        <f>IF(AND(B2018&lt;=NKC!$N$8,B2018&gt;=NKC!$M$8),"x","")</f>
        <v/>
      </c>
    </row>
    <row r="2019" spans="1:25" s="208" customFormat="1" ht="15.75" customHeight="1">
      <c r="A2019" s="201" t="str">
        <f>IF(B2019&lt;&gt;"",IF(AND(B2019&gt;=_TM1,B2019&lt;=_TM2,OR(TH!L2019="1111",TH!M2019="1111")),TH!D2019,""),"")</f>
        <v/>
      </c>
      <c r="B2019" s="36">
        <f t="shared" si="97"/>
        <v>10</v>
      </c>
      <c r="C2019" s="188">
        <f t="shared" si="96"/>
        <v>41571</v>
      </c>
      <c r="D2019" s="37" t="s">
        <v>457</v>
      </c>
      <c r="E2019" s="37">
        <v>41571</v>
      </c>
      <c r="F2019" s="40" t="s">
        <v>781</v>
      </c>
      <c r="G2019" s="40" t="s">
        <v>959</v>
      </c>
      <c r="H2019" s="7" t="s">
        <v>1258</v>
      </c>
      <c r="I2019" s="249">
        <v>200</v>
      </c>
      <c r="J2019" s="249">
        <v>9108.4901920926914</v>
      </c>
      <c r="K2019" s="595">
        <f t="shared" si="98"/>
        <v>1821698</v>
      </c>
      <c r="L2019" s="39" t="s">
        <v>170</v>
      </c>
      <c r="M2019" s="39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IF(OR(TH!L2019=TH!$U$7,M2019=TH!$U$7),"x","")</f>
        <v/>
      </c>
      <c r="V2019" s="52" t="str">
        <f>IF(AND(B2019&gt;='IN-NX'!$P$3,B2019&lt;='IN-NX'!$Q$3,'IN-NX'!$D$7=D2019,OR(LEFT(L2019,2)="15",AND(LEFT(M2019,2)&lt;&gt;"15",LEFT(M2019,2)&lt;&gt;"33"))),"x","")</f>
        <v/>
      </c>
      <c r="W2019" s="52" t="str">
        <f>IF(AND(OR(LEFT(TH!L2019,2)="15",LEFT(TH!M2019,2)="15"),'152-CT'!$J$8=TH!F2019),"x","")</f>
        <v/>
      </c>
      <c r="X2019" s="52" t="str">
        <f>IF(AND(OR(LEFT(TH!L2019,2)="15",LEFT(TH!M2019,2)="15"),TK!$E$7=TH!F2019),"x","")</f>
        <v/>
      </c>
      <c r="Y2019" s="52" t="str">
        <f>IF(AND(B2019&lt;=NKC!$N$8,B2019&gt;=NKC!$M$8),"x","")</f>
        <v/>
      </c>
    </row>
    <row r="2020" spans="1:25" s="208" customFormat="1" ht="15.75" customHeight="1">
      <c r="A2020" s="201" t="str">
        <f>IF(B2020&lt;&gt;"",IF(AND(B2020&gt;=_TM1,B2020&lt;=_TM2,OR(TH!L2020="1111",TH!M2020="1111")),TH!D2020,""),"")</f>
        <v/>
      </c>
      <c r="B2020" s="36">
        <f t="shared" si="97"/>
        <v>10</v>
      </c>
      <c r="C2020" s="188">
        <f t="shared" si="96"/>
        <v>41571</v>
      </c>
      <c r="D2020" s="37" t="s">
        <v>457</v>
      </c>
      <c r="E2020" s="37">
        <v>41571</v>
      </c>
      <c r="F2020" s="189" t="s">
        <v>1097</v>
      </c>
      <c r="G2020" s="40" t="s">
        <v>959</v>
      </c>
      <c r="H2020" s="7" t="s">
        <v>1258</v>
      </c>
      <c r="I2020" s="249">
        <v>200</v>
      </c>
      <c r="J2020" s="249">
        <v>6562.4901920926923</v>
      </c>
      <c r="K2020" s="595">
        <f t="shared" si="98"/>
        <v>1312498</v>
      </c>
      <c r="L2020" s="39" t="s">
        <v>170</v>
      </c>
      <c r="M2020" s="39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IF(OR(TH!L2020=TH!$U$7,M2020=TH!$U$7),"x","")</f>
        <v/>
      </c>
      <c r="V2020" s="52" t="str">
        <f>IF(AND(B2020&gt;='IN-NX'!$P$3,B2020&lt;='IN-NX'!$Q$3,'IN-NX'!$D$7=D2020,OR(LEFT(L2020,2)="15",AND(LEFT(M2020,2)&lt;&gt;"15",LEFT(M2020,2)&lt;&gt;"33"))),"x","")</f>
        <v/>
      </c>
      <c r="W2020" s="52" t="str">
        <f>IF(AND(OR(LEFT(TH!L2020,2)="15",LEFT(TH!M2020,2)="15"),'152-CT'!$J$8=TH!F2020),"x","")</f>
        <v/>
      </c>
      <c r="X2020" s="52" t="str">
        <f>IF(AND(OR(LEFT(TH!L2020,2)="15",LEFT(TH!M2020,2)="15"),TK!$E$7=TH!F2020),"x","")</f>
        <v/>
      </c>
      <c r="Y2020" s="52" t="str">
        <f>IF(AND(B2020&lt;=NKC!$N$8,B2020&gt;=NKC!$M$8),"x","")</f>
        <v/>
      </c>
    </row>
    <row r="2021" spans="1:25" s="208" customFormat="1" ht="15.75" customHeight="1">
      <c r="A2021" s="201" t="str">
        <f>IF(B2021&lt;&gt;"",IF(AND(B2021&gt;=_TM1,B2021&lt;=_TM2,OR(TH!L2021="1111",TH!M2021="1111")),TH!D2021,""),"")</f>
        <v/>
      </c>
      <c r="B2021" s="36">
        <f t="shared" si="97"/>
        <v>10</v>
      </c>
      <c r="C2021" s="188">
        <f t="shared" si="96"/>
        <v>41571</v>
      </c>
      <c r="D2021" s="37" t="s">
        <v>457</v>
      </c>
      <c r="E2021" s="37">
        <v>41571</v>
      </c>
      <c r="F2021" s="40" t="s">
        <v>907</v>
      </c>
      <c r="G2021" s="40" t="s">
        <v>962</v>
      </c>
      <c r="H2021" s="7" t="s">
        <v>1258</v>
      </c>
      <c r="I2021" s="249">
        <v>585</v>
      </c>
      <c r="J2021" s="249">
        <v>17353.7466023491</v>
      </c>
      <c r="K2021" s="595">
        <f t="shared" si="98"/>
        <v>10151942</v>
      </c>
      <c r="L2021" s="39" t="s">
        <v>170</v>
      </c>
      <c r="M2021" s="39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IF(OR(TH!L2021=TH!$U$7,M2021=TH!$U$7),"x","")</f>
        <v/>
      </c>
      <c r="V2021" s="52" t="str">
        <f>IF(AND(B2021&gt;='IN-NX'!$P$3,B2021&lt;='IN-NX'!$Q$3,'IN-NX'!$D$7=D2021,OR(LEFT(L2021,2)="15",AND(LEFT(M2021,2)&lt;&gt;"15",LEFT(M2021,2)&lt;&gt;"33"))),"x","")</f>
        <v/>
      </c>
      <c r="W2021" s="52" t="str">
        <f>IF(AND(OR(LEFT(TH!L2021,2)="15",LEFT(TH!M2021,2)="15"),'152-CT'!$J$8=TH!F2021),"x","")</f>
        <v/>
      </c>
      <c r="X2021" s="52" t="str">
        <f>IF(AND(OR(LEFT(TH!L2021,2)="15",LEFT(TH!M2021,2)="15"),TK!$E$7=TH!F2021),"x","")</f>
        <v/>
      </c>
      <c r="Y2021" s="52" t="str">
        <f>IF(AND(B2021&lt;=NKC!$N$8,B2021&gt;=NKC!$M$8),"x","")</f>
        <v/>
      </c>
    </row>
    <row r="2022" spans="1:25" s="208" customFormat="1" ht="15.75" customHeight="1">
      <c r="A2022" s="201" t="str">
        <f>IF(B2022&lt;&gt;"",IF(AND(B2022&gt;=_TM1,B2022&lt;=_TM2,OR(TH!L2022="1111",TH!M2022="1111")),TH!D2022,""),"")</f>
        <v/>
      </c>
      <c r="B2022" s="36">
        <f t="shared" si="97"/>
        <v>10</v>
      </c>
      <c r="C2022" s="188">
        <f t="shared" si="96"/>
        <v>41573</v>
      </c>
      <c r="D2022" s="37" t="s">
        <v>457</v>
      </c>
      <c r="E2022" s="37">
        <v>41573</v>
      </c>
      <c r="F2022" s="40" t="s">
        <v>1116</v>
      </c>
      <c r="G2022" s="40" t="s">
        <v>963</v>
      </c>
      <c r="H2022" s="7" t="s">
        <v>1258</v>
      </c>
      <c r="I2022" s="249">
        <v>49</v>
      </c>
      <c r="J2022" s="249">
        <v>5006.7554982151414</v>
      </c>
      <c r="K2022" s="595">
        <f t="shared" si="98"/>
        <v>245331</v>
      </c>
      <c r="L2022" s="39" t="s">
        <v>170</v>
      </c>
      <c r="M2022" s="39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IF(OR(TH!L2022=TH!$U$7,M2022=TH!$U$7),"x","")</f>
        <v/>
      </c>
      <c r="V2022" s="52" t="str">
        <f>IF(AND(B2022&gt;='IN-NX'!$P$3,B2022&lt;='IN-NX'!$Q$3,'IN-NX'!$D$7=D2022,OR(LEFT(L2022,2)="15",AND(LEFT(M2022,2)&lt;&gt;"15",LEFT(M2022,2)&lt;&gt;"33"))),"x","")</f>
        <v/>
      </c>
      <c r="W2022" s="52" t="str">
        <f>IF(AND(OR(LEFT(TH!L2022,2)="15",LEFT(TH!M2022,2)="15"),'152-CT'!$J$8=TH!F2022),"x","")</f>
        <v/>
      </c>
      <c r="X2022" s="52" t="str">
        <f>IF(AND(OR(LEFT(TH!L2022,2)="15",LEFT(TH!M2022,2)="15"),TK!$E$7=TH!F2022),"x","")</f>
        <v/>
      </c>
      <c r="Y2022" s="52" t="str">
        <f>IF(AND(B2022&lt;=NKC!$N$8,B2022&gt;=NKC!$M$8),"x","")</f>
        <v/>
      </c>
    </row>
    <row r="2023" spans="1:25" s="208" customFormat="1" ht="15.75" customHeight="1">
      <c r="A2023" s="201" t="str">
        <f>IF(B2023&lt;&gt;"",IF(AND(B2023&gt;=_TM1,B2023&lt;=_TM2,OR(TH!L2023="1111",TH!M2023="1111")),TH!D2023,""),"")</f>
        <v/>
      </c>
      <c r="B2023" s="36">
        <f t="shared" si="97"/>
        <v>10</v>
      </c>
      <c r="C2023" s="188">
        <f t="shared" si="96"/>
        <v>41573</v>
      </c>
      <c r="D2023" s="37" t="s">
        <v>457</v>
      </c>
      <c r="E2023" s="37">
        <v>41573</v>
      </c>
      <c r="F2023" s="40" t="s">
        <v>1115</v>
      </c>
      <c r="G2023" s="40" t="s">
        <v>963</v>
      </c>
      <c r="H2023" s="7" t="s">
        <v>1258</v>
      </c>
      <c r="I2023" s="249">
        <v>3191</v>
      </c>
      <c r="J2023" s="249">
        <v>3920.6133509770548</v>
      </c>
      <c r="K2023" s="595">
        <f t="shared" si="98"/>
        <v>12510677</v>
      </c>
      <c r="L2023" s="39" t="s">
        <v>170</v>
      </c>
      <c r="M2023" s="39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IF(OR(TH!L2023=TH!$U$7,M2023=TH!$U$7),"x","")</f>
        <v/>
      </c>
      <c r="V2023" s="52" t="str">
        <f>IF(AND(B2023&gt;='IN-NX'!$P$3,B2023&lt;='IN-NX'!$Q$3,'IN-NX'!$D$7=D2023,OR(LEFT(L2023,2)="15",AND(LEFT(M2023,2)&lt;&gt;"15",LEFT(M2023,2)&lt;&gt;"33"))),"x","")</f>
        <v/>
      </c>
      <c r="W2023" s="52" t="str">
        <f>IF(AND(OR(LEFT(TH!L2023,2)="15",LEFT(TH!M2023,2)="15"),'152-CT'!$J$8=TH!F2023),"x","")</f>
        <v/>
      </c>
      <c r="X2023" s="52" t="str">
        <f>IF(AND(OR(LEFT(TH!L2023,2)="15",LEFT(TH!M2023,2)="15"),TK!$E$7=TH!F2023),"x","")</f>
        <v/>
      </c>
      <c r="Y2023" s="52" t="str">
        <f>IF(AND(B2023&lt;=NKC!$N$8,B2023&gt;=NKC!$M$8),"x","")</f>
        <v/>
      </c>
    </row>
    <row r="2024" spans="1:25" s="208" customFormat="1" ht="15.75" customHeight="1">
      <c r="A2024" s="201" t="str">
        <f>IF(B2024&lt;&gt;"",IF(AND(B2024&gt;=_TM1,B2024&lt;=_TM2,OR(TH!L2024="1111",TH!M2024="1111")),TH!D2024,""),"")</f>
        <v/>
      </c>
      <c r="B2024" s="36">
        <f t="shared" si="97"/>
        <v>10</v>
      </c>
      <c r="C2024" s="188">
        <f t="shared" si="96"/>
        <v>41577</v>
      </c>
      <c r="D2024" s="37" t="s">
        <v>457</v>
      </c>
      <c r="E2024" s="37">
        <v>41577</v>
      </c>
      <c r="F2024" s="40" t="s">
        <v>909</v>
      </c>
      <c r="G2024" s="40" t="s">
        <v>964</v>
      </c>
      <c r="H2024" s="7" t="s">
        <v>1258</v>
      </c>
      <c r="I2024" s="249">
        <v>371</v>
      </c>
      <c r="J2024" s="249">
        <v>15727.490192092691</v>
      </c>
      <c r="K2024" s="595">
        <f t="shared" si="98"/>
        <v>5834899</v>
      </c>
      <c r="L2024" s="39" t="s">
        <v>170</v>
      </c>
      <c r="M2024" s="39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IF(OR(TH!L2024=TH!$U$7,M2024=TH!$U$7),"x","")</f>
        <v/>
      </c>
      <c r="V2024" s="52" t="str">
        <f>IF(AND(B2024&gt;='IN-NX'!$P$3,B2024&lt;='IN-NX'!$Q$3,'IN-NX'!$D$7=D2024,OR(LEFT(L2024,2)="15",AND(LEFT(M2024,2)&lt;&gt;"15",LEFT(M2024,2)&lt;&gt;"33"))),"x","")</f>
        <v/>
      </c>
      <c r="W2024" s="52" t="str">
        <f>IF(AND(OR(LEFT(TH!L2024,2)="15",LEFT(TH!M2024,2)="15"),'152-CT'!$J$8=TH!F2024),"x","")</f>
        <v/>
      </c>
      <c r="X2024" s="52" t="str">
        <f>IF(AND(OR(LEFT(TH!L2024,2)="15",LEFT(TH!M2024,2)="15"),TK!$E$7=TH!F2024),"x","")</f>
        <v/>
      </c>
      <c r="Y2024" s="52" t="str">
        <f>IF(AND(B2024&lt;=NKC!$N$8,B2024&gt;=NKC!$M$8),"x","")</f>
        <v/>
      </c>
    </row>
    <row r="2025" spans="1:25" s="208" customFormat="1" ht="15.75" customHeight="1">
      <c r="A2025" s="201" t="str">
        <f>IF(B2025&lt;&gt;"",IF(AND(B2025&gt;=_TM1,B2025&lt;=_TM2,OR(TH!L2025="1111",TH!M2025="1111")),TH!D2025,""),"")</f>
        <v/>
      </c>
      <c r="B2025" s="36">
        <f t="shared" si="97"/>
        <v>10</v>
      </c>
      <c r="C2025" s="188">
        <f t="shared" si="96"/>
        <v>41578</v>
      </c>
      <c r="D2025" s="37" t="s">
        <v>457</v>
      </c>
      <c r="E2025" s="37">
        <v>41578</v>
      </c>
      <c r="F2025" s="40" t="s">
        <v>698</v>
      </c>
      <c r="G2025" s="40" t="s">
        <v>965</v>
      </c>
      <c r="H2025" s="7" t="s">
        <v>1258</v>
      </c>
      <c r="I2025" s="249">
        <v>999</v>
      </c>
      <c r="J2025" s="249">
        <v>7710.2569588594579</v>
      </c>
      <c r="K2025" s="595">
        <f t="shared" si="98"/>
        <v>7702547</v>
      </c>
      <c r="L2025" s="39" t="s">
        <v>170</v>
      </c>
      <c r="M2025" s="39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IF(OR(TH!L2025=TH!$U$7,M2025=TH!$U$7),"x","")</f>
        <v/>
      </c>
      <c r="V2025" s="52" t="str">
        <f>IF(AND(B2025&gt;='IN-NX'!$P$3,B2025&lt;='IN-NX'!$Q$3,'IN-NX'!$D$7=D2025,OR(LEFT(L2025,2)="15",AND(LEFT(M2025,2)&lt;&gt;"15",LEFT(M2025,2)&lt;&gt;"33"))),"x","")</f>
        <v/>
      </c>
      <c r="W2025" s="52" t="str">
        <f>IF(AND(OR(LEFT(TH!L2025,2)="15",LEFT(TH!M2025,2)="15"),'152-CT'!$J$8=TH!F2025),"x","")</f>
        <v/>
      </c>
      <c r="X2025" s="52" t="str">
        <f>IF(AND(OR(LEFT(TH!L2025,2)="15",LEFT(TH!M2025,2)="15"),TK!$E$7=TH!F2025),"x","")</f>
        <v/>
      </c>
      <c r="Y2025" s="52" t="str">
        <f>IF(AND(B2025&lt;=NKC!$N$8,B2025&gt;=NKC!$M$8),"x","")</f>
        <v/>
      </c>
    </row>
    <row r="2026" spans="1:25" s="208" customFormat="1" ht="15.75" customHeight="1">
      <c r="A2026" s="201" t="str">
        <f>IF(B2026&lt;&gt;"",IF(AND(B2026&gt;=_TM1,B2026&lt;=_TM2,OR(TH!L2026="1111",TH!M2026="1111")),TH!D2026,""),"")</f>
        <v/>
      </c>
      <c r="B2026" s="36">
        <f t="shared" si="97"/>
        <v>10</v>
      </c>
      <c r="C2026" s="188">
        <f t="shared" si="96"/>
        <v>41578</v>
      </c>
      <c r="D2026" s="37" t="s">
        <v>457</v>
      </c>
      <c r="E2026" s="37">
        <v>41578</v>
      </c>
      <c r="F2026" s="189" t="s">
        <v>805</v>
      </c>
      <c r="G2026" s="40" t="s">
        <v>966</v>
      </c>
      <c r="H2026" s="7" t="s">
        <v>1258</v>
      </c>
      <c r="I2026" s="249">
        <v>397</v>
      </c>
      <c r="J2026" s="249">
        <v>9507.7219301279565</v>
      </c>
      <c r="K2026" s="595">
        <f t="shared" si="98"/>
        <v>3774566</v>
      </c>
      <c r="L2026" s="39" t="s">
        <v>170</v>
      </c>
      <c r="M2026" s="39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IF(OR(TH!L2026=TH!$U$7,M2026=TH!$U$7),"x","")</f>
        <v/>
      </c>
      <c r="V2026" s="52" t="str">
        <f>IF(AND(B2026&gt;='IN-NX'!$P$3,B2026&lt;='IN-NX'!$Q$3,'IN-NX'!$D$7=D2026,OR(LEFT(L2026,2)="15",AND(LEFT(M2026,2)&lt;&gt;"15",LEFT(M2026,2)&lt;&gt;"33"))),"x","")</f>
        <v/>
      </c>
      <c r="W2026" s="52" t="str">
        <f>IF(AND(OR(LEFT(TH!L2026,2)="15",LEFT(TH!M2026,2)="15"),'152-CT'!$J$8=TH!F2026),"x","")</f>
        <v/>
      </c>
      <c r="X2026" s="52" t="str">
        <f>IF(AND(OR(LEFT(TH!L2026,2)="15",LEFT(TH!M2026,2)="15"),TK!$E$7=TH!F2026),"x","")</f>
        <v/>
      </c>
      <c r="Y2026" s="52" t="str">
        <f>IF(AND(B2026&lt;=NKC!$N$8,B2026&gt;=NKC!$M$8),"x","")</f>
        <v/>
      </c>
    </row>
    <row r="2027" spans="1:25" s="208" customFormat="1" ht="15.75" customHeight="1">
      <c r="A2027" s="201" t="str">
        <f>IF(B2027&lt;&gt;"",IF(AND(B2027&gt;=_TM1,B2027&lt;=_TM2,OR(TH!L2027="1111",TH!M2027="1111")),TH!D2027,""),"")</f>
        <v/>
      </c>
      <c r="B2027" s="36">
        <f t="shared" si="97"/>
        <v>10</v>
      </c>
      <c r="C2027" s="188">
        <f t="shared" si="96"/>
        <v>41578</v>
      </c>
      <c r="D2027" s="37" t="s">
        <v>457</v>
      </c>
      <c r="E2027" s="37">
        <v>41578</v>
      </c>
      <c r="F2027" s="40" t="s">
        <v>852</v>
      </c>
      <c r="G2027" s="40" t="s">
        <v>967</v>
      </c>
      <c r="H2027" s="7" t="s">
        <v>1258</v>
      </c>
      <c r="I2027" s="249">
        <v>497</v>
      </c>
      <c r="J2027" s="249">
        <v>8971.6592061771989</v>
      </c>
      <c r="K2027" s="595">
        <f t="shared" si="98"/>
        <v>4458915</v>
      </c>
      <c r="L2027" s="39" t="s">
        <v>170</v>
      </c>
      <c r="M2027" s="39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IF(OR(TH!L2027=TH!$U$7,M2027=TH!$U$7),"x","")</f>
        <v/>
      </c>
      <c r="V2027" s="52" t="str">
        <f>IF(AND(B2027&gt;='IN-NX'!$P$3,B2027&lt;='IN-NX'!$Q$3,'IN-NX'!$D$7=D2027,OR(LEFT(L2027,2)="15",AND(LEFT(M2027,2)&lt;&gt;"15",LEFT(M2027,2)&lt;&gt;"33"))),"x","")</f>
        <v/>
      </c>
      <c r="W2027" s="52" t="str">
        <f>IF(AND(OR(LEFT(TH!L2027,2)="15",LEFT(TH!M2027,2)="15"),'152-CT'!$J$8=TH!F2027),"x","")</f>
        <v/>
      </c>
      <c r="X2027" s="52" t="str">
        <f>IF(AND(OR(LEFT(TH!L2027,2)="15",LEFT(TH!M2027,2)="15"),TK!$E$7=TH!F2027),"x","")</f>
        <v/>
      </c>
      <c r="Y2027" s="52" t="str">
        <f>IF(AND(B2027&lt;=NKC!$N$8,B2027&gt;=NKC!$M$8),"x","")</f>
        <v/>
      </c>
    </row>
    <row r="2028" spans="1:25" s="208" customFormat="1" ht="15.75" customHeight="1">
      <c r="A2028" s="201" t="str">
        <f>IF(B2028&lt;&gt;"",IF(AND(B2028&gt;=_TM1,B2028&lt;=_TM2,OR(TH!L2028="1111",TH!M2028="1111")),TH!D2028,""),"")</f>
        <v/>
      </c>
      <c r="B2028" s="36">
        <f t="shared" si="97"/>
        <v>10</v>
      </c>
      <c r="C2028" s="188">
        <f t="shared" si="96"/>
        <v>41578</v>
      </c>
      <c r="D2028" s="37" t="s">
        <v>457</v>
      </c>
      <c r="E2028" s="37">
        <v>41578</v>
      </c>
      <c r="F2028" s="189" t="s">
        <v>775</v>
      </c>
      <c r="G2028" s="40" t="s">
        <v>968</v>
      </c>
      <c r="H2028" s="7" t="s">
        <v>1258</v>
      </c>
      <c r="I2028" s="249">
        <v>292</v>
      </c>
      <c r="J2028" s="249">
        <v>9328.4901920926914</v>
      </c>
      <c r="K2028" s="595">
        <f t="shared" si="98"/>
        <v>2723919</v>
      </c>
      <c r="L2028" s="39" t="s">
        <v>170</v>
      </c>
      <c r="M2028" s="39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IF(OR(TH!L2028=TH!$U$7,M2028=TH!$U$7),"x","")</f>
        <v/>
      </c>
      <c r="V2028" s="52" t="str">
        <f>IF(AND(B2028&gt;='IN-NX'!$P$3,B2028&lt;='IN-NX'!$Q$3,'IN-NX'!$D$7=D2028,OR(LEFT(L2028,2)="15",AND(LEFT(M2028,2)&lt;&gt;"15",LEFT(M2028,2)&lt;&gt;"33"))),"x","")</f>
        <v/>
      </c>
      <c r="W2028" s="52" t="str">
        <f>IF(AND(OR(LEFT(TH!L2028,2)="15",LEFT(TH!M2028,2)="15"),'152-CT'!$J$8=TH!F2028),"x","")</f>
        <v/>
      </c>
      <c r="X2028" s="52" t="str">
        <f>IF(AND(OR(LEFT(TH!L2028,2)="15",LEFT(TH!M2028,2)="15"),TK!$E$7=TH!F2028),"x","")</f>
        <v/>
      </c>
      <c r="Y2028" s="52" t="str">
        <f>IF(AND(B2028&lt;=NKC!$N$8,B2028&gt;=NKC!$M$8),"x","")</f>
        <v/>
      </c>
    </row>
    <row r="2029" spans="1:25" s="208" customFormat="1" ht="15.75" customHeight="1">
      <c r="A2029" s="201" t="str">
        <f>IF(B2029&lt;&gt;"",IF(AND(B2029&gt;=_TM1,B2029&lt;=_TM2,OR(TH!L2029="1111",TH!M2029="1111")),TH!D2029,""),"")</f>
        <v/>
      </c>
      <c r="B2029" s="36">
        <f t="shared" si="97"/>
        <v>11</v>
      </c>
      <c r="C2029" s="188">
        <f t="shared" si="96"/>
        <v>41582</v>
      </c>
      <c r="D2029" s="37" t="s">
        <v>457</v>
      </c>
      <c r="E2029" s="37">
        <v>41582</v>
      </c>
      <c r="F2029" s="40" t="s">
        <v>784</v>
      </c>
      <c r="G2029" s="40" t="s">
        <v>969</v>
      </c>
      <c r="H2029" s="7" t="s">
        <v>1258</v>
      </c>
      <c r="I2029" s="249">
        <v>500</v>
      </c>
      <c r="J2029" s="249">
        <v>16943.49019209269</v>
      </c>
      <c r="K2029" s="595">
        <f t="shared" si="98"/>
        <v>8471745</v>
      </c>
      <c r="L2029" s="39" t="s">
        <v>170</v>
      </c>
      <c r="M2029" s="39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IF(OR(TH!L2029=TH!$U$7,M2029=TH!$U$7),"x","")</f>
        <v/>
      </c>
      <c r="V2029" s="52" t="str">
        <f>IF(AND(B2029&gt;='IN-NX'!$P$3,B2029&lt;='IN-NX'!$Q$3,'IN-NX'!$D$7=D2029,OR(LEFT(L2029,2)="15",AND(LEFT(M2029,2)&lt;&gt;"15",LEFT(M2029,2)&lt;&gt;"33"))),"x","")</f>
        <v/>
      </c>
      <c r="W2029" s="52" t="str">
        <f>IF(AND(OR(LEFT(TH!L2029,2)="15",LEFT(TH!M2029,2)="15"),'152-CT'!$J$8=TH!F2029),"x","")</f>
        <v/>
      </c>
      <c r="X2029" s="52" t="str">
        <f>IF(AND(OR(LEFT(TH!L2029,2)="15",LEFT(TH!M2029,2)="15"),TK!$E$7=TH!F2029),"x","")</f>
        <v/>
      </c>
      <c r="Y2029" s="52" t="str">
        <f>IF(AND(B2029&lt;=NKC!$N$8,B2029&gt;=NKC!$M$8),"x","")</f>
        <v/>
      </c>
    </row>
    <row r="2030" spans="1:25" s="208" customFormat="1" ht="15.75" customHeight="1">
      <c r="A2030" s="201" t="str">
        <f>IF(B2030&lt;&gt;"",IF(AND(B2030&gt;=_TM1,B2030&lt;=_TM2,OR(TH!L2030="1111",TH!M2030="1111")),TH!D2030,""),"")</f>
        <v/>
      </c>
      <c r="B2030" s="36">
        <f t="shared" si="97"/>
        <v>11</v>
      </c>
      <c r="C2030" s="188">
        <f t="shared" si="96"/>
        <v>41582</v>
      </c>
      <c r="D2030" s="37" t="s">
        <v>457</v>
      </c>
      <c r="E2030" s="37">
        <v>41582</v>
      </c>
      <c r="F2030" s="40" t="s">
        <v>786</v>
      </c>
      <c r="G2030" s="40" t="s">
        <v>969</v>
      </c>
      <c r="H2030" s="7" t="s">
        <v>1258</v>
      </c>
      <c r="I2030" s="249">
        <v>1000</v>
      </c>
      <c r="J2030" s="249">
        <v>1362.7401920926923</v>
      </c>
      <c r="K2030" s="595">
        <f t="shared" si="98"/>
        <v>1362740</v>
      </c>
      <c r="L2030" s="39" t="s">
        <v>170</v>
      </c>
      <c r="M2030" s="39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IF(OR(TH!L2030=TH!$U$7,M2030=TH!$U$7),"x","")</f>
        <v/>
      </c>
      <c r="V2030" s="52" t="str">
        <f>IF(AND(B2030&gt;='IN-NX'!$P$3,B2030&lt;='IN-NX'!$Q$3,'IN-NX'!$D$7=D2030,OR(LEFT(L2030,2)="15",AND(LEFT(M2030,2)&lt;&gt;"15",LEFT(M2030,2)&lt;&gt;"33"))),"x","")</f>
        <v/>
      </c>
      <c r="W2030" s="52" t="str">
        <f>IF(AND(OR(LEFT(TH!L2030,2)="15",LEFT(TH!M2030,2)="15"),'152-CT'!$J$8=TH!F2030),"x","")</f>
        <v/>
      </c>
      <c r="X2030" s="52" t="str">
        <f>IF(AND(OR(LEFT(TH!L2030,2)="15",LEFT(TH!M2030,2)="15"),TK!$E$7=TH!F2030),"x","")</f>
        <v/>
      </c>
      <c r="Y2030" s="52" t="str">
        <f>IF(AND(B2030&lt;=NKC!$N$8,B2030&gt;=NKC!$M$8),"x","")</f>
        <v/>
      </c>
    </row>
    <row r="2031" spans="1:25" s="208" customFormat="1" ht="15.75" customHeight="1">
      <c r="A2031" s="201" t="str">
        <f>IF(B2031&lt;&gt;"",IF(AND(B2031&gt;=_TM1,B2031&lt;=_TM2,OR(TH!L2031="1111",TH!M2031="1111")),TH!D2031,""),"")</f>
        <v/>
      </c>
      <c r="B2031" s="36">
        <f t="shared" si="97"/>
        <v>11</v>
      </c>
      <c r="C2031" s="188">
        <f t="shared" si="96"/>
        <v>41583</v>
      </c>
      <c r="D2031" s="37" t="s">
        <v>457</v>
      </c>
      <c r="E2031" s="37">
        <v>41583</v>
      </c>
      <c r="F2031" s="40" t="s">
        <v>970</v>
      </c>
      <c r="G2031" s="40" t="s">
        <v>971</v>
      </c>
      <c r="H2031" s="7" t="s">
        <v>1258</v>
      </c>
      <c r="I2031" s="249">
        <v>1005</v>
      </c>
      <c r="J2031" s="249">
        <v>5520.6046199533885</v>
      </c>
      <c r="K2031" s="595">
        <f t="shared" si="98"/>
        <v>5548208</v>
      </c>
      <c r="L2031" s="39" t="s">
        <v>170</v>
      </c>
      <c r="M2031" s="39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IF(OR(TH!L2031=TH!$U$7,M2031=TH!$U$7),"x","")</f>
        <v/>
      </c>
      <c r="V2031" s="52" t="str">
        <f>IF(AND(B2031&gt;='IN-NX'!$P$3,B2031&lt;='IN-NX'!$Q$3,'IN-NX'!$D$7=D2031,OR(LEFT(L2031,2)="15",AND(LEFT(M2031,2)&lt;&gt;"15",LEFT(M2031,2)&lt;&gt;"33"))),"x","")</f>
        <v/>
      </c>
      <c r="W2031" s="52" t="str">
        <f>IF(AND(OR(LEFT(TH!L2031,2)="15",LEFT(TH!M2031,2)="15"),'152-CT'!$J$8=TH!F2031),"x","")</f>
        <v/>
      </c>
      <c r="X2031" s="52" t="str">
        <f>IF(AND(OR(LEFT(TH!L2031,2)="15",LEFT(TH!M2031,2)="15"),TK!$E$7=TH!F2031),"x","")</f>
        <v/>
      </c>
      <c r="Y2031" s="52" t="str">
        <f>IF(AND(B2031&lt;=NKC!$N$8,B2031&gt;=NKC!$M$8),"x","")</f>
        <v/>
      </c>
    </row>
    <row r="2032" spans="1:25" s="208" customFormat="1" ht="15.75" customHeight="1">
      <c r="A2032" s="201" t="str">
        <f>IF(B2032&lt;&gt;"",IF(AND(B2032&gt;=_TM1,B2032&lt;=_TM2,OR(TH!L2032="1111",TH!M2032="1111")),TH!D2032,""),"")</f>
        <v/>
      </c>
      <c r="B2032" s="36">
        <f t="shared" si="97"/>
        <v>11</v>
      </c>
      <c r="C2032" s="188">
        <f t="shared" si="96"/>
        <v>41584</v>
      </c>
      <c r="D2032" s="37" t="s">
        <v>457</v>
      </c>
      <c r="E2032" s="188">
        <v>41584</v>
      </c>
      <c r="F2032" s="189" t="s">
        <v>828</v>
      </c>
      <c r="G2032" s="480" t="s">
        <v>972</v>
      </c>
      <c r="H2032" s="7" t="s">
        <v>1258</v>
      </c>
      <c r="I2032" s="249">
        <v>995</v>
      </c>
      <c r="J2032" s="249">
        <v>18631.93240314797</v>
      </c>
      <c r="K2032" s="595">
        <f t="shared" si="98"/>
        <v>18538773</v>
      </c>
      <c r="L2032" s="39" t="s">
        <v>170</v>
      </c>
      <c r="M2032" s="39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IF(OR(TH!L2032=TH!$U$7,M2032=TH!$U$7),"x","")</f>
        <v/>
      </c>
      <c r="V2032" s="52" t="str">
        <f>IF(AND(B2032&gt;='IN-NX'!$P$3,B2032&lt;='IN-NX'!$Q$3,'IN-NX'!$D$7=D2032,OR(LEFT(L2032,2)="15",AND(LEFT(M2032,2)&lt;&gt;"15",LEFT(M2032,2)&lt;&gt;"33"))),"x","")</f>
        <v/>
      </c>
      <c r="W2032" s="52" t="str">
        <f>IF(AND(OR(LEFT(TH!L2032,2)="15",LEFT(TH!M2032,2)="15"),'152-CT'!$J$8=TH!F2032),"x","")</f>
        <v/>
      </c>
      <c r="X2032" s="52" t="str">
        <f>IF(AND(OR(LEFT(TH!L2032,2)="15",LEFT(TH!M2032,2)="15"),TK!$E$7=TH!F2032),"x","")</f>
        <v/>
      </c>
      <c r="Y2032" s="52" t="str">
        <f>IF(AND(B2032&lt;=NKC!$N$8,B2032&gt;=NKC!$M$8),"x","")</f>
        <v/>
      </c>
    </row>
    <row r="2033" spans="1:25" s="208" customFormat="1" ht="15.75" customHeight="1">
      <c r="A2033" s="201" t="str">
        <f>IF(B2033&lt;&gt;"",IF(AND(B2033&gt;=_TM1,B2033&lt;=_TM2,OR(TH!L2033="1111",TH!M2033="1111")),TH!D2033,""),"")</f>
        <v/>
      </c>
      <c r="B2033" s="36">
        <f t="shared" si="97"/>
        <v>11</v>
      </c>
      <c r="C2033" s="188">
        <f t="shared" si="96"/>
        <v>41586</v>
      </c>
      <c r="D2033" s="37" t="s">
        <v>457</v>
      </c>
      <c r="E2033" s="188">
        <v>41586</v>
      </c>
      <c r="F2033" s="189" t="s">
        <v>1101</v>
      </c>
      <c r="G2033" s="480" t="s">
        <v>616</v>
      </c>
      <c r="H2033" s="7" t="s">
        <v>1258</v>
      </c>
      <c r="I2033" s="249">
        <v>200</v>
      </c>
      <c r="J2033" s="249">
        <v>6518.7401920926923</v>
      </c>
      <c r="K2033" s="595">
        <f t="shared" si="98"/>
        <v>1303748</v>
      </c>
      <c r="L2033" s="39" t="s">
        <v>170</v>
      </c>
      <c r="M2033" s="39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IF(OR(TH!L2033=TH!$U$7,M2033=TH!$U$7),"x","")</f>
        <v/>
      </c>
      <c r="V2033" s="52" t="str">
        <f>IF(AND(B2033&gt;='IN-NX'!$P$3,B2033&lt;='IN-NX'!$Q$3,'IN-NX'!$D$7=D2033,OR(LEFT(L2033,2)="15",AND(LEFT(M2033,2)&lt;&gt;"15",LEFT(M2033,2)&lt;&gt;"33"))),"x","")</f>
        <v/>
      </c>
      <c r="W2033" s="52" t="str">
        <f>IF(AND(OR(LEFT(TH!L2033,2)="15",LEFT(TH!M2033,2)="15"),'152-CT'!$J$8=TH!F2033),"x","")</f>
        <v/>
      </c>
      <c r="X2033" s="52" t="str">
        <f>IF(AND(OR(LEFT(TH!L2033,2)="15",LEFT(TH!M2033,2)="15"),TK!$E$7=TH!F2033),"x","")</f>
        <v/>
      </c>
      <c r="Y2033" s="52" t="str">
        <f>IF(AND(B2033&lt;=NKC!$N$8,B2033&gt;=NKC!$M$8),"x","")</f>
        <v/>
      </c>
    </row>
    <row r="2034" spans="1:25" s="208" customFormat="1" ht="15.75" customHeight="1">
      <c r="A2034" s="201" t="str">
        <f>IF(B2034&lt;&gt;"",IF(AND(B2034&gt;=_TM1,B2034&lt;=_TM2,OR(TH!L2034="1111",TH!M2034="1111")),TH!D2034,""),"")</f>
        <v/>
      </c>
      <c r="B2034" s="36">
        <f t="shared" si="97"/>
        <v>11</v>
      </c>
      <c r="C2034" s="188">
        <f t="shared" si="96"/>
        <v>41586</v>
      </c>
      <c r="D2034" s="37" t="s">
        <v>457</v>
      </c>
      <c r="E2034" s="188">
        <v>41586</v>
      </c>
      <c r="F2034" s="189" t="s">
        <v>1102</v>
      </c>
      <c r="G2034" s="478" t="s">
        <v>616</v>
      </c>
      <c r="H2034" s="7" t="s">
        <v>1258</v>
      </c>
      <c r="I2034" s="249">
        <v>157</v>
      </c>
      <c r="J2034" s="249">
        <v>20009.987007379314</v>
      </c>
      <c r="K2034" s="595">
        <f t="shared" si="98"/>
        <v>3141568</v>
      </c>
      <c r="L2034" s="39" t="s">
        <v>170</v>
      </c>
      <c r="M2034" s="39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IF(OR(TH!L2034=TH!$U$7,M2034=TH!$U$7),"x","")</f>
        <v/>
      </c>
      <c r="V2034" s="52" t="str">
        <f>IF(AND(B2034&gt;='IN-NX'!$P$3,B2034&lt;='IN-NX'!$Q$3,'IN-NX'!$D$7=D2034,OR(LEFT(L2034,2)="15",AND(LEFT(M2034,2)&lt;&gt;"15",LEFT(M2034,2)&lt;&gt;"33"))),"x","")</f>
        <v/>
      </c>
      <c r="W2034" s="52" t="str">
        <f>IF(AND(OR(LEFT(TH!L2034,2)="15",LEFT(TH!M2034,2)="15"),'152-CT'!$J$8=TH!F2034),"x","")</f>
        <v/>
      </c>
      <c r="X2034" s="52" t="str">
        <f>IF(AND(OR(LEFT(TH!L2034,2)="15",LEFT(TH!M2034,2)="15"),TK!$E$7=TH!F2034),"x","")</f>
        <v/>
      </c>
      <c r="Y2034" s="52" t="str">
        <f>IF(AND(B2034&lt;=NKC!$N$8,B2034&gt;=NKC!$M$8),"x","")</f>
        <v/>
      </c>
    </row>
    <row r="2035" spans="1:25" s="208" customFormat="1" ht="15.75" customHeight="1">
      <c r="A2035" s="201" t="str">
        <f>IF(B2035&lt;&gt;"",IF(AND(B2035&gt;=_TM1,B2035&lt;=_TM2,OR(TH!L2035="1111",TH!M2035="1111")),TH!D2035,""),"")</f>
        <v/>
      </c>
      <c r="B2035" s="36">
        <f t="shared" si="97"/>
        <v>11</v>
      </c>
      <c r="C2035" s="188">
        <f t="shared" si="96"/>
        <v>41586</v>
      </c>
      <c r="D2035" s="37" t="s">
        <v>457</v>
      </c>
      <c r="E2035" s="188">
        <v>41586</v>
      </c>
      <c r="F2035" s="189" t="s">
        <v>973</v>
      </c>
      <c r="G2035" s="478" t="s">
        <v>974</v>
      </c>
      <c r="H2035" s="7" t="s">
        <v>1258</v>
      </c>
      <c r="I2035" s="249">
        <v>200</v>
      </c>
      <c r="J2035" s="249">
        <v>6967.9901920926923</v>
      </c>
      <c r="K2035" s="595">
        <f t="shared" si="98"/>
        <v>1393598</v>
      </c>
      <c r="L2035" s="39" t="s">
        <v>170</v>
      </c>
      <c r="M2035" s="39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IF(OR(TH!L2035=TH!$U$7,M2035=TH!$U$7),"x","")</f>
        <v/>
      </c>
      <c r="V2035" s="52" t="str">
        <f>IF(AND(B2035&gt;='IN-NX'!$P$3,B2035&lt;='IN-NX'!$Q$3,'IN-NX'!$D$7=D2035,OR(LEFT(L2035,2)="15",AND(LEFT(M2035,2)&lt;&gt;"15",LEFT(M2035,2)&lt;&gt;"33"))),"x","")</f>
        <v/>
      </c>
      <c r="W2035" s="52" t="str">
        <f>IF(AND(OR(LEFT(TH!L2035,2)="15",LEFT(TH!M2035,2)="15"),'152-CT'!$J$8=TH!F2035),"x","")</f>
        <v/>
      </c>
      <c r="X2035" s="52" t="str">
        <f>IF(AND(OR(LEFT(TH!L2035,2)="15",LEFT(TH!M2035,2)="15"),TK!$E$7=TH!F2035),"x","")</f>
        <v/>
      </c>
      <c r="Y2035" s="52" t="str">
        <f>IF(AND(B2035&lt;=NKC!$N$8,B2035&gt;=NKC!$M$8),"x","")</f>
        <v/>
      </c>
    </row>
    <row r="2036" spans="1:25" s="208" customFormat="1" ht="15.75" customHeight="1">
      <c r="A2036" s="201" t="str">
        <f>IF(B2036&lt;&gt;"",IF(AND(B2036&gt;=_TM1,B2036&lt;=_TM2,OR(TH!L2036="1111",TH!M2036="1111")),TH!D2036,""),"")</f>
        <v/>
      </c>
      <c r="B2036" s="36">
        <f t="shared" si="97"/>
        <v>11</v>
      </c>
      <c r="C2036" s="188">
        <f t="shared" si="96"/>
        <v>41586</v>
      </c>
      <c r="D2036" s="37" t="s">
        <v>457</v>
      </c>
      <c r="E2036" s="735">
        <v>41586</v>
      </c>
      <c r="F2036" s="186" t="s">
        <v>976</v>
      </c>
      <c r="G2036" s="40" t="s">
        <v>974</v>
      </c>
      <c r="H2036" s="7" t="s">
        <v>1258</v>
      </c>
      <c r="I2036" s="249">
        <v>100</v>
      </c>
      <c r="J2036" s="249">
        <v>13572.490192092691</v>
      </c>
      <c r="K2036" s="595">
        <f t="shared" si="98"/>
        <v>1357249</v>
      </c>
      <c r="L2036" s="39" t="s">
        <v>170</v>
      </c>
      <c r="M2036" s="39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IF(OR(TH!L2036=TH!$U$7,M2036=TH!$U$7),"x","")</f>
        <v/>
      </c>
      <c r="V2036" s="52" t="str">
        <f>IF(AND(B2036&gt;='IN-NX'!$P$3,B2036&lt;='IN-NX'!$Q$3,'IN-NX'!$D$7=D2036,OR(LEFT(L2036,2)="15",AND(LEFT(M2036,2)&lt;&gt;"15",LEFT(M2036,2)&lt;&gt;"33"))),"x","")</f>
        <v/>
      </c>
      <c r="W2036" s="52" t="str">
        <f>IF(AND(OR(LEFT(TH!L2036,2)="15",LEFT(TH!M2036,2)="15"),'152-CT'!$J$8=TH!F2036),"x","")</f>
        <v/>
      </c>
      <c r="X2036" s="52" t="str">
        <f>IF(AND(OR(LEFT(TH!L2036,2)="15",LEFT(TH!M2036,2)="15"),TK!$E$7=TH!F2036),"x","")</f>
        <v/>
      </c>
      <c r="Y2036" s="52" t="str">
        <f>IF(AND(B2036&lt;=NKC!$N$8,B2036&gt;=NKC!$M$8),"x","")</f>
        <v/>
      </c>
    </row>
    <row r="2037" spans="1:25" s="208" customFormat="1" ht="15.75" customHeight="1">
      <c r="A2037" s="201" t="str">
        <f>IF(B2037&lt;&gt;"",IF(AND(B2037&gt;=_TM1,B2037&lt;=_TM2,OR(TH!L2037="1111",TH!M2037="1111")),TH!D2037,""),"")</f>
        <v/>
      </c>
      <c r="B2037" s="36">
        <f t="shared" si="97"/>
        <v>11</v>
      </c>
      <c r="C2037" s="188">
        <f t="shared" si="96"/>
        <v>41586</v>
      </c>
      <c r="D2037" s="37" t="s">
        <v>457</v>
      </c>
      <c r="E2037" s="735">
        <v>41586</v>
      </c>
      <c r="F2037" s="40" t="s">
        <v>977</v>
      </c>
      <c r="G2037" s="40" t="s">
        <v>974</v>
      </c>
      <c r="H2037" s="7" t="s">
        <v>1258</v>
      </c>
      <c r="I2037" s="249">
        <v>150</v>
      </c>
      <c r="J2037" s="249">
        <v>12873.423525426026</v>
      </c>
      <c r="K2037" s="595">
        <f t="shared" si="98"/>
        <v>1931014</v>
      </c>
      <c r="L2037" s="39" t="s">
        <v>170</v>
      </c>
      <c r="M2037" s="39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IF(OR(TH!L2037=TH!$U$7,M2037=TH!$U$7),"x","")</f>
        <v/>
      </c>
      <c r="V2037" s="52" t="str">
        <f>IF(AND(B2037&gt;='IN-NX'!$P$3,B2037&lt;='IN-NX'!$Q$3,'IN-NX'!$D$7=D2037,OR(LEFT(L2037,2)="15",AND(LEFT(M2037,2)&lt;&gt;"15",LEFT(M2037,2)&lt;&gt;"33"))),"x","")</f>
        <v/>
      </c>
      <c r="W2037" s="52" t="str">
        <f>IF(AND(OR(LEFT(TH!L2037,2)="15",LEFT(TH!M2037,2)="15"),'152-CT'!$J$8=TH!F2037),"x","")</f>
        <v/>
      </c>
      <c r="X2037" s="52" t="str">
        <f>IF(AND(OR(LEFT(TH!L2037,2)="15",LEFT(TH!M2037,2)="15"),TK!$E$7=TH!F2037),"x","")</f>
        <v/>
      </c>
      <c r="Y2037" s="52" t="str">
        <f>IF(AND(B2037&lt;=NKC!$N$8,B2037&gt;=NKC!$M$8),"x","")</f>
        <v/>
      </c>
    </row>
    <row r="2038" spans="1:25" s="208" customFormat="1" ht="15.75" customHeight="1">
      <c r="A2038" s="201" t="str">
        <f>IF(B2038&lt;&gt;"",IF(AND(B2038&gt;=_TM1,B2038&lt;=_TM2,OR(TH!L2038="1111",TH!M2038="1111")),TH!D2038,""),"")</f>
        <v/>
      </c>
      <c r="B2038" s="36">
        <f t="shared" si="97"/>
        <v>11</v>
      </c>
      <c r="C2038" s="188">
        <f t="shared" si="96"/>
        <v>41591</v>
      </c>
      <c r="D2038" s="37" t="s">
        <v>457</v>
      </c>
      <c r="E2038" s="735">
        <v>41591</v>
      </c>
      <c r="F2038" s="186" t="s">
        <v>805</v>
      </c>
      <c r="G2038" s="40" t="s">
        <v>978</v>
      </c>
      <c r="H2038" s="7" t="s">
        <v>1258</v>
      </c>
      <c r="I2038" s="249">
        <v>395</v>
      </c>
      <c r="J2038" s="249">
        <v>9551.0851288015529</v>
      </c>
      <c r="K2038" s="595">
        <f t="shared" si="98"/>
        <v>3772679</v>
      </c>
      <c r="L2038" s="39" t="s">
        <v>170</v>
      </c>
      <c r="M2038" s="39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IF(OR(TH!L2038=TH!$U$7,M2038=TH!$U$7),"x","")</f>
        <v/>
      </c>
      <c r="V2038" s="52" t="str">
        <f>IF(AND(B2038&gt;='IN-NX'!$P$3,B2038&lt;='IN-NX'!$Q$3,'IN-NX'!$D$7=D2038,OR(LEFT(L2038,2)="15",AND(LEFT(M2038,2)&lt;&gt;"15",LEFT(M2038,2)&lt;&gt;"33"))),"x","")</f>
        <v/>
      </c>
      <c r="W2038" s="52" t="str">
        <f>IF(AND(OR(LEFT(TH!L2038,2)="15",LEFT(TH!M2038,2)="15"),'152-CT'!$J$8=TH!F2038),"x","")</f>
        <v/>
      </c>
      <c r="X2038" s="52" t="str">
        <f>IF(AND(OR(LEFT(TH!L2038,2)="15",LEFT(TH!M2038,2)="15"),TK!$E$7=TH!F2038),"x","")</f>
        <v/>
      </c>
      <c r="Y2038" s="52" t="str">
        <f>IF(AND(B2038&lt;=NKC!$N$8,B2038&gt;=NKC!$M$8),"x","")</f>
        <v/>
      </c>
    </row>
    <row r="2039" spans="1:25" s="208" customFormat="1" ht="15.75" customHeight="1">
      <c r="A2039" s="201" t="str">
        <f>IF(B2039&lt;&gt;"",IF(AND(B2039&gt;=_TM1,B2039&lt;=_TM2,OR(TH!L2039="1111",TH!M2039="1111")),TH!D2039,""),"")</f>
        <v/>
      </c>
      <c r="B2039" s="36">
        <f t="shared" si="97"/>
        <v>11</v>
      </c>
      <c r="C2039" s="188">
        <f t="shared" si="96"/>
        <v>41592</v>
      </c>
      <c r="D2039" s="37" t="s">
        <v>457</v>
      </c>
      <c r="E2039" s="735">
        <v>41592</v>
      </c>
      <c r="F2039" s="290" t="s">
        <v>1095</v>
      </c>
      <c r="G2039" s="40" t="s">
        <v>979</v>
      </c>
      <c r="H2039" s="7" t="s">
        <v>1258</v>
      </c>
      <c r="I2039" s="249">
        <v>500</v>
      </c>
      <c r="J2039" s="249">
        <v>15943.490192092693</v>
      </c>
      <c r="K2039" s="595">
        <f t="shared" si="98"/>
        <v>7971745</v>
      </c>
      <c r="L2039" s="39" t="s">
        <v>170</v>
      </c>
      <c r="M2039" s="39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IF(OR(TH!L2039=TH!$U$7,M2039=TH!$U$7),"x","")</f>
        <v/>
      </c>
      <c r="V2039" s="52" t="str">
        <f>IF(AND(B2039&gt;='IN-NX'!$P$3,B2039&lt;='IN-NX'!$Q$3,'IN-NX'!$D$7=D2039,OR(LEFT(L2039,2)="15",AND(LEFT(M2039,2)&lt;&gt;"15",LEFT(M2039,2)&lt;&gt;"33"))),"x","")</f>
        <v/>
      </c>
      <c r="W2039" s="52" t="str">
        <f>IF(AND(OR(LEFT(TH!L2039,2)="15",LEFT(TH!M2039,2)="15"),'152-CT'!$J$8=TH!F2039),"x","")</f>
        <v/>
      </c>
      <c r="X2039" s="52" t="str">
        <f>IF(AND(OR(LEFT(TH!L2039,2)="15",LEFT(TH!M2039,2)="15"),TK!$E$7=TH!F2039),"x","")</f>
        <v/>
      </c>
      <c r="Y2039" s="52" t="str">
        <f>IF(AND(B2039&lt;=NKC!$N$8,B2039&gt;=NKC!$M$8),"x","")</f>
        <v/>
      </c>
    </row>
    <row r="2040" spans="1:25" s="208" customFormat="1" ht="15.75" customHeight="1">
      <c r="A2040" s="201" t="str">
        <f>IF(B2040&lt;&gt;"",IF(AND(B2040&gt;=_TM1,B2040&lt;=_TM2,OR(TH!L2040="1111",TH!M2040="1111")),TH!D2040,""),"")</f>
        <v/>
      </c>
      <c r="B2040" s="36">
        <f t="shared" si="97"/>
        <v>11</v>
      </c>
      <c r="C2040" s="188">
        <f t="shared" si="96"/>
        <v>41592</v>
      </c>
      <c r="D2040" s="37" t="s">
        <v>457</v>
      </c>
      <c r="E2040" s="735">
        <v>41592</v>
      </c>
      <c r="F2040" s="290" t="s">
        <v>805</v>
      </c>
      <c r="G2040" s="40" t="s">
        <v>980</v>
      </c>
      <c r="H2040" s="7" t="s">
        <v>1258</v>
      </c>
      <c r="I2040" s="249">
        <v>500</v>
      </c>
      <c r="J2040" s="249">
        <v>9443.4901920926932</v>
      </c>
      <c r="K2040" s="595">
        <f t="shared" si="98"/>
        <v>4721745</v>
      </c>
      <c r="L2040" s="39" t="s">
        <v>170</v>
      </c>
      <c r="M2040" s="39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IF(OR(TH!L2040=TH!$U$7,M2040=TH!$U$7),"x","")</f>
        <v/>
      </c>
      <c r="V2040" s="52" t="str">
        <f>IF(AND(B2040&gt;='IN-NX'!$P$3,B2040&lt;='IN-NX'!$Q$3,'IN-NX'!$D$7=D2040,OR(LEFT(L2040,2)="15",AND(LEFT(M2040,2)&lt;&gt;"15",LEFT(M2040,2)&lt;&gt;"33"))),"x","")</f>
        <v/>
      </c>
      <c r="W2040" s="52" t="str">
        <f>IF(AND(OR(LEFT(TH!L2040,2)="15",LEFT(TH!M2040,2)="15"),'152-CT'!$J$8=TH!F2040),"x","")</f>
        <v/>
      </c>
      <c r="X2040" s="52" t="str">
        <f>IF(AND(OR(LEFT(TH!L2040,2)="15",LEFT(TH!M2040,2)="15"),TK!$E$7=TH!F2040),"x","")</f>
        <v/>
      </c>
      <c r="Y2040" s="52" t="str">
        <f>IF(AND(B2040&lt;=NKC!$N$8,B2040&gt;=NKC!$M$8),"x","")</f>
        <v/>
      </c>
    </row>
    <row r="2041" spans="1:25" s="208" customFormat="1" ht="15.75" customHeight="1">
      <c r="A2041" s="201" t="str">
        <f>IF(B2041&lt;&gt;"",IF(AND(B2041&gt;=_TM1,B2041&lt;=_TM2,OR(TH!L2041="1111",TH!M2041="1111")),TH!D2041,""),"")</f>
        <v/>
      </c>
      <c r="B2041" s="36">
        <f t="shared" si="97"/>
        <v>11</v>
      </c>
      <c r="C2041" s="188">
        <f t="shared" si="96"/>
        <v>41592</v>
      </c>
      <c r="D2041" s="37" t="s">
        <v>457</v>
      </c>
      <c r="E2041" s="735">
        <v>41592</v>
      </c>
      <c r="F2041" s="186" t="s">
        <v>1116</v>
      </c>
      <c r="G2041" s="40" t="s">
        <v>981</v>
      </c>
      <c r="H2041" s="7" t="s">
        <v>1258</v>
      </c>
      <c r="I2041" s="249">
        <v>2642</v>
      </c>
      <c r="J2041" s="249">
        <v>4177.3671792236537</v>
      </c>
      <c r="K2041" s="595">
        <f t="shared" si="98"/>
        <v>11036604</v>
      </c>
      <c r="L2041" s="39" t="s">
        <v>170</v>
      </c>
      <c r="M2041" s="39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IF(OR(TH!L2041=TH!$U$7,M2041=TH!$U$7),"x","")</f>
        <v/>
      </c>
      <c r="V2041" s="52" t="str">
        <f>IF(AND(B2041&gt;='IN-NX'!$P$3,B2041&lt;='IN-NX'!$Q$3,'IN-NX'!$D$7=D2041,OR(LEFT(L2041,2)="15",AND(LEFT(M2041,2)&lt;&gt;"15",LEFT(M2041,2)&lt;&gt;"33"))),"x","")</f>
        <v/>
      </c>
      <c r="W2041" s="52" t="str">
        <f>IF(AND(OR(LEFT(TH!L2041,2)="15",LEFT(TH!M2041,2)="15"),'152-CT'!$J$8=TH!F2041),"x","")</f>
        <v/>
      </c>
      <c r="X2041" s="52" t="str">
        <f>IF(AND(OR(LEFT(TH!L2041,2)="15",LEFT(TH!M2041,2)="15"),TK!$E$7=TH!F2041),"x","")</f>
        <v/>
      </c>
      <c r="Y2041" s="52" t="str">
        <f>IF(AND(B2041&lt;=NKC!$N$8,B2041&gt;=NKC!$M$8),"x","")</f>
        <v/>
      </c>
    </row>
    <row r="2042" spans="1:25" s="208" customFormat="1" ht="15.75" customHeight="1">
      <c r="A2042" s="201" t="str">
        <f>IF(B2042&lt;&gt;"",IF(AND(B2042&gt;=_TM1,B2042&lt;=_TM2,OR(TH!L2042="1111",TH!M2042="1111")),TH!D2042,""),"")</f>
        <v/>
      </c>
      <c r="B2042" s="36">
        <f t="shared" si="97"/>
        <v>11</v>
      </c>
      <c r="C2042" s="188">
        <f t="shared" si="96"/>
        <v>41593</v>
      </c>
      <c r="D2042" s="37" t="s">
        <v>457</v>
      </c>
      <c r="E2042" s="735">
        <v>41593</v>
      </c>
      <c r="F2042" s="186" t="s">
        <v>1128</v>
      </c>
      <c r="G2042" s="40" t="s">
        <v>982</v>
      </c>
      <c r="H2042" s="7" t="s">
        <v>1258</v>
      </c>
      <c r="I2042" s="249">
        <v>2330</v>
      </c>
      <c r="J2042" s="249">
        <v>5903.8850418781003</v>
      </c>
      <c r="K2042" s="595">
        <f t="shared" si="98"/>
        <v>13756052</v>
      </c>
      <c r="L2042" s="39" t="s">
        <v>170</v>
      </c>
      <c r="M2042" s="39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IF(OR(TH!L2042=TH!$U$7,M2042=TH!$U$7),"x","")</f>
        <v/>
      </c>
      <c r="V2042" s="52" t="str">
        <f>IF(AND(B2042&gt;='IN-NX'!$P$3,B2042&lt;='IN-NX'!$Q$3,'IN-NX'!$D$7=D2042,OR(LEFT(L2042,2)="15",AND(LEFT(M2042,2)&lt;&gt;"15",LEFT(M2042,2)&lt;&gt;"33"))),"x","")</f>
        <v/>
      </c>
      <c r="W2042" s="52" t="str">
        <f>IF(AND(OR(LEFT(TH!L2042,2)="15",LEFT(TH!M2042,2)="15"),'152-CT'!$J$8=TH!F2042),"x","")</f>
        <v/>
      </c>
      <c r="X2042" s="52" t="str">
        <f>IF(AND(OR(LEFT(TH!L2042,2)="15",LEFT(TH!M2042,2)="15"),TK!$E$7=TH!F2042),"x","")</f>
        <v/>
      </c>
      <c r="Y2042" s="52" t="str">
        <f>IF(AND(B2042&lt;=NKC!$N$8,B2042&gt;=NKC!$M$8),"x","")</f>
        <v/>
      </c>
    </row>
    <row r="2043" spans="1:25" s="208" customFormat="1" ht="15.75" customHeight="1">
      <c r="A2043" s="201" t="str">
        <f>IF(B2043&lt;&gt;"",IF(AND(B2043&gt;=_TM1,B2043&lt;=_TM2,OR(TH!L2043="1111",TH!M2043="1111")),TH!D2043,""),"")</f>
        <v/>
      </c>
      <c r="B2043" s="36">
        <f t="shared" si="97"/>
        <v>11</v>
      </c>
      <c r="C2043" s="188">
        <f t="shared" si="96"/>
        <v>41594</v>
      </c>
      <c r="D2043" s="37" t="s">
        <v>457</v>
      </c>
      <c r="E2043" s="735">
        <v>41594</v>
      </c>
      <c r="F2043" s="186" t="s">
        <v>805</v>
      </c>
      <c r="G2043" s="40" t="s">
        <v>983</v>
      </c>
      <c r="H2043" s="7" t="s">
        <v>1258</v>
      </c>
      <c r="I2043" s="249">
        <v>428</v>
      </c>
      <c r="J2043" s="249">
        <v>9354.7051453637214</v>
      </c>
      <c r="K2043" s="595">
        <f t="shared" si="98"/>
        <v>4003814</v>
      </c>
      <c r="L2043" s="39" t="s">
        <v>170</v>
      </c>
      <c r="M2043" s="39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IF(OR(TH!L2043=TH!$U$7,M2043=TH!$U$7),"x","")</f>
        <v/>
      </c>
      <c r="V2043" s="52" t="str">
        <f>IF(AND(B2043&gt;='IN-NX'!$P$3,B2043&lt;='IN-NX'!$Q$3,'IN-NX'!$D$7=D2043,OR(LEFT(L2043,2)="15",AND(LEFT(M2043,2)&lt;&gt;"15",LEFT(M2043,2)&lt;&gt;"33"))),"x","")</f>
        <v/>
      </c>
      <c r="W2043" s="52" t="str">
        <f>IF(AND(OR(LEFT(TH!L2043,2)="15",LEFT(TH!M2043,2)="15"),'152-CT'!$J$8=TH!F2043),"x","")</f>
        <v/>
      </c>
      <c r="X2043" s="52" t="str">
        <f>IF(AND(OR(LEFT(TH!L2043,2)="15",LEFT(TH!M2043,2)="15"),TK!$E$7=TH!F2043),"x","")</f>
        <v/>
      </c>
      <c r="Y2043" s="52" t="str">
        <f>IF(AND(B2043&lt;=NKC!$N$8,B2043&gt;=NKC!$M$8),"x","")</f>
        <v/>
      </c>
    </row>
    <row r="2044" spans="1:25" s="208" customFormat="1" ht="15.75" customHeight="1">
      <c r="A2044" s="201" t="str">
        <f>IF(B2044&lt;&gt;"",IF(AND(B2044&gt;=_TM1,B2044&lt;=_TM2,OR(TH!L2044="1111",TH!M2044="1111")),TH!D2044,""),"")</f>
        <v/>
      </c>
      <c r="B2044" s="36">
        <f t="shared" si="97"/>
        <v>11</v>
      </c>
      <c r="C2044" s="188">
        <f t="shared" ref="C2044:C2087" si="99">E2044</f>
        <v>41596</v>
      </c>
      <c r="D2044" s="37" t="s">
        <v>457</v>
      </c>
      <c r="E2044" s="188">
        <v>41596</v>
      </c>
      <c r="F2044" s="189" t="s">
        <v>843</v>
      </c>
      <c r="G2044" s="480" t="s">
        <v>984</v>
      </c>
      <c r="H2044" s="7" t="s">
        <v>1258</v>
      </c>
      <c r="I2044" s="249">
        <v>1017</v>
      </c>
      <c r="J2044" s="249">
        <v>11840.074262889153</v>
      </c>
      <c r="K2044" s="595">
        <f t="shared" si="98"/>
        <v>12041356</v>
      </c>
      <c r="L2044" s="39" t="s">
        <v>170</v>
      </c>
      <c r="M2044" s="39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IF(OR(TH!L2044=TH!$U$7,M2044=TH!$U$7),"x","")</f>
        <v/>
      </c>
      <c r="V2044" s="52" t="str">
        <f>IF(AND(B2044&gt;='IN-NX'!$P$3,B2044&lt;='IN-NX'!$Q$3,'IN-NX'!$D$7=D2044,OR(LEFT(L2044,2)="15",AND(LEFT(M2044,2)&lt;&gt;"15",LEFT(M2044,2)&lt;&gt;"33"))),"x","")</f>
        <v/>
      </c>
      <c r="W2044" s="52" t="str">
        <f>IF(AND(OR(LEFT(TH!L2044,2)="15",LEFT(TH!M2044,2)="15"),'152-CT'!$J$8=TH!F2044),"x","")</f>
        <v/>
      </c>
      <c r="X2044" s="52" t="str">
        <f>IF(AND(OR(LEFT(TH!L2044,2)="15",LEFT(TH!M2044,2)="15"),TK!$E$7=TH!F2044),"x","")</f>
        <v/>
      </c>
      <c r="Y2044" s="52" t="str">
        <f>IF(AND(B2044&lt;=NKC!$N$8,B2044&gt;=NKC!$M$8),"x","")</f>
        <v/>
      </c>
    </row>
    <row r="2045" spans="1:25" s="208" customFormat="1" ht="15.75" customHeight="1">
      <c r="A2045" s="201" t="str">
        <f>IF(B2045&lt;&gt;"",IF(AND(B2045&gt;=_TM1,B2045&lt;=_TM2,OR(TH!L2045="1111",TH!M2045="1111")),TH!D2045,""),"")</f>
        <v/>
      </c>
      <c r="B2045" s="36">
        <f t="shared" si="97"/>
        <v>11</v>
      </c>
      <c r="C2045" s="188">
        <f t="shared" si="99"/>
        <v>41597</v>
      </c>
      <c r="D2045" s="37" t="s">
        <v>457</v>
      </c>
      <c r="E2045" s="188">
        <v>41597</v>
      </c>
      <c r="F2045" s="189" t="s">
        <v>985</v>
      </c>
      <c r="G2045" s="480" t="s">
        <v>986</v>
      </c>
      <c r="H2045" s="7" t="s">
        <v>1258</v>
      </c>
      <c r="I2045" s="249">
        <v>70</v>
      </c>
      <c r="J2045" s="249">
        <v>41170.918763521266</v>
      </c>
      <c r="K2045" s="595">
        <f t="shared" si="98"/>
        <v>2881964</v>
      </c>
      <c r="L2045" s="39" t="s">
        <v>170</v>
      </c>
      <c r="M2045" s="39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IF(OR(TH!L2045=TH!$U$7,M2045=TH!$U$7),"x","")</f>
        <v/>
      </c>
      <c r="V2045" s="52" t="str">
        <f>IF(AND(B2045&gt;='IN-NX'!$P$3,B2045&lt;='IN-NX'!$Q$3,'IN-NX'!$D$7=D2045,OR(LEFT(L2045,2)="15",AND(LEFT(M2045,2)&lt;&gt;"15",LEFT(M2045,2)&lt;&gt;"33"))),"x","")</f>
        <v/>
      </c>
      <c r="W2045" s="52" t="str">
        <f>IF(AND(OR(LEFT(TH!L2045,2)="15",LEFT(TH!M2045,2)="15"),'152-CT'!$J$8=TH!F2045),"x","")</f>
        <v/>
      </c>
      <c r="X2045" s="52" t="str">
        <f>IF(AND(OR(LEFT(TH!L2045,2)="15",LEFT(TH!M2045,2)="15"),TK!$E$7=TH!F2045),"x","")</f>
        <v/>
      </c>
      <c r="Y2045" s="52" t="str">
        <f>IF(AND(B2045&lt;=NKC!$N$8,B2045&gt;=NKC!$M$8),"x","")</f>
        <v/>
      </c>
    </row>
    <row r="2046" spans="1:25" s="208" customFormat="1" ht="15.75" customHeight="1">
      <c r="A2046" s="201" t="str">
        <f>IF(B2046&lt;&gt;"",IF(AND(B2046&gt;=_TM1,B2046&lt;=_TM2,OR(TH!L2046="1111",TH!M2046="1111")),TH!D2046,""),"")</f>
        <v/>
      </c>
      <c r="B2046" s="36">
        <f t="shared" si="97"/>
        <v>11</v>
      </c>
      <c r="C2046" s="188">
        <f t="shared" si="99"/>
        <v>41597</v>
      </c>
      <c r="D2046" s="37" t="s">
        <v>457</v>
      </c>
      <c r="E2046" s="188">
        <v>41597</v>
      </c>
      <c r="F2046" s="186" t="s">
        <v>847</v>
      </c>
      <c r="G2046" s="480" t="s">
        <v>986</v>
      </c>
      <c r="H2046" s="7" t="s">
        <v>1258</v>
      </c>
      <c r="I2046" s="249">
        <v>70</v>
      </c>
      <c r="J2046" s="249">
        <v>42499.675906378412</v>
      </c>
      <c r="K2046" s="595">
        <f t="shared" si="98"/>
        <v>2974977</v>
      </c>
      <c r="L2046" s="39" t="s">
        <v>170</v>
      </c>
      <c r="M2046" s="39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IF(OR(TH!L2046=TH!$U$7,M2046=TH!$U$7),"x","")</f>
        <v/>
      </c>
      <c r="V2046" s="52" t="str">
        <f>IF(AND(B2046&gt;='IN-NX'!$P$3,B2046&lt;='IN-NX'!$Q$3,'IN-NX'!$D$7=D2046,OR(LEFT(L2046,2)="15",AND(LEFT(M2046,2)&lt;&gt;"15",LEFT(M2046,2)&lt;&gt;"33"))),"x","")</f>
        <v/>
      </c>
      <c r="W2046" s="52" t="str">
        <f>IF(AND(OR(LEFT(TH!L2046,2)="15",LEFT(TH!M2046,2)="15"),'152-CT'!$J$8=TH!F2046),"x","")</f>
        <v/>
      </c>
      <c r="X2046" s="52" t="str">
        <f>IF(AND(OR(LEFT(TH!L2046,2)="15",LEFT(TH!M2046,2)="15"),TK!$E$7=TH!F2046),"x","")</f>
        <v/>
      </c>
      <c r="Y2046" s="52" t="str">
        <f>IF(AND(B2046&lt;=NKC!$N$8,B2046&gt;=NKC!$M$8),"x","")</f>
        <v/>
      </c>
    </row>
    <row r="2047" spans="1:25" s="208" customFormat="1" ht="15.75" customHeight="1">
      <c r="A2047" s="201" t="str">
        <f>IF(B2047&lt;&gt;"",IF(AND(B2047&gt;=_TM1,B2047&lt;=_TM2,OR(TH!L2047="1111",TH!M2047="1111")),TH!D2047,""),"")</f>
        <v/>
      </c>
      <c r="B2047" s="36">
        <f t="shared" si="97"/>
        <v>11</v>
      </c>
      <c r="C2047" s="188">
        <f t="shared" si="99"/>
        <v>41597</v>
      </c>
      <c r="D2047" s="37" t="s">
        <v>457</v>
      </c>
      <c r="E2047" s="188">
        <v>41597</v>
      </c>
      <c r="F2047" s="186" t="s">
        <v>987</v>
      </c>
      <c r="G2047" s="480" t="s">
        <v>986</v>
      </c>
      <c r="H2047" s="7" t="s">
        <v>1258</v>
      </c>
      <c r="I2047" s="249">
        <v>50</v>
      </c>
      <c r="J2047" s="249">
        <v>37177.490192092693</v>
      </c>
      <c r="K2047" s="595">
        <f t="shared" si="98"/>
        <v>1858875</v>
      </c>
      <c r="L2047" s="39" t="s">
        <v>170</v>
      </c>
      <c r="M2047" s="39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IF(OR(TH!L2047=TH!$U$7,M2047=TH!$U$7),"x","")</f>
        <v/>
      </c>
      <c r="V2047" s="52" t="str">
        <f>IF(AND(B2047&gt;='IN-NX'!$P$3,B2047&lt;='IN-NX'!$Q$3,'IN-NX'!$D$7=D2047,OR(LEFT(L2047,2)="15",AND(LEFT(M2047,2)&lt;&gt;"15",LEFT(M2047,2)&lt;&gt;"33"))),"x","")</f>
        <v/>
      </c>
      <c r="W2047" s="52" t="str">
        <f>IF(AND(OR(LEFT(TH!L2047,2)="15",LEFT(TH!M2047,2)="15"),'152-CT'!$J$8=TH!F2047),"x","")</f>
        <v/>
      </c>
      <c r="X2047" s="52" t="str">
        <f>IF(AND(OR(LEFT(TH!L2047,2)="15",LEFT(TH!M2047,2)="15"),TK!$E$7=TH!F2047),"x","")</f>
        <v/>
      </c>
      <c r="Y2047" s="52" t="str">
        <f>IF(AND(B2047&lt;=NKC!$N$8,B2047&gt;=NKC!$M$8),"x","")</f>
        <v/>
      </c>
    </row>
    <row r="2048" spans="1:25" s="208" customFormat="1" ht="15.75" customHeight="1">
      <c r="A2048" s="201" t="str">
        <f>IF(B2048&lt;&gt;"",IF(AND(B2048&gt;=_TM1,B2048&lt;=_TM2,OR(TH!L2048="1111",TH!M2048="1111")),TH!D2048,""),"")</f>
        <v/>
      </c>
      <c r="B2048" s="36">
        <f t="shared" si="97"/>
        <v>11</v>
      </c>
      <c r="C2048" s="188">
        <f t="shared" si="99"/>
        <v>41597</v>
      </c>
      <c r="D2048" s="37" t="s">
        <v>457</v>
      </c>
      <c r="E2048" s="188">
        <v>41597</v>
      </c>
      <c r="F2048" s="189" t="s">
        <v>848</v>
      </c>
      <c r="G2048" s="480" t="s">
        <v>986</v>
      </c>
      <c r="H2048" s="7" t="s">
        <v>1258</v>
      </c>
      <c r="I2048" s="249">
        <v>50</v>
      </c>
      <c r="J2048" s="249">
        <v>37177.490192092693</v>
      </c>
      <c r="K2048" s="595">
        <f t="shared" si="98"/>
        <v>1858875</v>
      </c>
      <c r="L2048" s="39" t="s">
        <v>170</v>
      </c>
      <c r="M2048" s="39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IF(OR(TH!L2048=TH!$U$7,M2048=TH!$U$7),"x","")</f>
        <v/>
      </c>
      <c r="V2048" s="52" t="str">
        <f>IF(AND(B2048&gt;='IN-NX'!$P$3,B2048&lt;='IN-NX'!$Q$3,'IN-NX'!$D$7=D2048,OR(LEFT(L2048,2)="15",AND(LEFT(M2048,2)&lt;&gt;"15",LEFT(M2048,2)&lt;&gt;"33"))),"x","")</f>
        <v/>
      </c>
      <c r="W2048" s="52" t="str">
        <f>IF(AND(OR(LEFT(TH!L2048,2)="15",LEFT(TH!M2048,2)="15"),'152-CT'!$J$8=TH!F2048),"x","")</f>
        <v/>
      </c>
      <c r="X2048" s="52" t="str">
        <f>IF(AND(OR(LEFT(TH!L2048,2)="15",LEFT(TH!M2048,2)="15"),TK!$E$7=TH!F2048),"x","")</f>
        <v/>
      </c>
      <c r="Y2048" s="52" t="str">
        <f>IF(AND(B2048&lt;=NKC!$N$8,B2048&gt;=NKC!$M$8),"x","")</f>
        <v/>
      </c>
    </row>
    <row r="2049" spans="1:25" s="208" customFormat="1" ht="15.75" customHeight="1">
      <c r="A2049" s="201" t="str">
        <f>IF(B2049&lt;&gt;"",IF(AND(B2049&gt;=_TM1,B2049&lt;=_TM2,OR(TH!L2049="1111",TH!M2049="1111")),TH!D2049,""),"")</f>
        <v/>
      </c>
      <c r="B2049" s="36">
        <f t="shared" si="97"/>
        <v>11</v>
      </c>
      <c r="C2049" s="188">
        <f t="shared" si="99"/>
        <v>41598</v>
      </c>
      <c r="D2049" s="37" t="s">
        <v>457</v>
      </c>
      <c r="E2049" s="188">
        <v>41598</v>
      </c>
      <c r="F2049" s="189" t="s">
        <v>849</v>
      </c>
      <c r="G2049" s="480" t="s">
        <v>988</v>
      </c>
      <c r="H2049" s="7" t="s">
        <v>1258</v>
      </c>
      <c r="I2049" s="249">
        <v>50</v>
      </c>
      <c r="J2049" s="249">
        <v>46193.570192092695</v>
      </c>
      <c r="K2049" s="595">
        <f t="shared" si="98"/>
        <v>2309679</v>
      </c>
      <c r="L2049" s="39" t="s">
        <v>170</v>
      </c>
      <c r="M2049" s="39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IF(OR(TH!L2049=TH!$U$7,M2049=TH!$U$7),"x","")</f>
        <v/>
      </c>
      <c r="V2049" s="52" t="str">
        <f>IF(AND(B2049&gt;='IN-NX'!$P$3,B2049&lt;='IN-NX'!$Q$3,'IN-NX'!$D$7=D2049,OR(LEFT(L2049,2)="15",AND(LEFT(M2049,2)&lt;&gt;"15",LEFT(M2049,2)&lt;&gt;"33"))),"x","")</f>
        <v/>
      </c>
      <c r="W2049" s="52" t="str">
        <f>IF(AND(OR(LEFT(TH!L2049,2)="15",LEFT(TH!M2049,2)="15"),'152-CT'!$J$8=TH!F2049),"x","")</f>
        <v/>
      </c>
      <c r="X2049" s="52" t="str">
        <f>IF(AND(OR(LEFT(TH!L2049,2)="15",LEFT(TH!M2049,2)="15"),TK!$E$7=TH!F2049),"x","")</f>
        <v/>
      </c>
      <c r="Y2049" s="52" t="str">
        <f>IF(AND(B2049&lt;=NKC!$N$8,B2049&gt;=NKC!$M$8),"x","")</f>
        <v/>
      </c>
    </row>
    <row r="2050" spans="1:25" s="208" customFormat="1" ht="15.75" customHeight="1">
      <c r="A2050" s="201" t="str">
        <f>IF(B2050&lt;&gt;"",IF(AND(B2050&gt;=_TM1,B2050&lt;=_TM2,OR(TH!L2050="1111",TH!M2050="1111")),TH!D2050,""),"")</f>
        <v/>
      </c>
      <c r="B2050" s="36">
        <f t="shared" si="97"/>
        <v>11</v>
      </c>
      <c r="C2050" s="188">
        <f t="shared" si="99"/>
        <v>41598</v>
      </c>
      <c r="D2050" s="37" t="s">
        <v>457</v>
      </c>
      <c r="E2050" s="188">
        <v>41598</v>
      </c>
      <c r="F2050" s="189" t="s">
        <v>989</v>
      </c>
      <c r="G2050" s="480" t="s">
        <v>988</v>
      </c>
      <c r="H2050" s="7" t="s">
        <v>1258</v>
      </c>
      <c r="I2050" s="249">
        <v>50</v>
      </c>
      <c r="J2050" s="249">
        <v>45547.130192092693</v>
      </c>
      <c r="K2050" s="595">
        <f t="shared" si="98"/>
        <v>2277357</v>
      </c>
      <c r="L2050" s="39" t="s">
        <v>170</v>
      </c>
      <c r="M2050" s="39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IF(OR(TH!L2050=TH!$U$7,M2050=TH!$U$7),"x","")</f>
        <v/>
      </c>
      <c r="V2050" s="52" t="str">
        <f>IF(AND(B2050&gt;='IN-NX'!$P$3,B2050&lt;='IN-NX'!$Q$3,'IN-NX'!$D$7=D2050,OR(LEFT(L2050,2)="15",AND(LEFT(M2050,2)&lt;&gt;"15",LEFT(M2050,2)&lt;&gt;"33"))),"x","")</f>
        <v/>
      </c>
      <c r="W2050" s="52" t="str">
        <f>IF(AND(OR(LEFT(TH!L2050,2)="15",LEFT(TH!M2050,2)="15"),'152-CT'!$J$8=TH!F2050),"x","")</f>
        <v/>
      </c>
      <c r="X2050" s="52" t="str">
        <f>IF(AND(OR(LEFT(TH!L2050,2)="15",LEFT(TH!M2050,2)="15"),TK!$E$7=TH!F2050),"x","")</f>
        <v/>
      </c>
      <c r="Y2050" s="52" t="str">
        <f>IF(AND(B2050&lt;=NKC!$N$8,B2050&gt;=NKC!$M$8),"x","")</f>
        <v/>
      </c>
    </row>
    <row r="2051" spans="1:25" s="208" customFormat="1" ht="15.75" customHeight="1">
      <c r="A2051" s="201" t="str">
        <f>IF(B2051&lt;&gt;"",IF(AND(B2051&gt;=_TM1,B2051&lt;=_TM2,OR(TH!L2051="1111",TH!M2051="1111")),TH!D2051,""),"")</f>
        <v/>
      </c>
      <c r="B2051" s="36">
        <f t="shared" si="97"/>
        <v>11</v>
      </c>
      <c r="C2051" s="188">
        <f t="shared" si="99"/>
        <v>41598</v>
      </c>
      <c r="D2051" s="37" t="s">
        <v>457</v>
      </c>
      <c r="E2051" s="735">
        <v>41598</v>
      </c>
      <c r="F2051" s="40" t="s">
        <v>990</v>
      </c>
      <c r="G2051" s="40" t="s">
        <v>988</v>
      </c>
      <c r="H2051" s="7" t="s">
        <v>1258</v>
      </c>
      <c r="I2051" s="249">
        <v>50</v>
      </c>
      <c r="J2051" s="249">
        <v>62354.310192092693</v>
      </c>
      <c r="K2051" s="595">
        <f t="shared" si="98"/>
        <v>3117716</v>
      </c>
      <c r="L2051" s="39" t="s">
        <v>170</v>
      </c>
      <c r="M2051" s="39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IF(OR(TH!L2051=TH!$U$7,M2051=TH!$U$7),"x","")</f>
        <v/>
      </c>
      <c r="V2051" s="52" t="str">
        <f>IF(AND(B2051&gt;='IN-NX'!$P$3,B2051&lt;='IN-NX'!$Q$3,'IN-NX'!$D$7=D2051,OR(LEFT(L2051,2)="15",AND(LEFT(M2051,2)&lt;&gt;"15",LEFT(M2051,2)&lt;&gt;"33"))),"x","")</f>
        <v/>
      </c>
      <c r="W2051" s="52" t="str">
        <f>IF(AND(OR(LEFT(TH!L2051,2)="15",LEFT(TH!M2051,2)="15"),'152-CT'!$J$8=TH!F2051),"x","")</f>
        <v/>
      </c>
      <c r="X2051" s="52" t="str">
        <f>IF(AND(OR(LEFT(TH!L2051,2)="15",LEFT(TH!M2051,2)="15"),TK!$E$7=TH!F2051),"x","")</f>
        <v/>
      </c>
      <c r="Y2051" s="52" t="str">
        <f>IF(AND(B2051&lt;=NKC!$N$8,B2051&gt;=NKC!$M$8),"x","")</f>
        <v/>
      </c>
    </row>
    <row r="2052" spans="1:25" s="208" customFormat="1" ht="15.75" customHeight="1">
      <c r="A2052" s="201" t="str">
        <f>IF(B2052&lt;&gt;"",IF(AND(B2052&gt;=_TM1,B2052&lt;=_TM2,OR(TH!L2052="1111",TH!M2052="1111")),TH!D2052,""),"")</f>
        <v/>
      </c>
      <c r="B2052" s="36">
        <f t="shared" si="97"/>
        <v>11</v>
      </c>
      <c r="C2052" s="188">
        <f t="shared" si="99"/>
        <v>41603</v>
      </c>
      <c r="D2052" s="37" t="s">
        <v>457</v>
      </c>
      <c r="E2052" s="735">
        <v>41603</v>
      </c>
      <c r="F2052" s="186" t="s">
        <v>690</v>
      </c>
      <c r="G2052" s="40" t="s">
        <v>991</v>
      </c>
      <c r="H2052" s="7" t="s">
        <v>1258</v>
      </c>
      <c r="I2052" s="249">
        <v>500</v>
      </c>
      <c r="J2052" s="249">
        <v>5593.4901920926923</v>
      </c>
      <c r="K2052" s="595">
        <f t="shared" si="98"/>
        <v>2796745</v>
      </c>
      <c r="L2052" s="39" t="s">
        <v>170</v>
      </c>
      <c r="M2052" s="39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IF(OR(TH!L2052=TH!$U$7,M2052=TH!$U$7),"x","")</f>
        <v/>
      </c>
      <c r="V2052" s="52" t="str">
        <f>IF(AND(B2052&gt;='IN-NX'!$P$3,B2052&lt;='IN-NX'!$Q$3,'IN-NX'!$D$7=D2052,OR(LEFT(L2052,2)="15",AND(LEFT(M2052,2)&lt;&gt;"15",LEFT(M2052,2)&lt;&gt;"33"))),"x","")</f>
        <v/>
      </c>
      <c r="W2052" s="52" t="str">
        <f>IF(AND(OR(LEFT(TH!L2052,2)="15",LEFT(TH!M2052,2)="15"),'152-CT'!$J$8=TH!F2052),"x","")</f>
        <v/>
      </c>
      <c r="X2052" s="52" t="str">
        <f>IF(AND(OR(LEFT(TH!L2052,2)="15",LEFT(TH!M2052,2)="15"),TK!$E$7=TH!F2052),"x","")</f>
        <v/>
      </c>
      <c r="Y2052" s="52" t="str">
        <f>IF(AND(B2052&lt;=NKC!$N$8,B2052&gt;=NKC!$M$8),"x","")</f>
        <v/>
      </c>
    </row>
    <row r="2053" spans="1:25" s="208" customFormat="1" ht="15.75" customHeight="1">
      <c r="A2053" s="201" t="str">
        <f>IF(B2053&lt;&gt;"",IF(AND(B2053&gt;=_TM1,B2053&lt;=_TM2,OR(TH!L2053="1111",TH!M2053="1111")),TH!D2053,""),"")</f>
        <v/>
      </c>
      <c r="B2053" s="36">
        <f t="shared" si="97"/>
        <v>11</v>
      </c>
      <c r="C2053" s="188">
        <f t="shared" si="99"/>
        <v>41604</v>
      </c>
      <c r="D2053" s="37" t="s">
        <v>457</v>
      </c>
      <c r="E2053" s="735">
        <v>41604</v>
      </c>
      <c r="F2053" s="40" t="s">
        <v>805</v>
      </c>
      <c r="G2053" s="40" t="s">
        <v>621</v>
      </c>
      <c r="H2053" s="7" t="s">
        <v>1258</v>
      </c>
      <c r="I2053" s="249">
        <v>500</v>
      </c>
      <c r="J2053" s="249">
        <v>9423.4901920926932</v>
      </c>
      <c r="K2053" s="595">
        <f t="shared" si="98"/>
        <v>4711745</v>
      </c>
      <c r="L2053" s="39" t="s">
        <v>170</v>
      </c>
      <c r="M2053" s="39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IF(OR(TH!L2053=TH!$U$7,M2053=TH!$U$7),"x","")</f>
        <v/>
      </c>
      <c r="V2053" s="52" t="str">
        <f>IF(AND(B2053&gt;='IN-NX'!$P$3,B2053&lt;='IN-NX'!$Q$3,'IN-NX'!$D$7=D2053,OR(LEFT(L2053,2)="15",AND(LEFT(M2053,2)&lt;&gt;"15",LEFT(M2053,2)&lt;&gt;"33"))),"x","")</f>
        <v/>
      </c>
      <c r="W2053" s="52" t="str">
        <f>IF(AND(OR(LEFT(TH!L2053,2)="15",LEFT(TH!M2053,2)="15"),'152-CT'!$J$8=TH!F2053),"x","")</f>
        <v/>
      </c>
      <c r="X2053" s="52" t="str">
        <f>IF(AND(OR(LEFT(TH!L2053,2)="15",LEFT(TH!M2053,2)="15"),TK!$E$7=TH!F2053),"x","")</f>
        <v/>
      </c>
      <c r="Y2053" s="52" t="str">
        <f>IF(AND(B2053&lt;=NKC!$N$8,B2053&gt;=NKC!$M$8),"x","")</f>
        <v/>
      </c>
    </row>
    <row r="2054" spans="1:25" s="208" customFormat="1" ht="15.75" customHeight="1">
      <c r="A2054" s="201" t="str">
        <f>IF(B2054&lt;&gt;"",IF(AND(B2054&gt;=_TM1,B2054&lt;=_TM2,OR(TH!L2054="1111",TH!M2054="1111")),TH!D2054,""),"")</f>
        <v/>
      </c>
      <c r="B2054" s="36">
        <f t="shared" si="97"/>
        <v>11</v>
      </c>
      <c r="C2054" s="188">
        <f t="shared" si="99"/>
        <v>41604</v>
      </c>
      <c r="D2054" s="37" t="s">
        <v>457</v>
      </c>
      <c r="E2054" s="735">
        <v>41604</v>
      </c>
      <c r="F2054" s="40" t="s">
        <v>805</v>
      </c>
      <c r="G2054" s="40" t="s">
        <v>621</v>
      </c>
      <c r="H2054" s="7" t="s">
        <v>1258</v>
      </c>
      <c r="I2054" s="249">
        <v>500</v>
      </c>
      <c r="J2054" s="249">
        <v>10739.518192092692</v>
      </c>
      <c r="K2054" s="595">
        <f t="shared" si="98"/>
        <v>5369759</v>
      </c>
      <c r="L2054" s="39" t="s">
        <v>170</v>
      </c>
      <c r="M2054" s="39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IF(OR(TH!L2054=TH!$U$7,M2054=TH!$U$7),"x","")</f>
        <v/>
      </c>
      <c r="V2054" s="52" t="str">
        <f>IF(AND(B2054&gt;='IN-NX'!$P$3,B2054&lt;='IN-NX'!$Q$3,'IN-NX'!$D$7=D2054,OR(LEFT(L2054,2)="15",AND(LEFT(M2054,2)&lt;&gt;"15",LEFT(M2054,2)&lt;&gt;"33"))),"x","")</f>
        <v/>
      </c>
      <c r="W2054" s="52" t="str">
        <f>IF(AND(OR(LEFT(TH!L2054,2)="15",LEFT(TH!M2054,2)="15"),'152-CT'!$J$8=TH!F2054),"x","")</f>
        <v/>
      </c>
      <c r="X2054" s="52" t="str">
        <f>IF(AND(OR(LEFT(TH!L2054,2)="15",LEFT(TH!M2054,2)="15"),TK!$E$7=TH!F2054),"x","")</f>
        <v/>
      </c>
      <c r="Y2054" s="52" t="str">
        <f>IF(AND(B2054&lt;=NKC!$N$8,B2054&gt;=NKC!$M$8),"x","")</f>
        <v/>
      </c>
    </row>
    <row r="2055" spans="1:25" s="208" customFormat="1" ht="15.75" customHeight="1">
      <c r="A2055" s="201" t="str">
        <f>IF(B2055&lt;&gt;"",IF(AND(B2055&gt;=_TM1,B2055&lt;=_TM2,OR(TH!L2055="1111",TH!M2055="1111")),TH!D2055,""),"")</f>
        <v/>
      </c>
      <c r="B2055" s="36">
        <f t="shared" si="97"/>
        <v>11</v>
      </c>
      <c r="C2055" s="188">
        <f t="shared" si="99"/>
        <v>41604</v>
      </c>
      <c r="D2055" s="37" t="s">
        <v>457</v>
      </c>
      <c r="E2055" s="735">
        <v>41604</v>
      </c>
      <c r="F2055" s="186" t="s">
        <v>805</v>
      </c>
      <c r="G2055" s="40" t="s">
        <v>621</v>
      </c>
      <c r="H2055" s="7" t="s">
        <v>1258</v>
      </c>
      <c r="I2055" s="249">
        <v>500</v>
      </c>
      <c r="J2055" s="249">
        <v>10360.690192092692</v>
      </c>
      <c r="K2055" s="595">
        <f t="shared" si="98"/>
        <v>5180345</v>
      </c>
      <c r="L2055" s="39" t="s">
        <v>170</v>
      </c>
      <c r="M2055" s="39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IF(OR(TH!L2055=TH!$U$7,M2055=TH!$U$7),"x","")</f>
        <v/>
      </c>
      <c r="V2055" s="52" t="str">
        <f>IF(AND(B2055&gt;='IN-NX'!$P$3,B2055&lt;='IN-NX'!$Q$3,'IN-NX'!$D$7=D2055,OR(LEFT(L2055,2)="15",AND(LEFT(M2055,2)&lt;&gt;"15",LEFT(M2055,2)&lt;&gt;"33"))),"x","")</f>
        <v/>
      </c>
      <c r="W2055" s="52" t="str">
        <f>IF(AND(OR(LEFT(TH!L2055,2)="15",LEFT(TH!M2055,2)="15"),'152-CT'!$J$8=TH!F2055),"x","")</f>
        <v/>
      </c>
      <c r="X2055" s="52" t="str">
        <f>IF(AND(OR(LEFT(TH!L2055,2)="15",LEFT(TH!M2055,2)="15"),TK!$E$7=TH!F2055),"x","")</f>
        <v/>
      </c>
      <c r="Y2055" s="52" t="str">
        <f>IF(AND(B2055&lt;=NKC!$N$8,B2055&gt;=NKC!$M$8),"x","")</f>
        <v/>
      </c>
    </row>
    <row r="2056" spans="1:25" s="208" customFormat="1" ht="15.75" customHeight="1">
      <c r="A2056" s="201" t="str">
        <f>IF(B2056&lt;&gt;"",IF(AND(B2056&gt;=_TM1,B2056&lt;=_TM2,OR(TH!L2056="1111",TH!M2056="1111")),TH!D2056,""),"")</f>
        <v/>
      </c>
      <c r="B2056" s="36">
        <f t="shared" si="97"/>
        <v>11</v>
      </c>
      <c r="C2056" s="188">
        <f t="shared" si="99"/>
        <v>41606</v>
      </c>
      <c r="D2056" s="37" t="s">
        <v>457</v>
      </c>
      <c r="E2056" s="735">
        <v>41606</v>
      </c>
      <c r="F2056" s="40" t="s">
        <v>805</v>
      </c>
      <c r="G2056" s="40" t="s">
        <v>993</v>
      </c>
      <c r="H2056" s="7" t="s">
        <v>1258</v>
      </c>
      <c r="I2056" s="249">
        <v>500</v>
      </c>
      <c r="J2056" s="249">
        <v>9994.5041920926924</v>
      </c>
      <c r="K2056" s="595">
        <f t="shared" si="98"/>
        <v>4997252</v>
      </c>
      <c r="L2056" s="39" t="s">
        <v>170</v>
      </c>
      <c r="M2056" s="39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IF(OR(TH!L2056=TH!$U$7,M2056=TH!$U$7),"x","")</f>
        <v/>
      </c>
      <c r="V2056" s="52" t="str">
        <f>IF(AND(B2056&gt;='IN-NX'!$P$3,B2056&lt;='IN-NX'!$Q$3,'IN-NX'!$D$7=D2056,OR(LEFT(L2056,2)="15",AND(LEFT(M2056,2)&lt;&gt;"15",LEFT(M2056,2)&lt;&gt;"33"))),"x","")</f>
        <v/>
      </c>
      <c r="W2056" s="52" t="str">
        <f>IF(AND(OR(LEFT(TH!L2056,2)="15",LEFT(TH!M2056,2)="15"),'152-CT'!$J$8=TH!F2056),"x","")</f>
        <v/>
      </c>
      <c r="X2056" s="52" t="str">
        <f>IF(AND(OR(LEFT(TH!L2056,2)="15",LEFT(TH!M2056,2)="15"),TK!$E$7=TH!F2056),"x","")</f>
        <v/>
      </c>
      <c r="Y2056" s="52" t="str">
        <f>IF(AND(B2056&lt;=NKC!$N$8,B2056&gt;=NKC!$M$8),"x","")</f>
        <v/>
      </c>
    </row>
    <row r="2057" spans="1:25" s="208" customFormat="1" ht="15.75" customHeight="1">
      <c r="A2057" s="201" t="str">
        <f>IF(B2057&lt;&gt;"",IF(AND(B2057&gt;=_TM1,B2057&lt;=_TM2,OR(TH!L2057="1111",TH!M2057="1111")),TH!D2057,""),"")</f>
        <v/>
      </c>
      <c r="B2057" s="36">
        <f t="shared" si="97"/>
        <v>11</v>
      </c>
      <c r="C2057" s="188">
        <f t="shared" si="99"/>
        <v>41606</v>
      </c>
      <c r="D2057" s="37" t="s">
        <v>457</v>
      </c>
      <c r="E2057" s="735">
        <v>41606</v>
      </c>
      <c r="F2057" s="186" t="s">
        <v>708</v>
      </c>
      <c r="G2057" s="40" t="s">
        <v>993</v>
      </c>
      <c r="H2057" s="7" t="s">
        <v>1258</v>
      </c>
      <c r="I2057" s="249">
        <v>500</v>
      </c>
      <c r="J2057" s="249">
        <v>6518.7401920926923</v>
      </c>
      <c r="K2057" s="595">
        <f t="shared" si="98"/>
        <v>3259370</v>
      </c>
      <c r="L2057" s="39" t="s">
        <v>170</v>
      </c>
      <c r="M2057" s="39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IF(OR(TH!L2057=TH!$U$7,M2057=TH!$U$7),"x","")</f>
        <v/>
      </c>
      <c r="V2057" s="52" t="str">
        <f>IF(AND(B2057&gt;='IN-NX'!$P$3,B2057&lt;='IN-NX'!$Q$3,'IN-NX'!$D$7=D2057,OR(LEFT(L2057,2)="15",AND(LEFT(M2057,2)&lt;&gt;"15",LEFT(M2057,2)&lt;&gt;"33"))),"x","")</f>
        <v/>
      </c>
      <c r="W2057" s="52" t="str">
        <f>IF(AND(OR(LEFT(TH!L2057,2)="15",LEFT(TH!M2057,2)="15"),'152-CT'!$J$8=TH!F2057),"x","")</f>
        <v/>
      </c>
      <c r="X2057" s="52" t="str">
        <f>IF(AND(OR(LEFT(TH!L2057,2)="15",LEFT(TH!M2057,2)="15"),TK!$E$7=TH!F2057),"x","")</f>
        <v/>
      </c>
      <c r="Y2057" s="52" t="str">
        <f>IF(AND(B2057&lt;=NKC!$N$8,B2057&gt;=NKC!$M$8),"x","")</f>
        <v/>
      </c>
    </row>
    <row r="2058" spans="1:25" s="208" customFormat="1" ht="15.75" customHeight="1">
      <c r="A2058" s="201" t="str">
        <f>IF(B2058&lt;&gt;"",IF(AND(B2058&gt;=_TM1,B2058&lt;=_TM2,OR(TH!L2058="1111",TH!M2058="1111")),TH!D2058,""),"")</f>
        <v/>
      </c>
      <c r="B2058" s="36">
        <f t="shared" si="97"/>
        <v>11</v>
      </c>
      <c r="C2058" s="188">
        <f t="shared" si="99"/>
        <v>41606</v>
      </c>
      <c r="D2058" s="37" t="s">
        <v>457</v>
      </c>
      <c r="E2058" s="37">
        <v>41606</v>
      </c>
      <c r="F2058" s="40" t="s">
        <v>814</v>
      </c>
      <c r="G2058" s="40" t="s">
        <v>627</v>
      </c>
      <c r="H2058" s="7" t="s">
        <v>1258</v>
      </c>
      <c r="I2058" s="249">
        <v>220</v>
      </c>
      <c r="J2058" s="249">
        <v>18398.035646638145</v>
      </c>
      <c r="K2058" s="595">
        <f t="shared" si="98"/>
        <v>4047568</v>
      </c>
      <c r="L2058" s="39" t="s">
        <v>170</v>
      </c>
      <c r="M2058" s="39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IF(OR(TH!L2058=TH!$U$7,M2058=TH!$U$7),"x","")</f>
        <v/>
      </c>
      <c r="V2058" s="52" t="str">
        <f>IF(AND(B2058&gt;='IN-NX'!$P$3,B2058&lt;='IN-NX'!$Q$3,'IN-NX'!$D$7=D2058,OR(LEFT(L2058,2)="15",AND(LEFT(M2058,2)&lt;&gt;"15",LEFT(M2058,2)&lt;&gt;"33"))),"x","")</f>
        <v/>
      </c>
      <c r="W2058" s="52" t="str">
        <f>IF(AND(OR(LEFT(TH!L2058,2)="15",LEFT(TH!M2058,2)="15"),'152-CT'!$J$8=TH!F2058),"x","")</f>
        <v/>
      </c>
      <c r="X2058" s="52" t="str">
        <f>IF(AND(OR(LEFT(TH!L2058,2)="15",LEFT(TH!M2058,2)="15"),TK!$E$7=TH!F2058),"x","")</f>
        <v/>
      </c>
      <c r="Y2058" s="52" t="str">
        <f>IF(AND(B2058&lt;=NKC!$N$8,B2058&gt;=NKC!$M$8),"x","")</f>
        <v/>
      </c>
    </row>
    <row r="2059" spans="1:25" s="208" customFormat="1" ht="15.75" customHeight="1">
      <c r="A2059" s="201" t="str">
        <f>IF(B2059&lt;&gt;"",IF(AND(B2059&gt;=_TM1,B2059&lt;=_TM2,OR(TH!L2059="1111",TH!M2059="1111")),TH!D2059,""),"")</f>
        <v/>
      </c>
      <c r="B2059" s="36">
        <f t="shared" si="97"/>
        <v>11</v>
      </c>
      <c r="C2059" s="188">
        <f t="shared" si="99"/>
        <v>41608</v>
      </c>
      <c r="D2059" s="37" t="s">
        <v>457</v>
      </c>
      <c r="E2059" s="37">
        <v>41608</v>
      </c>
      <c r="F2059" s="40" t="s">
        <v>977</v>
      </c>
      <c r="G2059" s="40" t="s">
        <v>994</v>
      </c>
      <c r="H2059" s="7" t="s">
        <v>1258</v>
      </c>
      <c r="I2059" s="249">
        <v>200</v>
      </c>
      <c r="J2059" s="249">
        <v>12655.490192092691</v>
      </c>
      <c r="K2059" s="595">
        <f t="shared" si="98"/>
        <v>2531098</v>
      </c>
      <c r="L2059" s="39" t="s">
        <v>170</v>
      </c>
      <c r="M2059" s="39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IF(OR(TH!L2059=TH!$U$7,M2059=TH!$U$7),"x","")</f>
        <v/>
      </c>
      <c r="V2059" s="52" t="str">
        <f>IF(AND(B2059&gt;='IN-NX'!$P$3,B2059&lt;='IN-NX'!$Q$3,'IN-NX'!$D$7=D2059,OR(LEFT(L2059,2)="15",AND(LEFT(M2059,2)&lt;&gt;"15",LEFT(M2059,2)&lt;&gt;"33"))),"x","")</f>
        <v/>
      </c>
      <c r="W2059" s="52" t="str">
        <f>IF(AND(OR(LEFT(TH!L2059,2)="15",LEFT(TH!M2059,2)="15"),'152-CT'!$J$8=TH!F2059),"x","")</f>
        <v/>
      </c>
      <c r="X2059" s="52" t="str">
        <f>IF(AND(OR(LEFT(TH!L2059,2)="15",LEFT(TH!M2059,2)="15"),TK!$E$7=TH!F2059),"x","")</f>
        <v/>
      </c>
      <c r="Y2059" s="52" t="str">
        <f>IF(AND(B2059&lt;=NKC!$N$8,B2059&gt;=NKC!$M$8),"x","")</f>
        <v/>
      </c>
    </row>
    <row r="2060" spans="1:25" s="208" customFormat="1" ht="15.75" customHeight="1">
      <c r="A2060" s="201" t="str">
        <f>IF(B2060&lt;&gt;"",IF(AND(B2060&gt;=_TM1,B2060&lt;=_TM2,OR(TH!L2060="1111",TH!M2060="1111")),TH!D2060,""),"")</f>
        <v/>
      </c>
      <c r="B2060" s="36">
        <f t="shared" si="97"/>
        <v>11</v>
      </c>
      <c r="C2060" s="188">
        <f t="shared" si="99"/>
        <v>41608</v>
      </c>
      <c r="D2060" s="37" t="s">
        <v>457</v>
      </c>
      <c r="E2060" s="181">
        <v>41608</v>
      </c>
      <c r="F2060" s="186" t="s">
        <v>976</v>
      </c>
      <c r="G2060" s="597" t="s">
        <v>994</v>
      </c>
      <c r="H2060" s="7" t="s">
        <v>1258</v>
      </c>
      <c r="I2060" s="249">
        <v>150</v>
      </c>
      <c r="J2060" s="249">
        <v>13549.490192092693</v>
      </c>
      <c r="K2060" s="595">
        <f t="shared" si="98"/>
        <v>2032424</v>
      </c>
      <c r="L2060" s="39" t="s">
        <v>170</v>
      </c>
      <c r="M2060" s="39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IF(OR(TH!L2060=TH!$U$7,M2060=TH!$U$7),"x","")</f>
        <v/>
      </c>
      <c r="V2060" s="52" t="str">
        <f>IF(AND(B2060&gt;='IN-NX'!$P$3,B2060&lt;='IN-NX'!$Q$3,'IN-NX'!$D$7=D2060,OR(LEFT(L2060,2)="15",AND(LEFT(M2060,2)&lt;&gt;"15",LEFT(M2060,2)&lt;&gt;"33"))),"x","")</f>
        <v/>
      </c>
      <c r="W2060" s="52" t="str">
        <f>IF(AND(OR(LEFT(TH!L2060,2)="15",LEFT(TH!M2060,2)="15"),'152-CT'!$J$8=TH!F2060),"x","")</f>
        <v/>
      </c>
      <c r="X2060" s="52" t="str">
        <f>IF(AND(OR(LEFT(TH!L2060,2)="15",LEFT(TH!M2060,2)="15"),TK!$E$7=TH!F2060),"x","")</f>
        <v/>
      </c>
      <c r="Y2060" s="52" t="str">
        <f>IF(AND(B2060&lt;=NKC!$N$8,B2060&gt;=NKC!$M$8),"x","")</f>
        <v/>
      </c>
    </row>
    <row r="2061" spans="1:25" s="208" customFormat="1" ht="15.75" customHeight="1">
      <c r="A2061" s="201" t="str">
        <f>IF(B2061&lt;&gt;"",IF(AND(B2061&gt;=_TM1,B2061&lt;=_TM2,OR(TH!L2061="1111",TH!M2061="1111")),TH!D2061,""),"")</f>
        <v/>
      </c>
      <c r="B2061" s="36">
        <f t="shared" si="97"/>
        <v>11</v>
      </c>
      <c r="C2061" s="188">
        <f t="shared" si="99"/>
        <v>41608</v>
      </c>
      <c r="D2061" s="37" t="s">
        <v>457</v>
      </c>
      <c r="E2061" s="188">
        <v>41608</v>
      </c>
      <c r="F2061" s="189" t="s">
        <v>973</v>
      </c>
      <c r="G2061" s="480" t="s">
        <v>994</v>
      </c>
      <c r="H2061" s="7" t="s">
        <v>1258</v>
      </c>
      <c r="I2061" s="249">
        <v>100</v>
      </c>
      <c r="J2061" s="249">
        <v>8923.4901920926914</v>
      </c>
      <c r="K2061" s="595">
        <f t="shared" si="98"/>
        <v>892349</v>
      </c>
      <c r="L2061" s="39" t="s">
        <v>170</v>
      </c>
      <c r="M2061" s="39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IF(OR(TH!L2061=TH!$U$7,M2061=TH!$U$7),"x","")</f>
        <v/>
      </c>
      <c r="V2061" s="52" t="str">
        <f>IF(AND(B2061&gt;='IN-NX'!$P$3,B2061&lt;='IN-NX'!$Q$3,'IN-NX'!$D$7=D2061,OR(LEFT(L2061,2)="15",AND(LEFT(M2061,2)&lt;&gt;"15",LEFT(M2061,2)&lt;&gt;"33"))),"x","")</f>
        <v/>
      </c>
      <c r="W2061" s="52" t="str">
        <f>IF(AND(OR(LEFT(TH!L2061,2)="15",LEFT(TH!M2061,2)="15"),'152-CT'!$J$8=TH!F2061),"x","")</f>
        <v/>
      </c>
      <c r="X2061" s="52" t="str">
        <f>IF(AND(OR(LEFT(TH!L2061,2)="15",LEFT(TH!M2061,2)="15"),TK!$E$7=TH!F2061),"x","")</f>
        <v/>
      </c>
      <c r="Y2061" s="52" t="str">
        <f>IF(AND(B2061&lt;=NKC!$N$8,B2061&gt;=NKC!$M$8),"x","")</f>
        <v/>
      </c>
    </row>
    <row r="2062" spans="1:25" s="208" customFormat="1" ht="15.75" customHeight="1">
      <c r="A2062" s="201" t="str">
        <f>IF(B2062&lt;&gt;"",IF(AND(B2062&gt;=_TM1,B2062&lt;=_TM2,OR(TH!L2062="1111",TH!M2062="1111")),TH!D2062,""),"")</f>
        <v/>
      </c>
      <c r="B2062" s="36">
        <f t="shared" si="97"/>
        <v>11</v>
      </c>
      <c r="C2062" s="188">
        <f t="shared" si="99"/>
        <v>41608</v>
      </c>
      <c r="D2062" s="37" t="s">
        <v>457</v>
      </c>
      <c r="E2062" s="188">
        <v>41608</v>
      </c>
      <c r="F2062" s="189" t="s">
        <v>995</v>
      </c>
      <c r="G2062" s="480" t="s">
        <v>996</v>
      </c>
      <c r="H2062" s="7" t="s">
        <v>1258</v>
      </c>
      <c r="I2062" s="249">
        <v>1236</v>
      </c>
      <c r="J2062" s="249">
        <v>16943.49019209269</v>
      </c>
      <c r="K2062" s="595">
        <f t="shared" si="98"/>
        <v>20942154</v>
      </c>
      <c r="L2062" s="39" t="s">
        <v>170</v>
      </c>
      <c r="M2062" s="39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IF(OR(TH!L2062=TH!$U$7,M2062=TH!$U$7),"x","")</f>
        <v/>
      </c>
      <c r="V2062" s="52" t="str">
        <f>IF(AND(B2062&gt;='IN-NX'!$P$3,B2062&lt;='IN-NX'!$Q$3,'IN-NX'!$D$7=D2062,OR(LEFT(L2062,2)="15",AND(LEFT(M2062,2)&lt;&gt;"15",LEFT(M2062,2)&lt;&gt;"33"))),"x","")</f>
        <v/>
      </c>
      <c r="W2062" s="52" t="str">
        <f>IF(AND(OR(LEFT(TH!L2062,2)="15",LEFT(TH!M2062,2)="15"),'152-CT'!$J$8=TH!F2062),"x","")</f>
        <v/>
      </c>
      <c r="X2062" s="52" t="str">
        <f>IF(AND(OR(LEFT(TH!L2062,2)="15",LEFT(TH!M2062,2)="15"),TK!$E$7=TH!F2062),"x","")</f>
        <v/>
      </c>
      <c r="Y2062" s="52" t="str">
        <f>IF(AND(B2062&lt;=NKC!$N$8,B2062&gt;=NKC!$M$8),"x","")</f>
        <v/>
      </c>
    </row>
    <row r="2063" spans="1:25" s="208" customFormat="1" ht="15.75" customHeight="1">
      <c r="A2063" s="201" t="str">
        <f>IF(B2063&lt;&gt;"",IF(AND(B2063&gt;=_TM1,B2063&lt;=_TM2,OR(TH!L2063="1111",TH!M2063="1111")),TH!D2063,""),"")</f>
        <v/>
      </c>
      <c r="B2063" s="36">
        <f t="shared" si="97"/>
        <v>12</v>
      </c>
      <c r="C2063" s="188">
        <f t="shared" si="99"/>
        <v>41612</v>
      </c>
      <c r="D2063" s="37" t="s">
        <v>457</v>
      </c>
      <c r="E2063" s="188">
        <v>41612</v>
      </c>
      <c r="F2063" s="189" t="s">
        <v>805</v>
      </c>
      <c r="G2063" s="480" t="s">
        <v>997</v>
      </c>
      <c r="H2063" s="7" t="s">
        <v>1258</v>
      </c>
      <c r="I2063" s="249">
        <v>500</v>
      </c>
      <c r="J2063" s="249">
        <v>9589.0101920926918</v>
      </c>
      <c r="K2063" s="595">
        <f t="shared" si="98"/>
        <v>4794505</v>
      </c>
      <c r="L2063" s="39" t="s">
        <v>170</v>
      </c>
      <c r="M2063" s="39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IF(OR(TH!L2063=TH!$U$7,M2063=TH!$U$7),"x","")</f>
        <v/>
      </c>
      <c r="V2063" s="52" t="str">
        <f>IF(AND(B2063&gt;='IN-NX'!$P$3,B2063&lt;='IN-NX'!$Q$3,'IN-NX'!$D$7=D2063,OR(LEFT(L2063,2)="15",AND(LEFT(M2063,2)&lt;&gt;"15",LEFT(M2063,2)&lt;&gt;"33"))),"x","")</f>
        <v/>
      </c>
      <c r="W2063" s="52" t="str">
        <f>IF(AND(OR(LEFT(TH!L2063,2)="15",LEFT(TH!M2063,2)="15"),'152-CT'!$J$8=TH!F2063),"x","")</f>
        <v/>
      </c>
      <c r="X2063" s="52" t="str">
        <f>IF(AND(OR(LEFT(TH!L2063,2)="15",LEFT(TH!M2063,2)="15"),TK!$E$7=TH!F2063),"x","")</f>
        <v/>
      </c>
      <c r="Y2063" s="52" t="str">
        <f>IF(AND(B2063&lt;=NKC!$N$8,B2063&gt;=NKC!$M$8),"x","")</f>
        <v/>
      </c>
    </row>
    <row r="2064" spans="1:25" s="208" customFormat="1" ht="15.75" customHeight="1">
      <c r="A2064" s="201" t="str">
        <f>IF(B2064&lt;&gt;"",IF(AND(B2064&gt;=_TM1,B2064&lt;=_TM2,OR(TH!L2064="1111",TH!M2064="1111")),TH!D2064,""),"")</f>
        <v/>
      </c>
      <c r="B2064" s="36">
        <f t="shared" si="97"/>
        <v>12</v>
      </c>
      <c r="C2064" s="188">
        <f t="shared" si="99"/>
        <v>41612</v>
      </c>
      <c r="D2064" s="37" t="s">
        <v>457</v>
      </c>
      <c r="E2064" s="188">
        <v>41612</v>
      </c>
      <c r="F2064" s="189" t="s">
        <v>805</v>
      </c>
      <c r="G2064" s="480" t="s">
        <v>997</v>
      </c>
      <c r="H2064" s="7" t="s">
        <v>1258</v>
      </c>
      <c r="I2064" s="249">
        <v>500</v>
      </c>
      <c r="J2064" s="249">
        <v>9294.7401920926932</v>
      </c>
      <c r="K2064" s="595">
        <f t="shared" si="98"/>
        <v>4647370</v>
      </c>
      <c r="L2064" s="39" t="s">
        <v>170</v>
      </c>
      <c r="M2064" s="39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IF(OR(TH!L2064=TH!$U$7,M2064=TH!$U$7),"x","")</f>
        <v/>
      </c>
      <c r="V2064" s="52" t="str">
        <f>IF(AND(B2064&gt;='IN-NX'!$P$3,B2064&lt;='IN-NX'!$Q$3,'IN-NX'!$D$7=D2064,OR(LEFT(L2064,2)="15",AND(LEFT(M2064,2)&lt;&gt;"15",LEFT(M2064,2)&lt;&gt;"33"))),"x","")</f>
        <v/>
      </c>
      <c r="W2064" s="52" t="str">
        <f>IF(AND(OR(LEFT(TH!L2064,2)="15",LEFT(TH!M2064,2)="15"),'152-CT'!$J$8=TH!F2064),"x","")</f>
        <v/>
      </c>
      <c r="X2064" s="52" t="str">
        <f>IF(AND(OR(LEFT(TH!L2064,2)="15",LEFT(TH!M2064,2)="15"),TK!$E$7=TH!F2064),"x","")</f>
        <v/>
      </c>
      <c r="Y2064" s="52" t="str">
        <f>IF(AND(B2064&lt;=NKC!$N$8,B2064&gt;=NKC!$M$8),"x","")</f>
        <v/>
      </c>
    </row>
    <row r="2065" spans="1:25" s="208" customFormat="1" ht="15.75" customHeight="1">
      <c r="A2065" s="201" t="str">
        <f>IF(B2065&lt;&gt;"",IF(AND(B2065&gt;=_TM1,B2065&lt;=_TM2,OR(TH!L2065="1111",TH!M2065="1111")),TH!D2065,""),"")</f>
        <v/>
      </c>
      <c r="B2065" s="36">
        <f t="shared" si="97"/>
        <v>12</v>
      </c>
      <c r="C2065" s="188">
        <f t="shared" si="99"/>
        <v>41613</v>
      </c>
      <c r="D2065" s="37" t="s">
        <v>457</v>
      </c>
      <c r="E2065" s="188">
        <v>41613</v>
      </c>
      <c r="F2065" s="189" t="s">
        <v>852</v>
      </c>
      <c r="G2065" s="480" t="s">
        <v>998</v>
      </c>
      <c r="H2065" s="7" t="s">
        <v>1258</v>
      </c>
      <c r="I2065" s="249">
        <v>202</v>
      </c>
      <c r="J2065" s="249">
        <v>7803.8862316966515</v>
      </c>
      <c r="K2065" s="595">
        <f t="shared" si="98"/>
        <v>1576385</v>
      </c>
      <c r="L2065" s="39" t="s">
        <v>170</v>
      </c>
      <c r="M2065" s="39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IF(OR(TH!L2065=TH!$U$7,M2065=TH!$U$7),"x","")</f>
        <v/>
      </c>
      <c r="V2065" s="52" t="str">
        <f>IF(AND(B2065&gt;='IN-NX'!$P$3,B2065&lt;='IN-NX'!$Q$3,'IN-NX'!$D$7=D2065,OR(LEFT(L2065,2)="15",AND(LEFT(M2065,2)&lt;&gt;"15",LEFT(M2065,2)&lt;&gt;"33"))),"x","")</f>
        <v/>
      </c>
      <c r="W2065" s="52" t="str">
        <f>IF(AND(OR(LEFT(TH!L2065,2)="15",LEFT(TH!M2065,2)="15"),'152-CT'!$J$8=TH!F2065),"x","")</f>
        <v/>
      </c>
      <c r="X2065" s="52" t="str">
        <f>IF(AND(OR(LEFT(TH!L2065,2)="15",LEFT(TH!M2065,2)="15"),TK!$E$7=TH!F2065),"x","")</f>
        <v/>
      </c>
      <c r="Y2065" s="52" t="str">
        <f>IF(AND(B2065&lt;=NKC!$N$8,B2065&gt;=NKC!$M$8),"x","")</f>
        <v/>
      </c>
    </row>
    <row r="2066" spans="1:25" s="208" customFormat="1" ht="15.75" customHeight="1">
      <c r="A2066" s="201" t="str">
        <f>IF(B2066&lt;&gt;"",IF(AND(B2066&gt;=_TM1,B2066&lt;=_TM2,OR(TH!L2066="1111",TH!M2066="1111")),TH!D2066,""),"")</f>
        <v/>
      </c>
      <c r="B2066" s="36">
        <f t="shared" si="97"/>
        <v>12</v>
      </c>
      <c r="C2066" s="188">
        <f t="shared" si="99"/>
        <v>41613</v>
      </c>
      <c r="D2066" s="37" t="s">
        <v>457</v>
      </c>
      <c r="E2066" s="188">
        <v>41613</v>
      </c>
      <c r="F2066" s="189" t="s">
        <v>810</v>
      </c>
      <c r="G2066" s="480" t="s">
        <v>998</v>
      </c>
      <c r="H2066" s="7" t="s">
        <v>1258</v>
      </c>
      <c r="I2066" s="249">
        <v>85</v>
      </c>
      <c r="J2066" s="249">
        <v>10186.431368563282</v>
      </c>
      <c r="K2066" s="595">
        <f t="shared" si="98"/>
        <v>865847</v>
      </c>
      <c r="L2066" s="39" t="s">
        <v>170</v>
      </c>
      <c r="M2066" s="39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IF(OR(TH!L2066=TH!$U$7,M2066=TH!$U$7),"x","")</f>
        <v/>
      </c>
      <c r="V2066" s="52" t="str">
        <f>IF(AND(B2066&gt;='IN-NX'!$P$3,B2066&lt;='IN-NX'!$Q$3,'IN-NX'!$D$7=D2066,OR(LEFT(L2066,2)="15",AND(LEFT(M2066,2)&lt;&gt;"15",LEFT(M2066,2)&lt;&gt;"33"))),"x","")</f>
        <v/>
      </c>
      <c r="W2066" s="52" t="str">
        <f>IF(AND(OR(LEFT(TH!L2066,2)="15",LEFT(TH!M2066,2)="15"),'152-CT'!$J$8=TH!F2066),"x","")</f>
        <v/>
      </c>
      <c r="X2066" s="52" t="str">
        <f>IF(AND(OR(LEFT(TH!L2066,2)="15",LEFT(TH!M2066,2)="15"),TK!$E$7=TH!F2066),"x","")</f>
        <v/>
      </c>
      <c r="Y2066" s="52" t="str">
        <f>IF(AND(B2066&lt;=NKC!$N$8,B2066&gt;=NKC!$M$8),"x","")</f>
        <v/>
      </c>
    </row>
    <row r="2067" spans="1:25" s="208" customFormat="1" ht="15.75" customHeight="1">
      <c r="A2067" s="201" t="str">
        <f>IF(B2067&lt;&gt;"",IF(AND(B2067&gt;=_TM1,B2067&lt;=_TM2,OR(TH!L2067="1111",TH!M2067="1111")),TH!D2067,""),"")</f>
        <v/>
      </c>
      <c r="B2067" s="36">
        <f t="shared" si="97"/>
        <v>12</v>
      </c>
      <c r="C2067" s="188">
        <f t="shared" si="99"/>
        <v>41615</v>
      </c>
      <c r="D2067" s="37" t="s">
        <v>457</v>
      </c>
      <c r="E2067" s="188">
        <v>41615</v>
      </c>
      <c r="F2067" s="189" t="s">
        <v>1116</v>
      </c>
      <c r="G2067" s="480" t="s">
        <v>629</v>
      </c>
      <c r="H2067" s="7" t="s">
        <v>1258</v>
      </c>
      <c r="I2067" s="249">
        <v>2700</v>
      </c>
      <c r="J2067" s="249">
        <v>4107.8987106112108</v>
      </c>
      <c r="K2067" s="595">
        <f t="shared" si="98"/>
        <v>11091327</v>
      </c>
      <c r="L2067" s="39" t="s">
        <v>170</v>
      </c>
      <c r="M2067" s="39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IF(OR(TH!L2067=TH!$U$7,M2067=TH!$U$7),"x","")</f>
        <v/>
      </c>
      <c r="V2067" s="52" t="str">
        <f>IF(AND(B2067&gt;='IN-NX'!$P$3,B2067&lt;='IN-NX'!$Q$3,'IN-NX'!$D$7=D2067,OR(LEFT(L2067,2)="15",AND(LEFT(M2067,2)&lt;&gt;"15",LEFT(M2067,2)&lt;&gt;"33"))),"x","")</f>
        <v/>
      </c>
      <c r="W2067" s="52" t="str">
        <f>IF(AND(OR(LEFT(TH!L2067,2)="15",LEFT(TH!M2067,2)="15"),'152-CT'!$J$8=TH!F2067),"x","")</f>
        <v/>
      </c>
      <c r="X2067" s="52" t="str">
        <f>IF(AND(OR(LEFT(TH!L2067,2)="15",LEFT(TH!M2067,2)="15"),TK!$E$7=TH!F2067),"x","")</f>
        <v/>
      </c>
      <c r="Y2067" s="52" t="str">
        <f>IF(AND(B2067&lt;=NKC!$N$8,B2067&gt;=NKC!$M$8),"x","")</f>
        <v/>
      </c>
    </row>
    <row r="2068" spans="1:25" s="208" customFormat="1" ht="15.75" customHeight="1">
      <c r="A2068" s="201" t="str">
        <f>IF(B2068&lt;&gt;"",IF(AND(B2068&gt;=_TM1,B2068&lt;=_TM2,OR(TH!L2068="1111",TH!M2068="1111")),TH!D2068,""),"")</f>
        <v/>
      </c>
      <c r="B2068" s="36">
        <f t="shared" si="97"/>
        <v>12</v>
      </c>
      <c r="C2068" s="188">
        <f t="shared" si="99"/>
        <v>41620</v>
      </c>
      <c r="D2068" s="37" t="s">
        <v>457</v>
      </c>
      <c r="E2068" s="188">
        <v>41620</v>
      </c>
      <c r="F2068" s="189" t="s">
        <v>1108</v>
      </c>
      <c r="G2068" s="480" t="s">
        <v>999</v>
      </c>
      <c r="H2068" s="7" t="s">
        <v>1258</v>
      </c>
      <c r="I2068" s="249">
        <v>1055</v>
      </c>
      <c r="J2068" s="249">
        <v>4265.8010925666258</v>
      </c>
      <c r="K2068" s="595">
        <f t="shared" si="98"/>
        <v>4500420</v>
      </c>
      <c r="L2068" s="39" t="s">
        <v>170</v>
      </c>
      <c r="M2068" s="39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IF(OR(TH!L2068=TH!$U$7,M2068=TH!$U$7),"x","")</f>
        <v/>
      </c>
      <c r="V2068" s="52" t="str">
        <f>IF(AND(B2068&gt;='IN-NX'!$P$3,B2068&lt;='IN-NX'!$Q$3,'IN-NX'!$D$7=D2068,OR(LEFT(L2068,2)="15",AND(LEFT(M2068,2)&lt;&gt;"15",LEFT(M2068,2)&lt;&gt;"33"))),"x","")</f>
        <v/>
      </c>
      <c r="W2068" s="52" t="str">
        <f>IF(AND(OR(LEFT(TH!L2068,2)="15",LEFT(TH!M2068,2)="15"),'152-CT'!$J$8=TH!F2068),"x","")</f>
        <v/>
      </c>
      <c r="X2068" s="52" t="str">
        <f>IF(AND(OR(LEFT(TH!L2068,2)="15",LEFT(TH!M2068,2)="15"),TK!$E$7=TH!F2068),"x","")</f>
        <v/>
      </c>
      <c r="Y2068" s="52" t="str">
        <f>IF(AND(B2068&lt;=NKC!$N$8,B2068&gt;=NKC!$M$8),"x","")</f>
        <v/>
      </c>
    </row>
    <row r="2069" spans="1:25" s="208" customFormat="1" ht="15.75" customHeight="1">
      <c r="A2069" s="201" t="str">
        <f>IF(B2069&lt;&gt;"",IF(AND(B2069&gt;=_TM1,B2069&lt;=_TM2,OR(TH!L2069="1111",TH!M2069="1111")),TH!D2069,""),"")</f>
        <v/>
      </c>
      <c r="B2069" s="36">
        <f t="shared" si="97"/>
        <v>12</v>
      </c>
      <c r="C2069" s="188">
        <f t="shared" si="99"/>
        <v>41622</v>
      </c>
      <c r="D2069" s="37" t="s">
        <v>457</v>
      </c>
      <c r="E2069" s="188">
        <v>41622</v>
      </c>
      <c r="F2069" s="189" t="s">
        <v>1118</v>
      </c>
      <c r="G2069" s="480" t="s">
        <v>1000</v>
      </c>
      <c r="H2069" s="7" t="s">
        <v>1258</v>
      </c>
      <c r="I2069" s="249">
        <v>2700</v>
      </c>
      <c r="J2069" s="249">
        <v>4107.8983402408403</v>
      </c>
      <c r="K2069" s="595">
        <f t="shared" si="98"/>
        <v>11091326</v>
      </c>
      <c r="L2069" s="39" t="s">
        <v>170</v>
      </c>
      <c r="M2069" s="39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IF(OR(TH!L2069=TH!$U$7,M2069=TH!$U$7),"x","")</f>
        <v/>
      </c>
      <c r="V2069" s="52" t="str">
        <f>IF(AND(B2069&gt;='IN-NX'!$P$3,B2069&lt;='IN-NX'!$Q$3,'IN-NX'!$D$7=D2069,OR(LEFT(L2069,2)="15",AND(LEFT(M2069,2)&lt;&gt;"15",LEFT(M2069,2)&lt;&gt;"33"))),"x","")</f>
        <v/>
      </c>
      <c r="W2069" s="52" t="str">
        <f>IF(AND(OR(LEFT(TH!L2069,2)="15",LEFT(TH!M2069,2)="15"),'152-CT'!$J$8=TH!F2069),"x","")</f>
        <v/>
      </c>
      <c r="X2069" s="52" t="str">
        <f>IF(AND(OR(LEFT(TH!L2069,2)="15",LEFT(TH!M2069,2)="15"),TK!$E$7=TH!F2069),"x","")</f>
        <v/>
      </c>
      <c r="Y2069" s="52" t="str">
        <f>IF(AND(B2069&lt;=NKC!$N$8,B2069&gt;=NKC!$M$8),"x","")</f>
        <v/>
      </c>
    </row>
    <row r="2070" spans="1:25" s="208" customFormat="1" ht="15.75" customHeight="1">
      <c r="A2070" s="201" t="str">
        <f>IF(B2070&lt;&gt;"",IF(AND(B2070&gt;=_TM1,B2070&lt;=_TM2,OR(TH!L2070="1111",TH!M2070="1111")),TH!D2070,""),"")</f>
        <v/>
      </c>
      <c r="B2070" s="36">
        <f t="shared" ref="B2070:B2087" si="100">IF(C2070&lt;&gt;"",MONTH(C2070),"")</f>
        <v>12</v>
      </c>
      <c r="C2070" s="188">
        <f t="shared" si="99"/>
        <v>41624</v>
      </c>
      <c r="D2070" s="37" t="s">
        <v>457</v>
      </c>
      <c r="E2070" s="188">
        <v>41624</v>
      </c>
      <c r="F2070" s="189" t="s">
        <v>805</v>
      </c>
      <c r="G2070" s="480" t="s">
        <v>1001</v>
      </c>
      <c r="H2070" s="7" t="s">
        <v>1258</v>
      </c>
      <c r="I2070" s="249">
        <v>1030</v>
      </c>
      <c r="J2070" s="249">
        <v>10898.519318306286</v>
      </c>
      <c r="K2070" s="595">
        <f t="shared" si="98"/>
        <v>11225475</v>
      </c>
      <c r="L2070" s="39" t="s">
        <v>170</v>
      </c>
      <c r="M2070" s="39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IF(OR(TH!L2070=TH!$U$7,M2070=TH!$U$7),"x","")</f>
        <v/>
      </c>
      <c r="V2070" s="52" t="str">
        <f>IF(AND(B2070&gt;='IN-NX'!$P$3,B2070&lt;='IN-NX'!$Q$3,'IN-NX'!$D$7=D2070,OR(LEFT(L2070,2)="15",AND(LEFT(M2070,2)&lt;&gt;"15",LEFT(M2070,2)&lt;&gt;"33"))),"x","")</f>
        <v/>
      </c>
      <c r="W2070" s="52" t="str">
        <f>IF(AND(OR(LEFT(TH!L2070,2)="15",LEFT(TH!M2070,2)="15"),'152-CT'!$J$8=TH!F2070),"x","")</f>
        <v/>
      </c>
      <c r="X2070" s="52" t="str">
        <f>IF(AND(OR(LEFT(TH!L2070,2)="15",LEFT(TH!M2070,2)="15"),TK!$E$7=TH!F2070),"x","")</f>
        <v/>
      </c>
      <c r="Y2070" s="52" t="str">
        <f>IF(AND(B2070&lt;=NKC!$N$8,B2070&gt;=NKC!$M$8),"x","")</f>
        <v/>
      </c>
    </row>
    <row r="2071" spans="1:25" s="208" customFormat="1" ht="15.75" customHeight="1">
      <c r="A2071" s="201" t="str">
        <f>IF(B2071&lt;&gt;"",IF(AND(B2071&gt;=_TM1,B2071&lt;=_TM2,OR(TH!L2071="1111",TH!M2071="1111")),TH!D2071,""),"")</f>
        <v/>
      </c>
      <c r="B2071" s="36">
        <f t="shared" si="100"/>
        <v>12</v>
      </c>
      <c r="C2071" s="188">
        <f t="shared" si="99"/>
        <v>41625</v>
      </c>
      <c r="D2071" s="37" t="s">
        <v>457</v>
      </c>
      <c r="E2071" s="188">
        <v>41625</v>
      </c>
      <c r="F2071" s="189" t="s">
        <v>1118</v>
      </c>
      <c r="G2071" s="480" t="s">
        <v>1002</v>
      </c>
      <c r="H2071" s="7" t="s">
        <v>1258</v>
      </c>
      <c r="I2071" s="249">
        <v>2700</v>
      </c>
      <c r="J2071" s="249">
        <v>3610.1568587593597</v>
      </c>
      <c r="K2071" s="595">
        <f t="shared" si="98"/>
        <v>9747424</v>
      </c>
      <c r="L2071" s="39" t="s">
        <v>170</v>
      </c>
      <c r="M2071" s="39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IF(OR(TH!L2071=TH!$U$7,M2071=TH!$U$7),"x","")</f>
        <v/>
      </c>
      <c r="V2071" s="52" t="str">
        <f>IF(AND(B2071&gt;='IN-NX'!$P$3,B2071&lt;='IN-NX'!$Q$3,'IN-NX'!$D$7=D2071,OR(LEFT(L2071,2)="15",AND(LEFT(M2071,2)&lt;&gt;"15",LEFT(M2071,2)&lt;&gt;"33"))),"x","")</f>
        <v/>
      </c>
      <c r="W2071" s="52" t="str">
        <f>IF(AND(OR(LEFT(TH!L2071,2)="15",LEFT(TH!M2071,2)="15"),'152-CT'!$J$8=TH!F2071),"x","")</f>
        <v/>
      </c>
      <c r="X2071" s="52" t="str">
        <f>IF(AND(OR(LEFT(TH!L2071,2)="15",LEFT(TH!M2071,2)="15"),TK!$E$7=TH!F2071),"x","")</f>
        <v/>
      </c>
      <c r="Y2071" s="52" t="str">
        <f>IF(AND(B2071&lt;=NKC!$N$8,B2071&gt;=NKC!$M$8),"x","")</f>
        <v/>
      </c>
    </row>
    <row r="2072" spans="1:25" s="208" customFormat="1" ht="15.75" customHeight="1">
      <c r="A2072" s="201" t="str">
        <f>IF(B2072&lt;&gt;"",IF(AND(B2072&gt;=_TM1,B2072&lt;=_TM2,OR(TH!L2072="1111",TH!M2072="1111")),TH!D2072,""),"")</f>
        <v/>
      </c>
      <c r="B2072" s="36">
        <f t="shared" si="100"/>
        <v>12</v>
      </c>
      <c r="C2072" s="188">
        <f t="shared" si="99"/>
        <v>41626</v>
      </c>
      <c r="D2072" s="37" t="s">
        <v>457</v>
      </c>
      <c r="E2072" s="188">
        <v>41626</v>
      </c>
      <c r="F2072" s="189" t="s">
        <v>805</v>
      </c>
      <c r="G2072" s="480" t="s">
        <v>1003</v>
      </c>
      <c r="H2072" s="7" t="s">
        <v>1258</v>
      </c>
      <c r="I2072" s="249">
        <v>505</v>
      </c>
      <c r="J2072" s="249">
        <v>9212.0545485283365</v>
      </c>
      <c r="K2072" s="595">
        <f t="shared" si="98"/>
        <v>4652088</v>
      </c>
      <c r="L2072" s="39" t="s">
        <v>170</v>
      </c>
      <c r="M2072" s="39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IF(OR(TH!L2072=TH!$U$7,M2072=TH!$U$7),"x","")</f>
        <v/>
      </c>
      <c r="V2072" s="52" t="str">
        <f>IF(AND(B2072&gt;='IN-NX'!$P$3,B2072&lt;='IN-NX'!$Q$3,'IN-NX'!$D$7=D2072,OR(LEFT(L2072,2)="15",AND(LEFT(M2072,2)&lt;&gt;"15",LEFT(M2072,2)&lt;&gt;"33"))),"x","")</f>
        <v/>
      </c>
      <c r="W2072" s="52" t="str">
        <f>IF(AND(OR(LEFT(TH!L2072,2)="15",LEFT(TH!M2072,2)="15"),'152-CT'!$J$8=TH!F2072),"x","")</f>
        <v/>
      </c>
      <c r="X2072" s="52" t="str">
        <f>IF(AND(OR(LEFT(TH!L2072,2)="15",LEFT(TH!M2072,2)="15"),TK!$E$7=TH!F2072),"x","")</f>
        <v/>
      </c>
      <c r="Y2072" s="52" t="str">
        <f>IF(AND(B2072&lt;=NKC!$N$8,B2072&gt;=NKC!$M$8),"x","")</f>
        <v/>
      </c>
    </row>
    <row r="2073" spans="1:25" s="208" customFormat="1" ht="15.75" customHeight="1">
      <c r="A2073" s="201" t="str">
        <f>IF(B2073&lt;&gt;"",IF(AND(B2073&gt;=_TM1,B2073&lt;=_TM2,OR(TH!L2073="1111",TH!M2073="1111")),TH!D2073,""),"")</f>
        <v/>
      </c>
      <c r="B2073" s="36">
        <f t="shared" si="100"/>
        <v>12</v>
      </c>
      <c r="C2073" s="188">
        <f t="shared" si="99"/>
        <v>41628</v>
      </c>
      <c r="D2073" s="37" t="s">
        <v>457</v>
      </c>
      <c r="E2073" s="37">
        <v>41628</v>
      </c>
      <c r="F2073" s="40" t="s">
        <v>1097</v>
      </c>
      <c r="G2073" s="40" t="s">
        <v>1004</v>
      </c>
      <c r="H2073" s="7" t="s">
        <v>1258</v>
      </c>
      <c r="I2073" s="249">
        <v>259</v>
      </c>
      <c r="J2073" s="249">
        <v>7258.5481071506065</v>
      </c>
      <c r="K2073" s="595">
        <f t="shared" si="98"/>
        <v>1879964</v>
      </c>
      <c r="L2073" s="39" t="s">
        <v>170</v>
      </c>
      <c r="M2073" s="39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IF(OR(TH!L2073=TH!$U$7,M2073=TH!$U$7),"x","")</f>
        <v/>
      </c>
      <c r="V2073" s="52" t="str">
        <f>IF(AND(B2073&gt;='IN-NX'!$P$3,B2073&lt;='IN-NX'!$Q$3,'IN-NX'!$D$7=D2073,OR(LEFT(L2073,2)="15",AND(LEFT(M2073,2)&lt;&gt;"15",LEFT(M2073,2)&lt;&gt;"33"))),"x","")</f>
        <v/>
      </c>
      <c r="W2073" s="52" t="str">
        <f>IF(AND(OR(LEFT(TH!L2073,2)="15",LEFT(TH!M2073,2)="15"),'152-CT'!$J$8=TH!F2073),"x","")</f>
        <v/>
      </c>
      <c r="X2073" s="52" t="str">
        <f>IF(AND(OR(LEFT(TH!L2073,2)="15",LEFT(TH!M2073,2)="15"),TK!$E$7=TH!F2073),"x","")</f>
        <v/>
      </c>
      <c r="Y2073" s="52" t="str">
        <f>IF(AND(B2073&lt;=NKC!$N$8,B2073&gt;=NKC!$M$8),"x","")</f>
        <v/>
      </c>
    </row>
    <row r="2074" spans="1:25" s="208" customFormat="1" ht="15.75" customHeight="1">
      <c r="A2074" s="201" t="str">
        <f>IF(B2074&lt;&gt;"",IF(AND(B2074&gt;=_TM1,B2074&lt;=_TM2,OR(TH!L2074="1111",TH!M2074="1111")),TH!D2074,""),"")</f>
        <v/>
      </c>
      <c r="B2074" s="36">
        <f t="shared" si="100"/>
        <v>12</v>
      </c>
      <c r="C2074" s="188">
        <f t="shared" si="99"/>
        <v>41628</v>
      </c>
      <c r="D2074" s="37" t="s">
        <v>457</v>
      </c>
      <c r="E2074" s="37">
        <v>41628</v>
      </c>
      <c r="F2074" s="40" t="s">
        <v>1098</v>
      </c>
      <c r="G2074" s="40" t="s">
        <v>1004</v>
      </c>
      <c r="H2074" s="7" t="s">
        <v>1258</v>
      </c>
      <c r="I2074" s="249">
        <v>103</v>
      </c>
      <c r="J2074" s="249">
        <v>13836.383395976185</v>
      </c>
      <c r="K2074" s="595">
        <f t="shared" ref="K2074:K2087" si="101">ROUND(I2074*J2074,0)</f>
        <v>1425147</v>
      </c>
      <c r="L2074" s="39" t="s">
        <v>170</v>
      </c>
      <c r="M2074" s="39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IF(OR(TH!L2074=TH!$U$7,M2074=TH!$U$7),"x","")</f>
        <v/>
      </c>
      <c r="V2074" s="52" t="str">
        <f>IF(AND(B2074&gt;='IN-NX'!$P$3,B2074&lt;='IN-NX'!$Q$3,'IN-NX'!$D$7=D2074,OR(LEFT(L2074,2)="15",AND(LEFT(M2074,2)&lt;&gt;"15",LEFT(M2074,2)&lt;&gt;"33"))),"x","")</f>
        <v/>
      </c>
      <c r="W2074" s="52" t="str">
        <f>IF(AND(OR(LEFT(TH!L2074,2)="15",LEFT(TH!M2074,2)="15"),'152-CT'!$J$8=TH!F2074),"x","")</f>
        <v/>
      </c>
      <c r="X2074" s="52" t="str">
        <f>IF(AND(OR(LEFT(TH!L2074,2)="15",LEFT(TH!M2074,2)="15"),TK!$E$7=TH!F2074),"x","")</f>
        <v/>
      </c>
      <c r="Y2074" s="52" t="str">
        <f>IF(AND(B2074&lt;=NKC!$N$8,B2074&gt;=NKC!$M$8),"x","")</f>
        <v/>
      </c>
    </row>
    <row r="2075" spans="1:25" s="208" customFormat="1" ht="15.75" customHeight="1">
      <c r="A2075" s="201" t="str">
        <f>IF(B2075&lt;&gt;"",IF(AND(B2075&gt;=_TM1,B2075&lt;=_TM2,OR(TH!L2075="1111",TH!M2075="1111")),TH!D2075,""),"")</f>
        <v/>
      </c>
      <c r="B2075" s="36">
        <f t="shared" si="100"/>
        <v>12</v>
      </c>
      <c r="C2075" s="188">
        <f t="shared" si="99"/>
        <v>41628</v>
      </c>
      <c r="D2075" s="37" t="s">
        <v>457</v>
      </c>
      <c r="E2075" s="37">
        <v>41628</v>
      </c>
      <c r="F2075" s="40" t="s">
        <v>1099</v>
      </c>
      <c r="G2075" s="40" t="s">
        <v>1004</v>
      </c>
      <c r="H2075" s="7" t="s">
        <v>1258</v>
      </c>
      <c r="I2075" s="249">
        <v>283</v>
      </c>
      <c r="J2075" s="249">
        <v>9328.4901920926914</v>
      </c>
      <c r="K2075" s="595">
        <f t="shared" si="101"/>
        <v>2639963</v>
      </c>
      <c r="L2075" s="39" t="s">
        <v>170</v>
      </c>
      <c r="M2075" s="39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IF(OR(TH!L2075=TH!$U$7,M2075=TH!$U$7),"x","")</f>
        <v/>
      </c>
      <c r="V2075" s="52" t="str">
        <f>IF(AND(B2075&gt;='IN-NX'!$P$3,B2075&lt;='IN-NX'!$Q$3,'IN-NX'!$D$7=D2075,OR(LEFT(L2075,2)="15",AND(LEFT(M2075,2)&lt;&gt;"15",LEFT(M2075,2)&lt;&gt;"33"))),"x","")</f>
        <v/>
      </c>
      <c r="W2075" s="52" t="str">
        <f>IF(AND(OR(LEFT(TH!L2075,2)="15",LEFT(TH!M2075,2)="15"),'152-CT'!$J$8=TH!F2075),"x","")</f>
        <v/>
      </c>
      <c r="X2075" s="52" t="str">
        <f>IF(AND(OR(LEFT(TH!L2075,2)="15",LEFT(TH!M2075,2)="15"),TK!$E$7=TH!F2075),"x","")</f>
        <v/>
      </c>
      <c r="Y2075" s="52" t="str">
        <f>IF(AND(B2075&lt;=NKC!$N$8,B2075&gt;=NKC!$M$8),"x","")</f>
        <v/>
      </c>
    </row>
    <row r="2076" spans="1:25" s="208" customFormat="1" ht="15.75" customHeight="1">
      <c r="A2076" s="201" t="str">
        <f>IF(B2076&lt;&gt;"",IF(AND(B2076&gt;=_TM1,B2076&lt;=_TM2,OR(TH!L2076="1111",TH!M2076="1111")),TH!D2076,""),"")</f>
        <v/>
      </c>
      <c r="B2076" s="36">
        <f t="shared" si="100"/>
        <v>12</v>
      </c>
      <c r="C2076" s="188">
        <f t="shared" si="99"/>
        <v>41628</v>
      </c>
      <c r="D2076" s="37" t="s">
        <v>457</v>
      </c>
      <c r="E2076" s="37">
        <v>41628</v>
      </c>
      <c r="F2076" s="40" t="s">
        <v>1100</v>
      </c>
      <c r="G2076" s="40" t="s">
        <v>1004</v>
      </c>
      <c r="H2076" s="7" t="s">
        <v>1258</v>
      </c>
      <c r="I2076" s="249">
        <v>203</v>
      </c>
      <c r="J2076" s="249">
        <v>11744.490192092693</v>
      </c>
      <c r="K2076" s="595">
        <f t="shared" si="101"/>
        <v>2384132</v>
      </c>
      <c r="L2076" s="39" t="s">
        <v>170</v>
      </c>
      <c r="M2076" s="39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IF(OR(TH!L2076=TH!$U$7,M2076=TH!$U$7),"x","")</f>
        <v/>
      </c>
      <c r="V2076" s="52" t="str">
        <f>IF(AND(B2076&gt;='IN-NX'!$P$3,B2076&lt;='IN-NX'!$Q$3,'IN-NX'!$D$7=D2076,OR(LEFT(L2076,2)="15",AND(LEFT(M2076,2)&lt;&gt;"15",LEFT(M2076,2)&lt;&gt;"33"))),"x","")</f>
        <v/>
      </c>
      <c r="W2076" s="52" t="str">
        <f>IF(AND(OR(LEFT(TH!L2076,2)="15",LEFT(TH!M2076,2)="15"),'152-CT'!$J$8=TH!F2076),"x","")</f>
        <v/>
      </c>
      <c r="X2076" s="52" t="str">
        <f>IF(AND(OR(LEFT(TH!L2076,2)="15",LEFT(TH!M2076,2)="15"),TK!$E$7=TH!F2076),"x","")</f>
        <v/>
      </c>
      <c r="Y2076" s="52" t="str">
        <f>IF(AND(B2076&lt;=NKC!$N$8,B2076&gt;=NKC!$M$8),"x","")</f>
        <v/>
      </c>
    </row>
    <row r="2077" spans="1:25" s="208" customFormat="1" ht="15.75" customHeight="1">
      <c r="A2077" s="201" t="str">
        <f>IF(B2077&lt;&gt;"",IF(AND(B2077&gt;=_TM1,B2077&lt;=_TM2,OR(TH!L2077="1111",TH!M2077="1111")),TH!D2077,""),"")</f>
        <v/>
      </c>
      <c r="B2077" s="36">
        <f t="shared" si="100"/>
        <v>12</v>
      </c>
      <c r="C2077" s="188">
        <f t="shared" si="99"/>
        <v>41628</v>
      </c>
      <c r="D2077" s="37" t="s">
        <v>457</v>
      </c>
      <c r="E2077" s="37">
        <v>41628</v>
      </c>
      <c r="F2077" s="40" t="s">
        <v>1101</v>
      </c>
      <c r="G2077" s="40" t="s">
        <v>1004</v>
      </c>
      <c r="H2077" s="7" t="s">
        <v>1258</v>
      </c>
      <c r="I2077" s="249">
        <v>238</v>
      </c>
      <c r="J2077" s="249">
        <v>6565.5910324288261</v>
      </c>
      <c r="K2077" s="595">
        <f t="shared" si="101"/>
        <v>1562611</v>
      </c>
      <c r="L2077" s="39" t="s">
        <v>170</v>
      </c>
      <c r="M2077" s="39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IF(OR(TH!L2077=TH!$U$7,M2077=TH!$U$7),"x","")</f>
        <v/>
      </c>
      <c r="V2077" s="52" t="str">
        <f>IF(AND(B2077&gt;='IN-NX'!$P$3,B2077&lt;='IN-NX'!$Q$3,'IN-NX'!$D$7=D2077,OR(LEFT(L2077,2)="15",AND(LEFT(M2077,2)&lt;&gt;"15",LEFT(M2077,2)&lt;&gt;"33"))),"x","")</f>
        <v/>
      </c>
      <c r="W2077" s="52" t="str">
        <f>IF(AND(OR(LEFT(TH!L2077,2)="15",LEFT(TH!M2077,2)="15"),'152-CT'!$J$8=TH!F2077),"x","")</f>
        <v/>
      </c>
      <c r="X2077" s="52" t="str">
        <f>IF(AND(OR(LEFT(TH!L2077,2)="15",LEFT(TH!M2077,2)="15"),TK!$E$7=TH!F2077),"x","")</f>
        <v/>
      </c>
      <c r="Y2077" s="52" t="str">
        <f>IF(AND(B2077&lt;=NKC!$N$8,B2077&gt;=NKC!$M$8),"x","")</f>
        <v/>
      </c>
    </row>
    <row r="2078" spans="1:25" s="208" customFormat="1" ht="15.75" customHeight="1">
      <c r="A2078" s="201" t="str">
        <f>IF(B2078&lt;&gt;"",IF(AND(B2078&gt;=_TM1,B2078&lt;=_TM2,OR(TH!L2078="1111",TH!M2078="1111")),TH!D2078,""),"")</f>
        <v/>
      </c>
      <c r="B2078" s="36">
        <f t="shared" si="100"/>
        <v>12</v>
      </c>
      <c r="C2078" s="188">
        <f t="shared" si="99"/>
        <v>41628</v>
      </c>
      <c r="D2078" s="37" t="s">
        <v>457</v>
      </c>
      <c r="E2078" s="37">
        <v>41628</v>
      </c>
      <c r="F2078" s="40" t="s">
        <v>852</v>
      </c>
      <c r="G2078" s="40" t="s">
        <v>1004</v>
      </c>
      <c r="H2078" s="7" t="s">
        <v>1258</v>
      </c>
      <c r="I2078" s="249">
        <v>441</v>
      </c>
      <c r="J2078" s="249">
        <v>7764.8053848364552</v>
      </c>
      <c r="K2078" s="595">
        <f t="shared" si="101"/>
        <v>3424279</v>
      </c>
      <c r="L2078" s="39" t="s">
        <v>170</v>
      </c>
      <c r="M2078" s="39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IF(OR(TH!L2078=TH!$U$7,M2078=TH!$U$7),"x","")</f>
        <v/>
      </c>
      <c r="V2078" s="52" t="str">
        <f>IF(AND(B2078&gt;='IN-NX'!$P$3,B2078&lt;='IN-NX'!$Q$3,'IN-NX'!$D$7=D2078,OR(LEFT(L2078,2)="15",AND(LEFT(M2078,2)&lt;&gt;"15",LEFT(M2078,2)&lt;&gt;"33"))),"x","")</f>
        <v/>
      </c>
      <c r="W2078" s="52" t="str">
        <f>IF(AND(OR(LEFT(TH!L2078,2)="15",LEFT(TH!M2078,2)="15"),'152-CT'!$J$8=TH!F2078),"x","")</f>
        <v/>
      </c>
      <c r="X2078" s="52" t="str">
        <f>IF(AND(OR(LEFT(TH!L2078,2)="15",LEFT(TH!M2078,2)="15"),TK!$E$7=TH!F2078),"x","")</f>
        <v/>
      </c>
      <c r="Y2078" s="52" t="str">
        <f>IF(AND(B2078&lt;=NKC!$N$8,B2078&gt;=NKC!$M$8),"x","")</f>
        <v/>
      </c>
    </row>
    <row r="2079" spans="1:25" s="208" customFormat="1" ht="15.75" customHeight="1">
      <c r="A2079" s="201" t="str">
        <f>IF(B2079&lt;&gt;"",IF(AND(B2079&gt;=_TM1,B2079&lt;=_TM2,OR(TH!L2079="1111",TH!M2079="1111")),TH!D2079,""),"")</f>
        <v/>
      </c>
      <c r="B2079" s="36">
        <f t="shared" si="100"/>
        <v>12</v>
      </c>
      <c r="C2079" s="188">
        <f t="shared" si="99"/>
        <v>41628</v>
      </c>
      <c r="D2079" s="37" t="s">
        <v>457</v>
      </c>
      <c r="E2079" s="37">
        <v>41628</v>
      </c>
      <c r="F2079" s="40" t="s">
        <v>1005</v>
      </c>
      <c r="G2079" s="40" t="s">
        <v>1004</v>
      </c>
      <c r="H2079" s="7" t="s">
        <v>1258</v>
      </c>
      <c r="I2079" s="249">
        <v>104</v>
      </c>
      <c r="J2079" s="249">
        <v>7599.4901920926932</v>
      </c>
      <c r="K2079" s="595">
        <f t="shared" si="101"/>
        <v>790347</v>
      </c>
      <c r="L2079" s="39" t="s">
        <v>170</v>
      </c>
      <c r="M2079" s="39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IF(OR(TH!L2079=TH!$U$7,M2079=TH!$U$7),"x","")</f>
        <v/>
      </c>
      <c r="V2079" s="52" t="str">
        <f>IF(AND(B2079&gt;='IN-NX'!$P$3,B2079&lt;='IN-NX'!$Q$3,'IN-NX'!$D$7=D2079,OR(LEFT(L2079,2)="15",AND(LEFT(M2079,2)&lt;&gt;"15",LEFT(M2079,2)&lt;&gt;"33"))),"x","")</f>
        <v/>
      </c>
      <c r="W2079" s="52" t="str">
        <f>IF(AND(OR(LEFT(TH!L2079,2)="15",LEFT(TH!M2079,2)="15"),'152-CT'!$J$8=TH!F2079),"x","")</f>
        <v/>
      </c>
      <c r="X2079" s="52" t="str">
        <f>IF(AND(OR(LEFT(TH!L2079,2)="15",LEFT(TH!M2079,2)="15"),TK!$E$7=TH!F2079),"x","")</f>
        <v/>
      </c>
      <c r="Y2079" s="52" t="str">
        <f>IF(AND(B2079&lt;=NKC!$N$8,B2079&gt;=NKC!$M$8),"x","")</f>
        <v/>
      </c>
    </row>
    <row r="2080" spans="1:25" s="208" customFormat="1" ht="15.75" customHeight="1">
      <c r="A2080" s="201" t="str">
        <f>IF(B2080&lt;&gt;"",IF(AND(B2080&gt;=_TM1,B2080&lt;=_TM2,OR(TH!L2080="1111",TH!M2080="1111")),TH!D2080,""),"")</f>
        <v/>
      </c>
      <c r="B2080" s="36">
        <f t="shared" si="100"/>
        <v>12</v>
      </c>
      <c r="C2080" s="188">
        <f t="shared" si="99"/>
        <v>41628</v>
      </c>
      <c r="D2080" s="37" t="s">
        <v>457</v>
      </c>
      <c r="E2080" s="37">
        <v>41628</v>
      </c>
      <c r="F2080" s="40" t="s">
        <v>811</v>
      </c>
      <c r="G2080" s="40" t="s">
        <v>1004</v>
      </c>
      <c r="H2080" s="7" t="s">
        <v>1258</v>
      </c>
      <c r="I2080" s="249">
        <v>102</v>
      </c>
      <c r="J2080" s="249">
        <v>9178.7843097397508</v>
      </c>
      <c r="K2080" s="595">
        <f t="shared" si="101"/>
        <v>936236</v>
      </c>
      <c r="L2080" s="39" t="s">
        <v>170</v>
      </c>
      <c r="M2080" s="39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IF(OR(TH!L2080=TH!$U$7,M2080=TH!$U$7),"x","")</f>
        <v/>
      </c>
      <c r="V2080" s="52" t="str">
        <f>IF(AND(B2080&gt;='IN-NX'!$P$3,B2080&lt;='IN-NX'!$Q$3,'IN-NX'!$D$7=D2080,OR(LEFT(L2080,2)="15",AND(LEFT(M2080,2)&lt;&gt;"15",LEFT(M2080,2)&lt;&gt;"33"))),"x","")</f>
        <v/>
      </c>
      <c r="W2080" s="52" t="str">
        <f>IF(AND(OR(LEFT(TH!L2080,2)="15",LEFT(TH!M2080,2)="15"),'152-CT'!$J$8=TH!F2080),"x","")</f>
        <v/>
      </c>
      <c r="X2080" s="52" t="str">
        <f>IF(AND(OR(LEFT(TH!L2080,2)="15",LEFT(TH!M2080,2)="15"),TK!$E$7=TH!F2080),"x","")</f>
        <v/>
      </c>
      <c r="Y2080" s="52" t="str">
        <f>IF(AND(B2080&lt;=NKC!$N$8,B2080&gt;=NKC!$M$8),"x","")</f>
        <v/>
      </c>
    </row>
    <row r="2081" spans="1:25" s="208" customFormat="1" ht="15.75" customHeight="1">
      <c r="A2081" s="201" t="str">
        <f>IF(B2081&lt;&gt;"",IF(AND(B2081&gt;=_TM1,B2081&lt;=_TM2,OR(TH!L2081="1111",TH!M2081="1111")),TH!D2081,""),"")</f>
        <v/>
      </c>
      <c r="B2081" s="36">
        <f t="shared" si="100"/>
        <v>12</v>
      </c>
      <c r="C2081" s="188">
        <f t="shared" si="99"/>
        <v>41631</v>
      </c>
      <c r="D2081" s="37" t="s">
        <v>457</v>
      </c>
      <c r="E2081" s="37">
        <v>41631</v>
      </c>
      <c r="F2081" s="40" t="s">
        <v>1122</v>
      </c>
      <c r="G2081" s="40" t="s">
        <v>1006</v>
      </c>
      <c r="H2081" s="7" t="s">
        <v>1258</v>
      </c>
      <c r="I2081" s="249">
        <v>1520</v>
      </c>
      <c r="J2081" s="249">
        <v>4320.5744026190087</v>
      </c>
      <c r="K2081" s="595">
        <f t="shared" si="101"/>
        <v>6567273</v>
      </c>
      <c r="L2081" s="39" t="s">
        <v>170</v>
      </c>
      <c r="M2081" s="39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IF(OR(TH!L2081=TH!$U$7,M2081=TH!$U$7),"x","")</f>
        <v/>
      </c>
      <c r="V2081" s="52" t="str">
        <f>IF(AND(B2081&gt;='IN-NX'!$P$3,B2081&lt;='IN-NX'!$Q$3,'IN-NX'!$D$7=D2081,OR(LEFT(L2081,2)="15",AND(LEFT(M2081,2)&lt;&gt;"15",LEFT(M2081,2)&lt;&gt;"33"))),"x","")</f>
        <v/>
      </c>
      <c r="W2081" s="52" t="str">
        <f>IF(AND(OR(LEFT(TH!L2081,2)="15",LEFT(TH!M2081,2)="15"),'152-CT'!$J$8=TH!F2081),"x","")</f>
        <v/>
      </c>
      <c r="X2081" s="52" t="str">
        <f>IF(AND(OR(LEFT(TH!L2081,2)="15",LEFT(TH!M2081,2)="15"),TK!$E$7=TH!F2081),"x","")</f>
        <v/>
      </c>
      <c r="Y2081" s="52" t="str">
        <f>IF(AND(B2081&lt;=NKC!$N$8,B2081&gt;=NKC!$M$8),"x","")</f>
        <v/>
      </c>
    </row>
    <row r="2082" spans="1:25" s="208" customFormat="1" ht="15.75" customHeight="1">
      <c r="A2082" s="201" t="str">
        <f>IF(B2082&lt;&gt;"",IF(AND(B2082&gt;=_TM1,B2082&lt;=_TM2,OR(TH!L2082="1111",TH!M2082="1111")),TH!D2082,""),"")</f>
        <v/>
      </c>
      <c r="B2082" s="36">
        <f t="shared" si="100"/>
        <v>12</v>
      </c>
      <c r="C2082" s="188">
        <f t="shared" si="99"/>
        <v>41633</v>
      </c>
      <c r="D2082" s="37" t="s">
        <v>457</v>
      </c>
      <c r="E2082" s="37">
        <v>41633</v>
      </c>
      <c r="F2082" s="40" t="s">
        <v>698</v>
      </c>
      <c r="G2082" s="40" t="s">
        <v>1007</v>
      </c>
      <c r="H2082" s="7" t="s">
        <v>1258</v>
      </c>
      <c r="I2082" s="249">
        <v>980</v>
      </c>
      <c r="J2082" s="249">
        <v>7841.449375766163</v>
      </c>
      <c r="K2082" s="595">
        <f t="shared" si="101"/>
        <v>7684620</v>
      </c>
      <c r="L2082" s="39" t="s">
        <v>170</v>
      </c>
      <c r="M2082" s="39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IF(OR(TH!L2082=TH!$U$7,M2082=TH!$U$7),"x","")</f>
        <v/>
      </c>
      <c r="V2082" s="52" t="str">
        <f>IF(AND(B2082&gt;='IN-NX'!$P$3,B2082&lt;='IN-NX'!$Q$3,'IN-NX'!$D$7=D2082,OR(LEFT(L2082,2)="15",AND(LEFT(M2082,2)&lt;&gt;"15",LEFT(M2082,2)&lt;&gt;"33"))),"x","")</f>
        <v/>
      </c>
      <c r="W2082" s="52" t="str">
        <f>IF(AND(OR(LEFT(TH!L2082,2)="15",LEFT(TH!M2082,2)="15"),'152-CT'!$J$8=TH!F2082),"x","")</f>
        <v/>
      </c>
      <c r="X2082" s="52" t="str">
        <f>IF(AND(OR(LEFT(TH!L2082,2)="15",LEFT(TH!M2082,2)="15"),TK!$E$7=TH!F2082),"x","")</f>
        <v/>
      </c>
      <c r="Y2082" s="52" t="str">
        <f>IF(AND(B2082&lt;=NKC!$N$8,B2082&gt;=NKC!$M$8),"x","")</f>
        <v/>
      </c>
    </row>
    <row r="2083" spans="1:25" s="208" customFormat="1" ht="15.75" customHeight="1">
      <c r="A2083" s="201" t="str">
        <f>IF(B2083&lt;&gt;"",IF(AND(B2083&gt;=_TM1,B2083&lt;=_TM2,OR(TH!L2083="1111",TH!M2083="1111")),TH!D2083,""),"")</f>
        <v/>
      </c>
      <c r="B2083" s="36">
        <f t="shared" si="100"/>
        <v>12</v>
      </c>
      <c r="C2083" s="188">
        <f t="shared" si="99"/>
        <v>41635</v>
      </c>
      <c r="D2083" s="37" t="s">
        <v>457</v>
      </c>
      <c r="E2083" s="37">
        <v>41635</v>
      </c>
      <c r="F2083" s="40" t="s">
        <v>844</v>
      </c>
      <c r="G2083" s="40" t="s">
        <v>1008</v>
      </c>
      <c r="H2083" s="7" t="s">
        <v>1258</v>
      </c>
      <c r="I2083" s="249">
        <v>60</v>
      </c>
      <c r="J2083" s="249">
        <v>37446.156858759357</v>
      </c>
      <c r="K2083" s="595">
        <f t="shared" si="101"/>
        <v>2246769</v>
      </c>
      <c r="L2083" s="39" t="s">
        <v>170</v>
      </c>
      <c r="M2083" s="39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IF(OR(TH!L2083=TH!$U$7,M2083=TH!$U$7),"x","")</f>
        <v/>
      </c>
      <c r="V2083" s="52" t="str">
        <f>IF(AND(B2083&gt;='IN-NX'!$P$3,B2083&lt;='IN-NX'!$Q$3,'IN-NX'!$D$7=D2083,OR(LEFT(L2083,2)="15",AND(LEFT(M2083,2)&lt;&gt;"15",LEFT(M2083,2)&lt;&gt;"33"))),"x","")</f>
        <v/>
      </c>
      <c r="W2083" s="52" t="str">
        <f>IF(AND(OR(LEFT(TH!L2083,2)="15",LEFT(TH!M2083,2)="15"),'152-CT'!$J$8=TH!F2083),"x","")</f>
        <v/>
      </c>
      <c r="X2083" s="52" t="str">
        <f>IF(AND(OR(LEFT(TH!L2083,2)="15",LEFT(TH!M2083,2)="15"),TK!$E$7=TH!F2083),"x","")</f>
        <v/>
      </c>
      <c r="Y2083" s="52" t="str">
        <f>IF(AND(B2083&lt;=NKC!$N$8,B2083&gt;=NKC!$M$8),"x","")</f>
        <v/>
      </c>
    </row>
    <row r="2084" spans="1:25" s="208" customFormat="1" ht="15.75" customHeight="1">
      <c r="A2084" s="201" t="str">
        <f>IF(B2084&lt;&gt;"",IF(AND(B2084&gt;=_TM1,B2084&lt;=_TM2,OR(TH!L2084="1111",TH!M2084="1111")),TH!D2084,""),"")</f>
        <v/>
      </c>
      <c r="B2084" s="36">
        <f t="shared" si="100"/>
        <v>12</v>
      </c>
      <c r="C2084" s="188">
        <f t="shared" si="99"/>
        <v>41635</v>
      </c>
      <c r="D2084" s="37" t="s">
        <v>457</v>
      </c>
      <c r="E2084" s="37">
        <v>41635</v>
      </c>
      <c r="F2084" s="40" t="s">
        <v>847</v>
      </c>
      <c r="G2084" s="40" t="s">
        <v>1008</v>
      </c>
      <c r="H2084" s="7" t="s">
        <v>1258</v>
      </c>
      <c r="I2084" s="249">
        <v>10</v>
      </c>
      <c r="J2084" s="249">
        <v>39909.490192092693</v>
      </c>
      <c r="K2084" s="595">
        <f t="shared" si="101"/>
        <v>399095</v>
      </c>
      <c r="L2084" s="39" t="s">
        <v>170</v>
      </c>
      <c r="M2084" s="39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IF(OR(TH!L2084=TH!$U$7,M2084=TH!$U$7),"x","")</f>
        <v/>
      </c>
      <c r="V2084" s="52" t="str">
        <f>IF(AND(B2084&gt;='IN-NX'!$P$3,B2084&lt;='IN-NX'!$Q$3,'IN-NX'!$D$7=D2084,OR(LEFT(L2084,2)="15",AND(LEFT(M2084,2)&lt;&gt;"15",LEFT(M2084,2)&lt;&gt;"33"))),"x","")</f>
        <v/>
      </c>
      <c r="W2084" s="52" t="str">
        <f>IF(AND(OR(LEFT(TH!L2084,2)="15",LEFT(TH!M2084,2)="15"),'152-CT'!$J$8=TH!F2084),"x","")</f>
        <v/>
      </c>
      <c r="X2084" s="52" t="str">
        <f>IF(AND(OR(LEFT(TH!L2084,2)="15",LEFT(TH!M2084,2)="15"),TK!$E$7=TH!F2084),"x","")</f>
        <v/>
      </c>
      <c r="Y2084" s="52" t="str">
        <f>IF(AND(B2084&lt;=NKC!$N$8,B2084&gt;=NKC!$M$8),"x","")</f>
        <v/>
      </c>
    </row>
    <row r="2085" spans="1:25" s="208" customFormat="1" ht="15.75" customHeight="1">
      <c r="A2085" s="201" t="str">
        <f>IF(B2085&lt;&gt;"",IF(AND(B2085&gt;=_TM1,B2085&lt;=_TM2,OR(TH!L2085="1111",TH!M2085="1111")),TH!D2085,""),"")</f>
        <v/>
      </c>
      <c r="B2085" s="36">
        <f t="shared" si="100"/>
        <v>12</v>
      </c>
      <c r="C2085" s="188">
        <f t="shared" si="99"/>
        <v>41635</v>
      </c>
      <c r="D2085" s="37" t="s">
        <v>457</v>
      </c>
      <c r="E2085" s="37">
        <v>41635</v>
      </c>
      <c r="F2085" s="40" t="s">
        <v>987</v>
      </c>
      <c r="G2085" s="40" t="s">
        <v>1008</v>
      </c>
      <c r="H2085" s="7" t="s">
        <v>1258</v>
      </c>
      <c r="I2085" s="249">
        <v>20</v>
      </c>
      <c r="J2085" s="249">
        <v>39909.490192092693</v>
      </c>
      <c r="K2085" s="595">
        <f t="shared" si="101"/>
        <v>798190</v>
      </c>
      <c r="L2085" s="39" t="s">
        <v>170</v>
      </c>
      <c r="M2085" s="39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IF(OR(TH!L2085=TH!$U$7,M2085=TH!$U$7),"x","")</f>
        <v/>
      </c>
      <c r="V2085" s="52" t="str">
        <f>IF(AND(B2085&gt;='IN-NX'!$P$3,B2085&lt;='IN-NX'!$Q$3,'IN-NX'!$D$7=D2085,OR(LEFT(L2085,2)="15",AND(LEFT(M2085,2)&lt;&gt;"15",LEFT(M2085,2)&lt;&gt;"33"))),"x","")</f>
        <v/>
      </c>
      <c r="W2085" s="52" t="str">
        <f>IF(AND(OR(LEFT(TH!L2085,2)="15",LEFT(TH!M2085,2)="15"),'152-CT'!$J$8=TH!F2085),"x","")</f>
        <v/>
      </c>
      <c r="X2085" s="52" t="str">
        <f>IF(AND(OR(LEFT(TH!L2085,2)="15",LEFT(TH!M2085,2)="15"),TK!$E$7=TH!F2085),"x","")</f>
        <v/>
      </c>
      <c r="Y2085" s="52" t="str">
        <f>IF(AND(B2085&lt;=NKC!$N$8,B2085&gt;=NKC!$M$8),"x","")</f>
        <v/>
      </c>
    </row>
    <row r="2086" spans="1:25" s="208" customFormat="1" ht="15.75" customHeight="1">
      <c r="A2086" s="201" t="str">
        <f>IF(B2086&lt;&gt;"",IF(AND(B2086&gt;=_TM1,B2086&lt;=_TM2,OR(TH!L2086="1111",TH!M2086="1111")),TH!D2086,""),"")</f>
        <v/>
      </c>
      <c r="B2086" s="36">
        <f t="shared" si="100"/>
        <v>12</v>
      </c>
      <c r="C2086" s="188">
        <f t="shared" si="99"/>
        <v>41635</v>
      </c>
      <c r="D2086" s="37" t="s">
        <v>457</v>
      </c>
      <c r="E2086" s="37">
        <v>41635</v>
      </c>
      <c r="F2086" s="40" t="s">
        <v>1118</v>
      </c>
      <c r="G2086" s="40" t="s">
        <v>1009</v>
      </c>
      <c r="H2086" s="7" t="s">
        <v>1258</v>
      </c>
      <c r="I2086" s="249">
        <v>2295</v>
      </c>
      <c r="J2086" s="249">
        <v>4037.8257040752628</v>
      </c>
      <c r="K2086" s="595">
        <f t="shared" si="101"/>
        <v>9266810</v>
      </c>
      <c r="L2086" s="39" t="s">
        <v>170</v>
      </c>
      <c r="M2086" s="39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IF(OR(TH!L2086=TH!$U$7,M2086=TH!$U$7),"x","")</f>
        <v/>
      </c>
      <c r="V2086" s="52" t="str">
        <f>IF(AND(B2086&gt;='IN-NX'!$P$3,B2086&lt;='IN-NX'!$Q$3,'IN-NX'!$D$7=D2086,OR(LEFT(L2086,2)="15",AND(LEFT(M2086,2)&lt;&gt;"15",LEFT(M2086,2)&lt;&gt;"33"))),"x","")</f>
        <v/>
      </c>
      <c r="W2086" s="52" t="str">
        <f>IF(AND(OR(LEFT(TH!L2086,2)="15",LEFT(TH!M2086,2)="15"),'152-CT'!$J$8=TH!F2086),"x","")</f>
        <v/>
      </c>
      <c r="X2086" s="52" t="str">
        <f>IF(AND(OR(LEFT(TH!L2086,2)="15",LEFT(TH!M2086,2)="15"),TK!$E$7=TH!F2086),"x","")</f>
        <v/>
      </c>
      <c r="Y2086" s="52" t="str">
        <f>IF(AND(B2086&lt;=NKC!$N$8,B2086&gt;=NKC!$M$8),"x","")</f>
        <v/>
      </c>
    </row>
    <row r="2087" spans="1:25" s="208" customFormat="1" ht="15.75" customHeight="1">
      <c r="A2087" s="201" t="str">
        <f>IF(B2087&lt;&gt;"",IF(AND(B2087&gt;=_TM1,B2087&lt;=_TM2,OR(TH!L2087="1111",TH!M2087="1111")),TH!D2087,""),"")</f>
        <v/>
      </c>
      <c r="B2087" s="36">
        <f t="shared" si="100"/>
        <v>12</v>
      </c>
      <c r="C2087" s="188">
        <f t="shared" si="99"/>
        <v>41636</v>
      </c>
      <c r="D2087" s="37" t="s">
        <v>457</v>
      </c>
      <c r="E2087" s="37">
        <v>41636</v>
      </c>
      <c r="F2087" s="40" t="s">
        <v>1107</v>
      </c>
      <c r="G2087" s="40" t="s">
        <v>1010</v>
      </c>
      <c r="H2087" s="7" t="s">
        <v>1258</v>
      </c>
      <c r="I2087" s="249">
        <v>112</v>
      </c>
      <c r="J2087" s="249">
        <v>14719.168763521264</v>
      </c>
      <c r="K2087" s="595">
        <f t="shared" si="101"/>
        <v>1648547</v>
      </c>
      <c r="L2087" s="39" t="s">
        <v>170</v>
      </c>
      <c r="M2087" s="39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IF(OR(TH!L2087=TH!$U$7,M2087=TH!$U$7),"x","")</f>
        <v/>
      </c>
      <c r="V2087" s="52" t="str">
        <f>IF(AND(B2087&gt;='IN-NX'!$P$3,B2087&lt;='IN-NX'!$Q$3,'IN-NX'!$D$7=D2087,OR(LEFT(L2087,2)="15",AND(LEFT(M2087,2)&lt;&gt;"15",LEFT(M2087,2)&lt;&gt;"33"))),"x","")</f>
        <v/>
      </c>
      <c r="W2087" s="52" t="str">
        <f>IF(AND(OR(LEFT(TH!L2087,2)="15",LEFT(TH!M2087,2)="15"),'152-CT'!$J$8=TH!F2087),"x","")</f>
        <v/>
      </c>
      <c r="X2087" s="52" t="str">
        <f>IF(AND(OR(LEFT(TH!L2087,2)="15",LEFT(TH!M2087,2)="15"),TK!$E$7=TH!F2087),"x","")</f>
        <v/>
      </c>
      <c r="Y2087" s="52" t="str">
        <f>IF(AND(B2087&lt;=NKC!$N$8,B2087&gt;=NKC!$M$8),"x","")</f>
        <v/>
      </c>
    </row>
    <row r="2088" spans="1:25" ht="15.75" customHeight="1">
      <c r="A2088" s="201" t="str">
        <f>IF(B2088&lt;&gt;"",IF(AND(B2088&gt;=_TM1,B2088&lt;=_TM2,OR(TH!L2088="1111",TH!M2088="1111")),TH!D2088,""),"")</f>
        <v/>
      </c>
      <c r="B2088" s="36" t="str">
        <f t="shared" ref="B2088:B2093" si="102">IF(C2088&lt;&gt;"",MONTH(C2088),"")</f>
        <v/>
      </c>
      <c r="C2088" s="188"/>
      <c r="D2088" s="37"/>
      <c r="E2088" s="188"/>
      <c r="F2088" s="807"/>
      <c r="G2088" s="40"/>
      <c r="H2088" s="44"/>
      <c r="I2088" s="249"/>
      <c r="J2088" s="249"/>
      <c r="K2088" s="38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IF(OR(TH!L2088=TH!$U$7,M2088=TH!$U$7),"x","")</f>
        <v/>
      </c>
      <c r="V2088" s="52" t="str">
        <f>IF(AND(B2088&gt;='IN-NX'!$P$3,B2088&lt;='IN-NX'!$Q$3,'IN-NX'!$D$7=D2088,OR(LEFT(L2088,2)="15",AND(LEFT(M2088,2)&lt;&gt;"15",LEFT(M2088,2)&lt;&gt;"33"))),"x","")</f>
        <v/>
      </c>
      <c r="W2088" s="52" t="str">
        <f>IF(AND(OR(LEFT(TH!L2088,2)="15",LEFT(TH!M2088,2)="15"),'152-CT'!$J$8=TH!F2088),"x","")</f>
        <v/>
      </c>
      <c r="X2088" s="52" t="str">
        <f>IF(AND(OR(LEFT(TH!L2088,2)="15",LEFT(TH!M2088,2)="15"),TK!$E$7=TH!F2088),"x","")</f>
        <v/>
      </c>
      <c r="Y2088" s="52" t="str">
        <f>IF(AND(B2088&lt;=NKC!$N$8,B2088&gt;=NKC!$M$8),"x","")</f>
        <v/>
      </c>
    </row>
    <row r="2089" spans="1:25" ht="15.75" customHeight="1">
      <c r="A2089" s="201" t="str">
        <f>IF(B2089&lt;&gt;"",IF(AND(B2089&gt;=_TM1,B2089&lt;=_TM2,OR(TH!L2089="1111",TH!M2089="1111")),TH!D2089,""),"")</f>
        <v/>
      </c>
      <c r="B2089" s="36" t="str">
        <f t="shared" si="102"/>
        <v/>
      </c>
      <c r="C2089" s="37"/>
      <c r="D2089" s="37"/>
      <c r="E2089" s="37"/>
      <c r="F2089" s="40"/>
      <c r="G2089" s="40"/>
      <c r="H2089" s="44"/>
      <c r="I2089" s="249"/>
      <c r="J2089" s="249"/>
      <c r="K2089" s="38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IF(OR(TH!L2089=TH!$U$7,M2089=TH!$U$7),"x","")</f>
        <v/>
      </c>
      <c r="V2089" s="52" t="str">
        <f>IF(AND(B2089&gt;='IN-NX'!$P$3,B2089&lt;='IN-NX'!$Q$3,'IN-NX'!$D$7=D2089,OR(LEFT(L2089,2)="15",AND(LEFT(M2089,2)&lt;&gt;"15",LEFT(M2089,2)&lt;&gt;"33"))),"x","")</f>
        <v/>
      </c>
      <c r="W2089" s="52" t="str">
        <f>IF(AND(OR(LEFT(TH!L2089,2)="15",LEFT(TH!M2089,2)="15"),'152-CT'!$J$8=TH!F2089),"x","")</f>
        <v/>
      </c>
      <c r="X2089" s="52" t="str">
        <f>IF(AND(OR(LEFT(TH!L2089,2)="15",LEFT(TH!M2089,2)="15"),TK!$E$7=TH!F2089),"x","")</f>
        <v/>
      </c>
      <c r="Y2089" s="52" t="str">
        <f>IF(AND(B2089&lt;=NKC!$N$8,B2089&gt;=NKC!$M$8),"x","")</f>
        <v/>
      </c>
    </row>
    <row r="2090" spans="1:25" ht="15.75" customHeight="1">
      <c r="A2090" s="201" t="str">
        <f>IF(B2090&lt;&gt;"",IF(AND(B2090&gt;=_TM1,B2090&lt;=_TM2,OR(TH!L2090="1111",TH!M2090="1111")),TH!D2090,""),"")</f>
        <v/>
      </c>
      <c r="B2090" s="36" t="str">
        <f t="shared" si="102"/>
        <v/>
      </c>
      <c r="C2090" s="37"/>
      <c r="D2090" s="37"/>
      <c r="E2090" s="37"/>
      <c r="F2090" s="40"/>
      <c r="G2090" s="40"/>
      <c r="H2090" s="44"/>
      <c r="I2090" s="249"/>
      <c r="J2090" s="249"/>
      <c r="K2090" s="38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IF(OR(TH!L2090=TH!$U$7,M2090=TH!$U$7),"x","")</f>
        <v/>
      </c>
      <c r="V2090" s="52" t="str">
        <f>IF(AND(B2090&gt;='IN-NX'!$P$3,B2090&lt;='IN-NX'!$Q$3,'IN-NX'!$D$7=D2090,OR(LEFT(L2090,2)="15",AND(LEFT(M2090,2)&lt;&gt;"15",LEFT(M2090,2)&lt;&gt;"33"))),"x","")</f>
        <v/>
      </c>
      <c r="W2090" s="52" t="str">
        <f>IF(AND(OR(LEFT(TH!L2090,2)="15",LEFT(TH!M2090,2)="15"),'152-CT'!$J$8=TH!F2090),"x","")</f>
        <v/>
      </c>
      <c r="X2090" s="52" t="str">
        <f>IF(AND(OR(LEFT(TH!L2090,2)="15",LEFT(TH!M2090,2)="15"),TK!$E$7=TH!F2090),"x","")</f>
        <v/>
      </c>
      <c r="Y2090" s="52" t="str">
        <f>IF(AND(B2090&lt;=NKC!$N$8,B2090&gt;=NKC!$M$8),"x","")</f>
        <v/>
      </c>
    </row>
    <row r="2091" spans="1:25" ht="15.75" customHeight="1">
      <c r="A2091" s="201" t="str">
        <f>IF(B2091&lt;&gt;"",IF(AND(B2091&gt;=_TM1,B2091&lt;=_TM2,OR(TH!L2091="1111",TH!M2091="1111")),TH!D2091,""),"")</f>
        <v/>
      </c>
      <c r="B2091" s="36" t="str">
        <f t="shared" si="102"/>
        <v/>
      </c>
      <c r="C2091" s="37"/>
      <c r="D2091" s="37"/>
      <c r="E2091" s="37"/>
      <c r="F2091" s="40"/>
      <c r="G2091" s="40"/>
      <c r="H2091" s="44"/>
      <c r="I2091" s="249"/>
      <c r="J2091" s="249"/>
      <c r="K2091" s="38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IF(OR(TH!L2091=TH!$U$7,M2091=TH!$U$7),"x","")</f>
        <v/>
      </c>
      <c r="V2091" s="52" t="str">
        <f>IF(AND(B2091&gt;='IN-NX'!$P$3,B2091&lt;='IN-NX'!$Q$3,'IN-NX'!$D$7=D2091,OR(LEFT(L2091,2)="15",AND(LEFT(M2091,2)&lt;&gt;"15",LEFT(M2091,2)&lt;&gt;"33"))),"x","")</f>
        <v/>
      </c>
      <c r="W2091" s="52" t="str">
        <f>IF(AND(OR(LEFT(TH!L2091,2)="15",LEFT(TH!M2091,2)="15"),'152-CT'!$J$8=TH!F2091),"x","")</f>
        <v/>
      </c>
      <c r="X2091" s="52" t="str">
        <f>IF(AND(OR(LEFT(TH!L2091,2)="15",LEFT(TH!M2091,2)="15"),TK!$E$7=TH!F2091),"x","")</f>
        <v/>
      </c>
      <c r="Y2091" s="52" t="str">
        <f>IF(AND(B2091&lt;=NKC!$N$8,B2091&gt;=NKC!$M$8),"x","")</f>
        <v/>
      </c>
    </row>
    <row r="2092" spans="1:25" ht="15.75" customHeight="1">
      <c r="A2092" s="201" t="str">
        <f>IF(B2092&lt;&gt;"",IF(AND(B2092&gt;=_TM1,B2092&lt;=_TM2,OR(TH!L2092="1111",TH!M2092="1111")),TH!D2092,""),"")</f>
        <v/>
      </c>
      <c r="B2092" s="36" t="str">
        <f t="shared" si="102"/>
        <v/>
      </c>
      <c r="C2092" s="37"/>
      <c r="D2092" s="37"/>
      <c r="E2092" s="37"/>
      <c r="F2092" s="40"/>
      <c r="G2092" s="40"/>
      <c r="H2092" s="44"/>
      <c r="I2092" s="249"/>
      <c r="J2092" s="249"/>
      <c r="K2092" s="38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IF(OR(TH!L2092=TH!$U$7,M2092=TH!$U$7),"x","")</f>
        <v/>
      </c>
      <c r="V2092" s="52" t="str">
        <f>IF(AND(B2092&gt;='IN-NX'!$P$3,B2092&lt;='IN-NX'!$Q$3,'IN-NX'!$D$7=D2092,OR(LEFT(L2092,2)="15",AND(LEFT(M2092,2)&lt;&gt;"15",LEFT(M2092,2)&lt;&gt;"33"))),"x","")</f>
        <v/>
      </c>
      <c r="W2092" s="52" t="str">
        <f>IF(AND(OR(LEFT(TH!L2092,2)="15",LEFT(TH!M2092,2)="15"),'152-CT'!$J$8=TH!F2092),"x","")</f>
        <v/>
      </c>
      <c r="X2092" s="52" t="str">
        <f>IF(AND(OR(LEFT(TH!L2092,2)="15",LEFT(TH!M2092,2)="15"),TK!$E$7=TH!F2092),"x","")</f>
        <v/>
      </c>
      <c r="Y2092" s="52" t="str">
        <f>IF(AND(B2092&lt;=NKC!$N$8,B2092&gt;=NKC!$M$8),"x","")</f>
        <v/>
      </c>
    </row>
    <row r="2093" spans="1:25" ht="15.75" customHeight="1">
      <c r="A2093" s="201" t="str">
        <f>IF(B2093&lt;&gt;"",IF(AND(B2093&gt;=_TM1,B2093&lt;=_TM2,OR(TH!L2093="1111",TH!M2093="1111")),TH!D2093,""),"")</f>
        <v/>
      </c>
      <c r="B2093" s="36" t="str">
        <f t="shared" si="102"/>
        <v/>
      </c>
      <c r="C2093" s="37"/>
      <c r="D2093" s="37"/>
      <c r="E2093" s="37"/>
      <c r="F2093" s="40"/>
      <c r="G2093" s="40"/>
      <c r="H2093" s="44"/>
      <c r="I2093" s="249"/>
      <c r="J2093" s="249"/>
      <c r="K2093" s="38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IF(OR(TH!L2093=TH!$U$7,M2093=TH!$U$7),"x","")</f>
        <v/>
      </c>
      <c r="V2093" s="52" t="str">
        <f>IF(AND(B2093&gt;='IN-NX'!$P$3,B2093&lt;='IN-NX'!$Q$3,'IN-NX'!$D$7=D2093,OR(LEFT(L2093,2)="15",AND(LEFT(M2093,2)&lt;&gt;"15",LEFT(M2093,2)&lt;&gt;"33"))),"x","")</f>
        <v/>
      </c>
      <c r="W2093" s="52" t="str">
        <f>IF(AND(OR(LEFT(TH!L2093,2)="15",LEFT(TH!M2093,2)="15"),'152-CT'!$J$8=TH!F2093),"x","")</f>
        <v/>
      </c>
      <c r="X2093" s="52" t="str">
        <f>IF(AND(OR(LEFT(TH!L2093,2)="15",LEFT(TH!M2093,2)="15"),TK!$E$7=TH!F2093),"x","")</f>
        <v/>
      </c>
      <c r="Y2093" s="52" t="str">
        <f>IF(AND(B2093&lt;=NKC!$N$8,B2093&gt;=NKC!$M$8),"x","")</f>
        <v/>
      </c>
    </row>
    <row r="2095" spans="1:25">
      <c r="J2095" s="789"/>
    </row>
    <row r="2102" spans="8:11">
      <c r="H2102" s="788"/>
    </row>
    <row r="2103" spans="8:11">
      <c r="K2103" s="476">
        <f>SUBTOTAL(9,K10:K2093)</f>
        <v>15856990210</v>
      </c>
    </row>
  </sheetData>
  <autoFilter ref="A9:AB2093"/>
  <sortState ref="A26:AD1120">
    <sortCondition ref="C26:C1120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9" customWidth="1"/>
    <col min="2" max="2" width="9.28515625" style="619" customWidth="1"/>
    <col min="3" max="3" width="10" style="619" customWidth="1"/>
    <col min="4" max="4" width="41.42578125" style="619" customWidth="1"/>
    <col min="5" max="5" width="6" style="619" customWidth="1"/>
    <col min="6" max="6" width="7.85546875" style="619" customWidth="1"/>
    <col min="7" max="7" width="8.5703125" style="619" customWidth="1"/>
    <col min="8" max="8" width="13.85546875" style="619" customWidth="1"/>
    <col min="9" max="9" width="14.140625" style="619" customWidth="1"/>
    <col min="10" max="11" width="9.140625" style="619"/>
    <col min="12" max="12" width="3.5703125" style="619" customWidth="1"/>
    <col min="13" max="256" width="9.140625" style="619"/>
    <col min="257" max="257" width="13" style="619" customWidth="1"/>
    <col min="258" max="258" width="9.140625" style="619"/>
    <col min="259" max="259" width="13" style="619" customWidth="1"/>
    <col min="260" max="260" width="29.7109375" style="619" customWidth="1"/>
    <col min="261" max="261" width="7.7109375" style="619" customWidth="1"/>
    <col min="262" max="262" width="6" style="619" customWidth="1"/>
    <col min="263" max="263" width="11.5703125" style="619" customWidth="1"/>
    <col min="264" max="264" width="13.42578125" style="619" customWidth="1"/>
    <col min="265" max="265" width="13.85546875" style="619" customWidth="1"/>
    <col min="266" max="512" width="9.140625" style="619"/>
    <col min="513" max="513" width="13" style="619" customWidth="1"/>
    <col min="514" max="514" width="9.140625" style="619"/>
    <col min="515" max="515" width="13" style="619" customWidth="1"/>
    <col min="516" max="516" width="29.7109375" style="619" customWidth="1"/>
    <col min="517" max="517" width="7.7109375" style="619" customWidth="1"/>
    <col min="518" max="518" width="6" style="619" customWidth="1"/>
    <col min="519" max="519" width="11.5703125" style="619" customWidth="1"/>
    <col min="520" max="520" width="13.42578125" style="619" customWidth="1"/>
    <col min="521" max="521" width="13.85546875" style="619" customWidth="1"/>
    <col min="522" max="768" width="9.140625" style="619"/>
    <col min="769" max="769" width="13" style="619" customWidth="1"/>
    <col min="770" max="770" width="9.140625" style="619"/>
    <col min="771" max="771" width="13" style="619" customWidth="1"/>
    <col min="772" max="772" width="29.7109375" style="619" customWidth="1"/>
    <col min="773" max="773" width="7.7109375" style="619" customWidth="1"/>
    <col min="774" max="774" width="6" style="619" customWidth="1"/>
    <col min="775" max="775" width="11.5703125" style="619" customWidth="1"/>
    <col min="776" max="776" width="13.42578125" style="619" customWidth="1"/>
    <col min="777" max="777" width="13.85546875" style="619" customWidth="1"/>
    <col min="778" max="1024" width="9.140625" style="619"/>
    <col min="1025" max="1025" width="13" style="619" customWidth="1"/>
    <col min="1026" max="1026" width="9.140625" style="619"/>
    <col min="1027" max="1027" width="13" style="619" customWidth="1"/>
    <col min="1028" max="1028" width="29.7109375" style="619" customWidth="1"/>
    <col min="1029" max="1029" width="7.7109375" style="619" customWidth="1"/>
    <col min="1030" max="1030" width="6" style="619" customWidth="1"/>
    <col min="1031" max="1031" width="11.5703125" style="619" customWidth="1"/>
    <col min="1032" max="1032" width="13.42578125" style="619" customWidth="1"/>
    <col min="1033" max="1033" width="13.85546875" style="619" customWidth="1"/>
    <col min="1034" max="1280" width="9.140625" style="619"/>
    <col min="1281" max="1281" width="13" style="619" customWidth="1"/>
    <col min="1282" max="1282" width="9.140625" style="619"/>
    <col min="1283" max="1283" width="13" style="619" customWidth="1"/>
    <col min="1284" max="1284" width="29.7109375" style="619" customWidth="1"/>
    <col min="1285" max="1285" width="7.7109375" style="619" customWidth="1"/>
    <col min="1286" max="1286" width="6" style="619" customWidth="1"/>
    <col min="1287" max="1287" width="11.5703125" style="619" customWidth="1"/>
    <col min="1288" max="1288" width="13.42578125" style="619" customWidth="1"/>
    <col min="1289" max="1289" width="13.85546875" style="619" customWidth="1"/>
    <col min="1290" max="1536" width="9.140625" style="619"/>
    <col min="1537" max="1537" width="13" style="619" customWidth="1"/>
    <col min="1538" max="1538" width="9.140625" style="619"/>
    <col min="1539" max="1539" width="13" style="619" customWidth="1"/>
    <col min="1540" max="1540" width="29.7109375" style="619" customWidth="1"/>
    <col min="1541" max="1541" width="7.7109375" style="619" customWidth="1"/>
    <col min="1542" max="1542" width="6" style="619" customWidth="1"/>
    <col min="1543" max="1543" width="11.5703125" style="619" customWidth="1"/>
    <col min="1544" max="1544" width="13.42578125" style="619" customWidth="1"/>
    <col min="1545" max="1545" width="13.85546875" style="619" customWidth="1"/>
    <col min="1546" max="1792" width="9.140625" style="619"/>
    <col min="1793" max="1793" width="13" style="619" customWidth="1"/>
    <col min="1794" max="1794" width="9.140625" style="619"/>
    <col min="1795" max="1795" width="13" style="619" customWidth="1"/>
    <col min="1796" max="1796" width="29.7109375" style="619" customWidth="1"/>
    <col min="1797" max="1797" width="7.7109375" style="619" customWidth="1"/>
    <col min="1798" max="1798" width="6" style="619" customWidth="1"/>
    <col min="1799" max="1799" width="11.5703125" style="619" customWidth="1"/>
    <col min="1800" max="1800" width="13.42578125" style="619" customWidth="1"/>
    <col min="1801" max="1801" width="13.85546875" style="619" customWidth="1"/>
    <col min="1802" max="2048" width="9.140625" style="619"/>
    <col min="2049" max="2049" width="13" style="619" customWidth="1"/>
    <col min="2050" max="2050" width="9.140625" style="619"/>
    <col min="2051" max="2051" width="13" style="619" customWidth="1"/>
    <col min="2052" max="2052" width="29.7109375" style="619" customWidth="1"/>
    <col min="2053" max="2053" width="7.7109375" style="619" customWidth="1"/>
    <col min="2054" max="2054" width="6" style="619" customWidth="1"/>
    <col min="2055" max="2055" width="11.5703125" style="619" customWidth="1"/>
    <col min="2056" max="2056" width="13.42578125" style="619" customWidth="1"/>
    <col min="2057" max="2057" width="13.85546875" style="619" customWidth="1"/>
    <col min="2058" max="2304" width="9.140625" style="619"/>
    <col min="2305" max="2305" width="13" style="619" customWidth="1"/>
    <col min="2306" max="2306" width="9.140625" style="619"/>
    <col min="2307" max="2307" width="13" style="619" customWidth="1"/>
    <col min="2308" max="2308" width="29.7109375" style="619" customWidth="1"/>
    <col min="2309" max="2309" width="7.7109375" style="619" customWidth="1"/>
    <col min="2310" max="2310" width="6" style="619" customWidth="1"/>
    <col min="2311" max="2311" width="11.5703125" style="619" customWidth="1"/>
    <col min="2312" max="2312" width="13.42578125" style="619" customWidth="1"/>
    <col min="2313" max="2313" width="13.85546875" style="619" customWidth="1"/>
    <col min="2314" max="2560" width="9.140625" style="619"/>
    <col min="2561" max="2561" width="13" style="619" customWidth="1"/>
    <col min="2562" max="2562" width="9.140625" style="619"/>
    <col min="2563" max="2563" width="13" style="619" customWidth="1"/>
    <col min="2564" max="2564" width="29.7109375" style="619" customWidth="1"/>
    <col min="2565" max="2565" width="7.7109375" style="619" customWidth="1"/>
    <col min="2566" max="2566" width="6" style="619" customWidth="1"/>
    <col min="2567" max="2567" width="11.5703125" style="619" customWidth="1"/>
    <col min="2568" max="2568" width="13.42578125" style="619" customWidth="1"/>
    <col min="2569" max="2569" width="13.85546875" style="619" customWidth="1"/>
    <col min="2570" max="2816" width="9.140625" style="619"/>
    <col min="2817" max="2817" width="13" style="619" customWidth="1"/>
    <col min="2818" max="2818" width="9.140625" style="619"/>
    <col min="2819" max="2819" width="13" style="619" customWidth="1"/>
    <col min="2820" max="2820" width="29.7109375" style="619" customWidth="1"/>
    <col min="2821" max="2821" width="7.7109375" style="619" customWidth="1"/>
    <col min="2822" max="2822" width="6" style="619" customWidth="1"/>
    <col min="2823" max="2823" width="11.5703125" style="619" customWidth="1"/>
    <col min="2824" max="2824" width="13.42578125" style="619" customWidth="1"/>
    <col min="2825" max="2825" width="13.85546875" style="619" customWidth="1"/>
    <col min="2826" max="3072" width="9.140625" style="619"/>
    <col min="3073" max="3073" width="13" style="619" customWidth="1"/>
    <col min="3074" max="3074" width="9.140625" style="619"/>
    <col min="3075" max="3075" width="13" style="619" customWidth="1"/>
    <col min="3076" max="3076" width="29.7109375" style="619" customWidth="1"/>
    <col min="3077" max="3077" width="7.7109375" style="619" customWidth="1"/>
    <col min="3078" max="3078" width="6" style="619" customWidth="1"/>
    <col min="3079" max="3079" width="11.5703125" style="619" customWidth="1"/>
    <col min="3080" max="3080" width="13.42578125" style="619" customWidth="1"/>
    <col min="3081" max="3081" width="13.85546875" style="619" customWidth="1"/>
    <col min="3082" max="3328" width="9.140625" style="619"/>
    <col min="3329" max="3329" width="13" style="619" customWidth="1"/>
    <col min="3330" max="3330" width="9.140625" style="619"/>
    <col min="3331" max="3331" width="13" style="619" customWidth="1"/>
    <col min="3332" max="3332" width="29.7109375" style="619" customWidth="1"/>
    <col min="3333" max="3333" width="7.7109375" style="619" customWidth="1"/>
    <col min="3334" max="3334" width="6" style="619" customWidth="1"/>
    <col min="3335" max="3335" width="11.5703125" style="619" customWidth="1"/>
    <col min="3336" max="3336" width="13.42578125" style="619" customWidth="1"/>
    <col min="3337" max="3337" width="13.85546875" style="619" customWidth="1"/>
    <col min="3338" max="3584" width="9.140625" style="619"/>
    <col min="3585" max="3585" width="13" style="619" customWidth="1"/>
    <col min="3586" max="3586" width="9.140625" style="619"/>
    <col min="3587" max="3587" width="13" style="619" customWidth="1"/>
    <col min="3588" max="3588" width="29.7109375" style="619" customWidth="1"/>
    <col min="3589" max="3589" width="7.7109375" style="619" customWidth="1"/>
    <col min="3590" max="3590" width="6" style="619" customWidth="1"/>
    <col min="3591" max="3591" width="11.5703125" style="619" customWidth="1"/>
    <col min="3592" max="3592" width="13.42578125" style="619" customWidth="1"/>
    <col min="3593" max="3593" width="13.85546875" style="619" customWidth="1"/>
    <col min="3594" max="3840" width="9.140625" style="619"/>
    <col min="3841" max="3841" width="13" style="619" customWidth="1"/>
    <col min="3842" max="3842" width="9.140625" style="619"/>
    <col min="3843" max="3843" width="13" style="619" customWidth="1"/>
    <col min="3844" max="3844" width="29.7109375" style="619" customWidth="1"/>
    <col min="3845" max="3845" width="7.7109375" style="619" customWidth="1"/>
    <col min="3846" max="3846" width="6" style="619" customWidth="1"/>
    <col min="3847" max="3847" width="11.5703125" style="619" customWidth="1"/>
    <col min="3848" max="3848" width="13.42578125" style="619" customWidth="1"/>
    <col min="3849" max="3849" width="13.85546875" style="619" customWidth="1"/>
    <col min="3850" max="4096" width="9.140625" style="619"/>
    <col min="4097" max="4097" width="13" style="619" customWidth="1"/>
    <col min="4098" max="4098" width="9.140625" style="619"/>
    <col min="4099" max="4099" width="13" style="619" customWidth="1"/>
    <col min="4100" max="4100" width="29.7109375" style="619" customWidth="1"/>
    <col min="4101" max="4101" width="7.7109375" style="619" customWidth="1"/>
    <col min="4102" max="4102" width="6" style="619" customWidth="1"/>
    <col min="4103" max="4103" width="11.5703125" style="619" customWidth="1"/>
    <col min="4104" max="4104" width="13.42578125" style="619" customWidth="1"/>
    <col min="4105" max="4105" width="13.85546875" style="619" customWidth="1"/>
    <col min="4106" max="4352" width="9.140625" style="619"/>
    <col min="4353" max="4353" width="13" style="619" customWidth="1"/>
    <col min="4354" max="4354" width="9.140625" style="619"/>
    <col min="4355" max="4355" width="13" style="619" customWidth="1"/>
    <col min="4356" max="4356" width="29.7109375" style="619" customWidth="1"/>
    <col min="4357" max="4357" width="7.7109375" style="619" customWidth="1"/>
    <col min="4358" max="4358" width="6" style="619" customWidth="1"/>
    <col min="4359" max="4359" width="11.5703125" style="619" customWidth="1"/>
    <col min="4360" max="4360" width="13.42578125" style="619" customWidth="1"/>
    <col min="4361" max="4361" width="13.85546875" style="619" customWidth="1"/>
    <col min="4362" max="4608" width="9.140625" style="619"/>
    <col min="4609" max="4609" width="13" style="619" customWidth="1"/>
    <col min="4610" max="4610" width="9.140625" style="619"/>
    <col min="4611" max="4611" width="13" style="619" customWidth="1"/>
    <col min="4612" max="4612" width="29.7109375" style="619" customWidth="1"/>
    <col min="4613" max="4613" width="7.7109375" style="619" customWidth="1"/>
    <col min="4614" max="4614" width="6" style="619" customWidth="1"/>
    <col min="4615" max="4615" width="11.5703125" style="619" customWidth="1"/>
    <col min="4616" max="4616" width="13.42578125" style="619" customWidth="1"/>
    <col min="4617" max="4617" width="13.85546875" style="619" customWidth="1"/>
    <col min="4618" max="4864" width="9.140625" style="619"/>
    <col min="4865" max="4865" width="13" style="619" customWidth="1"/>
    <col min="4866" max="4866" width="9.140625" style="619"/>
    <col min="4867" max="4867" width="13" style="619" customWidth="1"/>
    <col min="4868" max="4868" width="29.7109375" style="619" customWidth="1"/>
    <col min="4869" max="4869" width="7.7109375" style="619" customWidth="1"/>
    <col min="4870" max="4870" width="6" style="619" customWidth="1"/>
    <col min="4871" max="4871" width="11.5703125" style="619" customWidth="1"/>
    <col min="4872" max="4872" width="13.42578125" style="619" customWidth="1"/>
    <col min="4873" max="4873" width="13.85546875" style="619" customWidth="1"/>
    <col min="4874" max="5120" width="9.140625" style="619"/>
    <col min="5121" max="5121" width="13" style="619" customWidth="1"/>
    <col min="5122" max="5122" width="9.140625" style="619"/>
    <col min="5123" max="5123" width="13" style="619" customWidth="1"/>
    <col min="5124" max="5124" width="29.7109375" style="619" customWidth="1"/>
    <col min="5125" max="5125" width="7.7109375" style="619" customWidth="1"/>
    <col min="5126" max="5126" width="6" style="619" customWidth="1"/>
    <col min="5127" max="5127" width="11.5703125" style="619" customWidth="1"/>
    <col min="5128" max="5128" width="13.42578125" style="619" customWidth="1"/>
    <col min="5129" max="5129" width="13.85546875" style="619" customWidth="1"/>
    <col min="5130" max="5376" width="9.140625" style="619"/>
    <col min="5377" max="5377" width="13" style="619" customWidth="1"/>
    <col min="5378" max="5378" width="9.140625" style="619"/>
    <col min="5379" max="5379" width="13" style="619" customWidth="1"/>
    <col min="5380" max="5380" width="29.7109375" style="619" customWidth="1"/>
    <col min="5381" max="5381" width="7.7109375" style="619" customWidth="1"/>
    <col min="5382" max="5382" width="6" style="619" customWidth="1"/>
    <col min="5383" max="5383" width="11.5703125" style="619" customWidth="1"/>
    <col min="5384" max="5384" width="13.42578125" style="619" customWidth="1"/>
    <col min="5385" max="5385" width="13.85546875" style="619" customWidth="1"/>
    <col min="5386" max="5632" width="9.140625" style="619"/>
    <col min="5633" max="5633" width="13" style="619" customWidth="1"/>
    <col min="5634" max="5634" width="9.140625" style="619"/>
    <col min="5635" max="5635" width="13" style="619" customWidth="1"/>
    <col min="5636" max="5636" width="29.7109375" style="619" customWidth="1"/>
    <col min="5637" max="5637" width="7.7109375" style="619" customWidth="1"/>
    <col min="5638" max="5638" width="6" style="619" customWidth="1"/>
    <col min="5639" max="5639" width="11.5703125" style="619" customWidth="1"/>
    <col min="5640" max="5640" width="13.42578125" style="619" customWidth="1"/>
    <col min="5641" max="5641" width="13.85546875" style="619" customWidth="1"/>
    <col min="5642" max="5888" width="9.140625" style="619"/>
    <col min="5889" max="5889" width="13" style="619" customWidth="1"/>
    <col min="5890" max="5890" width="9.140625" style="619"/>
    <col min="5891" max="5891" width="13" style="619" customWidth="1"/>
    <col min="5892" max="5892" width="29.7109375" style="619" customWidth="1"/>
    <col min="5893" max="5893" width="7.7109375" style="619" customWidth="1"/>
    <col min="5894" max="5894" width="6" style="619" customWidth="1"/>
    <col min="5895" max="5895" width="11.5703125" style="619" customWidth="1"/>
    <col min="5896" max="5896" width="13.42578125" style="619" customWidth="1"/>
    <col min="5897" max="5897" width="13.85546875" style="619" customWidth="1"/>
    <col min="5898" max="6144" width="9.140625" style="619"/>
    <col min="6145" max="6145" width="13" style="619" customWidth="1"/>
    <col min="6146" max="6146" width="9.140625" style="619"/>
    <col min="6147" max="6147" width="13" style="619" customWidth="1"/>
    <col min="6148" max="6148" width="29.7109375" style="619" customWidth="1"/>
    <col min="6149" max="6149" width="7.7109375" style="619" customWidth="1"/>
    <col min="6150" max="6150" width="6" style="619" customWidth="1"/>
    <col min="6151" max="6151" width="11.5703125" style="619" customWidth="1"/>
    <col min="6152" max="6152" width="13.42578125" style="619" customWidth="1"/>
    <col min="6153" max="6153" width="13.85546875" style="619" customWidth="1"/>
    <col min="6154" max="6400" width="9.140625" style="619"/>
    <col min="6401" max="6401" width="13" style="619" customWidth="1"/>
    <col min="6402" max="6402" width="9.140625" style="619"/>
    <col min="6403" max="6403" width="13" style="619" customWidth="1"/>
    <col min="6404" max="6404" width="29.7109375" style="619" customWidth="1"/>
    <col min="6405" max="6405" width="7.7109375" style="619" customWidth="1"/>
    <col min="6406" max="6406" width="6" style="619" customWidth="1"/>
    <col min="6407" max="6407" width="11.5703125" style="619" customWidth="1"/>
    <col min="6408" max="6408" width="13.42578125" style="619" customWidth="1"/>
    <col min="6409" max="6409" width="13.85546875" style="619" customWidth="1"/>
    <col min="6410" max="6656" width="9.140625" style="619"/>
    <col min="6657" max="6657" width="13" style="619" customWidth="1"/>
    <col min="6658" max="6658" width="9.140625" style="619"/>
    <col min="6659" max="6659" width="13" style="619" customWidth="1"/>
    <col min="6660" max="6660" width="29.7109375" style="619" customWidth="1"/>
    <col min="6661" max="6661" width="7.7109375" style="619" customWidth="1"/>
    <col min="6662" max="6662" width="6" style="619" customWidth="1"/>
    <col min="6663" max="6663" width="11.5703125" style="619" customWidth="1"/>
    <col min="6664" max="6664" width="13.42578125" style="619" customWidth="1"/>
    <col min="6665" max="6665" width="13.85546875" style="619" customWidth="1"/>
    <col min="6666" max="6912" width="9.140625" style="619"/>
    <col min="6913" max="6913" width="13" style="619" customWidth="1"/>
    <col min="6914" max="6914" width="9.140625" style="619"/>
    <col min="6915" max="6915" width="13" style="619" customWidth="1"/>
    <col min="6916" max="6916" width="29.7109375" style="619" customWidth="1"/>
    <col min="6917" max="6917" width="7.7109375" style="619" customWidth="1"/>
    <col min="6918" max="6918" width="6" style="619" customWidth="1"/>
    <col min="6919" max="6919" width="11.5703125" style="619" customWidth="1"/>
    <col min="6920" max="6920" width="13.42578125" style="619" customWidth="1"/>
    <col min="6921" max="6921" width="13.85546875" style="619" customWidth="1"/>
    <col min="6922" max="7168" width="9.140625" style="619"/>
    <col min="7169" max="7169" width="13" style="619" customWidth="1"/>
    <col min="7170" max="7170" width="9.140625" style="619"/>
    <col min="7171" max="7171" width="13" style="619" customWidth="1"/>
    <col min="7172" max="7172" width="29.7109375" style="619" customWidth="1"/>
    <col min="7173" max="7173" width="7.7109375" style="619" customWidth="1"/>
    <col min="7174" max="7174" width="6" style="619" customWidth="1"/>
    <col min="7175" max="7175" width="11.5703125" style="619" customWidth="1"/>
    <col min="7176" max="7176" width="13.42578125" style="619" customWidth="1"/>
    <col min="7177" max="7177" width="13.85546875" style="619" customWidth="1"/>
    <col min="7178" max="7424" width="9.140625" style="619"/>
    <col min="7425" max="7425" width="13" style="619" customWidth="1"/>
    <col min="7426" max="7426" width="9.140625" style="619"/>
    <col min="7427" max="7427" width="13" style="619" customWidth="1"/>
    <col min="7428" max="7428" width="29.7109375" style="619" customWidth="1"/>
    <col min="7429" max="7429" width="7.7109375" style="619" customWidth="1"/>
    <col min="7430" max="7430" width="6" style="619" customWidth="1"/>
    <col min="7431" max="7431" width="11.5703125" style="619" customWidth="1"/>
    <col min="7432" max="7432" width="13.42578125" style="619" customWidth="1"/>
    <col min="7433" max="7433" width="13.85546875" style="619" customWidth="1"/>
    <col min="7434" max="7680" width="9.140625" style="619"/>
    <col min="7681" max="7681" width="13" style="619" customWidth="1"/>
    <col min="7682" max="7682" width="9.140625" style="619"/>
    <col min="7683" max="7683" width="13" style="619" customWidth="1"/>
    <col min="7684" max="7684" width="29.7109375" style="619" customWidth="1"/>
    <col min="7685" max="7685" width="7.7109375" style="619" customWidth="1"/>
    <col min="7686" max="7686" width="6" style="619" customWidth="1"/>
    <col min="7687" max="7687" width="11.5703125" style="619" customWidth="1"/>
    <col min="7688" max="7688" width="13.42578125" style="619" customWidth="1"/>
    <col min="7689" max="7689" width="13.85546875" style="619" customWidth="1"/>
    <col min="7690" max="7936" width="9.140625" style="619"/>
    <col min="7937" max="7937" width="13" style="619" customWidth="1"/>
    <col min="7938" max="7938" width="9.140625" style="619"/>
    <col min="7939" max="7939" width="13" style="619" customWidth="1"/>
    <col min="7940" max="7940" width="29.7109375" style="619" customWidth="1"/>
    <col min="7941" max="7941" width="7.7109375" style="619" customWidth="1"/>
    <col min="7942" max="7942" width="6" style="619" customWidth="1"/>
    <col min="7943" max="7943" width="11.5703125" style="619" customWidth="1"/>
    <col min="7944" max="7944" width="13.42578125" style="619" customWidth="1"/>
    <col min="7945" max="7945" width="13.85546875" style="619" customWidth="1"/>
    <col min="7946" max="8192" width="9.140625" style="619"/>
    <col min="8193" max="8193" width="13" style="619" customWidth="1"/>
    <col min="8194" max="8194" width="9.140625" style="619"/>
    <col min="8195" max="8195" width="13" style="619" customWidth="1"/>
    <col min="8196" max="8196" width="29.7109375" style="619" customWidth="1"/>
    <col min="8197" max="8197" width="7.7109375" style="619" customWidth="1"/>
    <col min="8198" max="8198" width="6" style="619" customWidth="1"/>
    <col min="8199" max="8199" width="11.5703125" style="619" customWidth="1"/>
    <col min="8200" max="8200" width="13.42578125" style="619" customWidth="1"/>
    <col min="8201" max="8201" width="13.85546875" style="619" customWidth="1"/>
    <col min="8202" max="8448" width="9.140625" style="619"/>
    <col min="8449" max="8449" width="13" style="619" customWidth="1"/>
    <col min="8450" max="8450" width="9.140625" style="619"/>
    <col min="8451" max="8451" width="13" style="619" customWidth="1"/>
    <col min="8452" max="8452" width="29.7109375" style="619" customWidth="1"/>
    <col min="8453" max="8453" width="7.7109375" style="619" customWidth="1"/>
    <col min="8454" max="8454" width="6" style="619" customWidth="1"/>
    <col min="8455" max="8455" width="11.5703125" style="619" customWidth="1"/>
    <col min="8456" max="8456" width="13.42578125" style="619" customWidth="1"/>
    <col min="8457" max="8457" width="13.85546875" style="619" customWidth="1"/>
    <col min="8458" max="8704" width="9.140625" style="619"/>
    <col min="8705" max="8705" width="13" style="619" customWidth="1"/>
    <col min="8706" max="8706" width="9.140625" style="619"/>
    <col min="8707" max="8707" width="13" style="619" customWidth="1"/>
    <col min="8708" max="8708" width="29.7109375" style="619" customWidth="1"/>
    <col min="8709" max="8709" width="7.7109375" style="619" customWidth="1"/>
    <col min="8710" max="8710" width="6" style="619" customWidth="1"/>
    <col min="8711" max="8711" width="11.5703125" style="619" customWidth="1"/>
    <col min="8712" max="8712" width="13.42578125" style="619" customWidth="1"/>
    <col min="8713" max="8713" width="13.85546875" style="619" customWidth="1"/>
    <col min="8714" max="8960" width="9.140625" style="619"/>
    <col min="8961" max="8961" width="13" style="619" customWidth="1"/>
    <col min="8962" max="8962" width="9.140625" style="619"/>
    <col min="8963" max="8963" width="13" style="619" customWidth="1"/>
    <col min="8964" max="8964" width="29.7109375" style="619" customWidth="1"/>
    <col min="8965" max="8965" width="7.7109375" style="619" customWidth="1"/>
    <col min="8966" max="8966" width="6" style="619" customWidth="1"/>
    <col min="8967" max="8967" width="11.5703125" style="619" customWidth="1"/>
    <col min="8968" max="8968" width="13.42578125" style="619" customWidth="1"/>
    <col min="8969" max="8969" width="13.85546875" style="619" customWidth="1"/>
    <col min="8970" max="9216" width="9.140625" style="619"/>
    <col min="9217" max="9217" width="13" style="619" customWidth="1"/>
    <col min="9218" max="9218" width="9.140625" style="619"/>
    <col min="9219" max="9219" width="13" style="619" customWidth="1"/>
    <col min="9220" max="9220" width="29.7109375" style="619" customWidth="1"/>
    <col min="9221" max="9221" width="7.7109375" style="619" customWidth="1"/>
    <col min="9222" max="9222" width="6" style="619" customWidth="1"/>
    <col min="9223" max="9223" width="11.5703125" style="619" customWidth="1"/>
    <col min="9224" max="9224" width="13.42578125" style="619" customWidth="1"/>
    <col min="9225" max="9225" width="13.85546875" style="619" customWidth="1"/>
    <col min="9226" max="9472" width="9.140625" style="619"/>
    <col min="9473" max="9473" width="13" style="619" customWidth="1"/>
    <col min="9474" max="9474" width="9.140625" style="619"/>
    <col min="9475" max="9475" width="13" style="619" customWidth="1"/>
    <col min="9476" max="9476" width="29.7109375" style="619" customWidth="1"/>
    <col min="9477" max="9477" width="7.7109375" style="619" customWidth="1"/>
    <col min="9478" max="9478" width="6" style="619" customWidth="1"/>
    <col min="9479" max="9479" width="11.5703125" style="619" customWidth="1"/>
    <col min="9480" max="9480" width="13.42578125" style="619" customWidth="1"/>
    <col min="9481" max="9481" width="13.85546875" style="619" customWidth="1"/>
    <col min="9482" max="9728" width="9.140625" style="619"/>
    <col min="9729" max="9729" width="13" style="619" customWidth="1"/>
    <col min="9730" max="9730" width="9.140625" style="619"/>
    <col min="9731" max="9731" width="13" style="619" customWidth="1"/>
    <col min="9732" max="9732" width="29.7109375" style="619" customWidth="1"/>
    <col min="9733" max="9733" width="7.7109375" style="619" customWidth="1"/>
    <col min="9734" max="9734" width="6" style="619" customWidth="1"/>
    <col min="9735" max="9735" width="11.5703125" style="619" customWidth="1"/>
    <col min="9736" max="9736" width="13.42578125" style="619" customWidth="1"/>
    <col min="9737" max="9737" width="13.85546875" style="619" customWidth="1"/>
    <col min="9738" max="9984" width="9.140625" style="619"/>
    <col min="9985" max="9985" width="13" style="619" customWidth="1"/>
    <col min="9986" max="9986" width="9.140625" style="619"/>
    <col min="9987" max="9987" width="13" style="619" customWidth="1"/>
    <col min="9988" max="9988" width="29.7109375" style="619" customWidth="1"/>
    <col min="9989" max="9989" width="7.7109375" style="619" customWidth="1"/>
    <col min="9990" max="9990" width="6" style="619" customWidth="1"/>
    <col min="9991" max="9991" width="11.5703125" style="619" customWidth="1"/>
    <col min="9992" max="9992" width="13.42578125" style="619" customWidth="1"/>
    <col min="9993" max="9993" width="13.85546875" style="619" customWidth="1"/>
    <col min="9994" max="10240" width="9.140625" style="619"/>
    <col min="10241" max="10241" width="13" style="619" customWidth="1"/>
    <col min="10242" max="10242" width="9.140625" style="619"/>
    <col min="10243" max="10243" width="13" style="619" customWidth="1"/>
    <col min="10244" max="10244" width="29.7109375" style="619" customWidth="1"/>
    <col min="10245" max="10245" width="7.7109375" style="619" customWidth="1"/>
    <col min="10246" max="10246" width="6" style="619" customWidth="1"/>
    <col min="10247" max="10247" width="11.5703125" style="619" customWidth="1"/>
    <col min="10248" max="10248" width="13.42578125" style="619" customWidth="1"/>
    <col min="10249" max="10249" width="13.85546875" style="619" customWidth="1"/>
    <col min="10250" max="10496" width="9.140625" style="619"/>
    <col min="10497" max="10497" width="13" style="619" customWidth="1"/>
    <col min="10498" max="10498" width="9.140625" style="619"/>
    <col min="10499" max="10499" width="13" style="619" customWidth="1"/>
    <col min="10500" max="10500" width="29.7109375" style="619" customWidth="1"/>
    <col min="10501" max="10501" width="7.7109375" style="619" customWidth="1"/>
    <col min="10502" max="10502" width="6" style="619" customWidth="1"/>
    <col min="10503" max="10503" width="11.5703125" style="619" customWidth="1"/>
    <col min="10504" max="10504" width="13.42578125" style="619" customWidth="1"/>
    <col min="10505" max="10505" width="13.85546875" style="619" customWidth="1"/>
    <col min="10506" max="10752" width="9.140625" style="619"/>
    <col min="10753" max="10753" width="13" style="619" customWidth="1"/>
    <col min="10754" max="10754" width="9.140625" style="619"/>
    <col min="10755" max="10755" width="13" style="619" customWidth="1"/>
    <col min="10756" max="10756" width="29.7109375" style="619" customWidth="1"/>
    <col min="10757" max="10757" width="7.7109375" style="619" customWidth="1"/>
    <col min="10758" max="10758" width="6" style="619" customWidth="1"/>
    <col min="10759" max="10759" width="11.5703125" style="619" customWidth="1"/>
    <col min="10760" max="10760" width="13.42578125" style="619" customWidth="1"/>
    <col min="10761" max="10761" width="13.85546875" style="619" customWidth="1"/>
    <col min="10762" max="11008" width="9.140625" style="619"/>
    <col min="11009" max="11009" width="13" style="619" customWidth="1"/>
    <col min="11010" max="11010" width="9.140625" style="619"/>
    <col min="11011" max="11011" width="13" style="619" customWidth="1"/>
    <col min="11012" max="11012" width="29.7109375" style="619" customWidth="1"/>
    <col min="11013" max="11013" width="7.7109375" style="619" customWidth="1"/>
    <col min="11014" max="11014" width="6" style="619" customWidth="1"/>
    <col min="11015" max="11015" width="11.5703125" style="619" customWidth="1"/>
    <col min="11016" max="11016" width="13.42578125" style="619" customWidth="1"/>
    <col min="11017" max="11017" width="13.85546875" style="619" customWidth="1"/>
    <col min="11018" max="11264" width="9.140625" style="619"/>
    <col min="11265" max="11265" width="13" style="619" customWidth="1"/>
    <col min="11266" max="11266" width="9.140625" style="619"/>
    <col min="11267" max="11267" width="13" style="619" customWidth="1"/>
    <col min="11268" max="11268" width="29.7109375" style="619" customWidth="1"/>
    <col min="11269" max="11269" width="7.7109375" style="619" customWidth="1"/>
    <col min="11270" max="11270" width="6" style="619" customWidth="1"/>
    <col min="11271" max="11271" width="11.5703125" style="619" customWidth="1"/>
    <col min="11272" max="11272" width="13.42578125" style="619" customWidth="1"/>
    <col min="11273" max="11273" width="13.85546875" style="619" customWidth="1"/>
    <col min="11274" max="11520" width="9.140625" style="619"/>
    <col min="11521" max="11521" width="13" style="619" customWidth="1"/>
    <col min="11522" max="11522" width="9.140625" style="619"/>
    <col min="11523" max="11523" width="13" style="619" customWidth="1"/>
    <col min="11524" max="11524" width="29.7109375" style="619" customWidth="1"/>
    <col min="11525" max="11525" width="7.7109375" style="619" customWidth="1"/>
    <col min="11526" max="11526" width="6" style="619" customWidth="1"/>
    <col min="11527" max="11527" width="11.5703125" style="619" customWidth="1"/>
    <col min="11528" max="11528" width="13.42578125" style="619" customWidth="1"/>
    <col min="11529" max="11529" width="13.85546875" style="619" customWidth="1"/>
    <col min="11530" max="11776" width="9.140625" style="619"/>
    <col min="11777" max="11777" width="13" style="619" customWidth="1"/>
    <col min="11778" max="11778" width="9.140625" style="619"/>
    <col min="11779" max="11779" width="13" style="619" customWidth="1"/>
    <col min="11780" max="11780" width="29.7109375" style="619" customWidth="1"/>
    <col min="11781" max="11781" width="7.7109375" style="619" customWidth="1"/>
    <col min="11782" max="11782" width="6" style="619" customWidth="1"/>
    <col min="11783" max="11783" width="11.5703125" style="619" customWidth="1"/>
    <col min="11784" max="11784" width="13.42578125" style="619" customWidth="1"/>
    <col min="11785" max="11785" width="13.85546875" style="619" customWidth="1"/>
    <col min="11786" max="12032" width="9.140625" style="619"/>
    <col min="12033" max="12033" width="13" style="619" customWidth="1"/>
    <col min="12034" max="12034" width="9.140625" style="619"/>
    <col min="12035" max="12035" width="13" style="619" customWidth="1"/>
    <col min="12036" max="12036" width="29.7109375" style="619" customWidth="1"/>
    <col min="12037" max="12037" width="7.7109375" style="619" customWidth="1"/>
    <col min="12038" max="12038" width="6" style="619" customWidth="1"/>
    <col min="12039" max="12039" width="11.5703125" style="619" customWidth="1"/>
    <col min="12040" max="12040" width="13.42578125" style="619" customWidth="1"/>
    <col min="12041" max="12041" width="13.85546875" style="619" customWidth="1"/>
    <col min="12042" max="12288" width="9.140625" style="619"/>
    <col min="12289" max="12289" width="13" style="619" customWidth="1"/>
    <col min="12290" max="12290" width="9.140625" style="619"/>
    <col min="12291" max="12291" width="13" style="619" customWidth="1"/>
    <col min="12292" max="12292" width="29.7109375" style="619" customWidth="1"/>
    <col min="12293" max="12293" width="7.7109375" style="619" customWidth="1"/>
    <col min="12294" max="12294" width="6" style="619" customWidth="1"/>
    <col min="12295" max="12295" width="11.5703125" style="619" customWidth="1"/>
    <col min="12296" max="12296" width="13.42578125" style="619" customWidth="1"/>
    <col min="12297" max="12297" width="13.85546875" style="619" customWidth="1"/>
    <col min="12298" max="12544" width="9.140625" style="619"/>
    <col min="12545" max="12545" width="13" style="619" customWidth="1"/>
    <col min="12546" max="12546" width="9.140625" style="619"/>
    <col min="12547" max="12547" width="13" style="619" customWidth="1"/>
    <col min="12548" max="12548" width="29.7109375" style="619" customWidth="1"/>
    <col min="12549" max="12549" width="7.7109375" style="619" customWidth="1"/>
    <col min="12550" max="12550" width="6" style="619" customWidth="1"/>
    <col min="12551" max="12551" width="11.5703125" style="619" customWidth="1"/>
    <col min="12552" max="12552" width="13.42578125" style="619" customWidth="1"/>
    <col min="12553" max="12553" width="13.85546875" style="619" customWidth="1"/>
    <col min="12554" max="12800" width="9.140625" style="619"/>
    <col min="12801" max="12801" width="13" style="619" customWidth="1"/>
    <col min="12802" max="12802" width="9.140625" style="619"/>
    <col min="12803" max="12803" width="13" style="619" customWidth="1"/>
    <col min="12804" max="12804" width="29.7109375" style="619" customWidth="1"/>
    <col min="12805" max="12805" width="7.7109375" style="619" customWidth="1"/>
    <col min="12806" max="12806" width="6" style="619" customWidth="1"/>
    <col min="12807" max="12807" width="11.5703125" style="619" customWidth="1"/>
    <col min="12808" max="12808" width="13.42578125" style="619" customWidth="1"/>
    <col min="12809" max="12809" width="13.85546875" style="619" customWidth="1"/>
    <col min="12810" max="13056" width="9.140625" style="619"/>
    <col min="13057" max="13057" width="13" style="619" customWidth="1"/>
    <col min="13058" max="13058" width="9.140625" style="619"/>
    <col min="13059" max="13059" width="13" style="619" customWidth="1"/>
    <col min="13060" max="13060" width="29.7109375" style="619" customWidth="1"/>
    <col min="13061" max="13061" width="7.7109375" style="619" customWidth="1"/>
    <col min="13062" max="13062" width="6" style="619" customWidth="1"/>
    <col min="13063" max="13063" width="11.5703125" style="619" customWidth="1"/>
    <col min="13064" max="13064" width="13.42578125" style="619" customWidth="1"/>
    <col min="13065" max="13065" width="13.85546875" style="619" customWidth="1"/>
    <col min="13066" max="13312" width="9.140625" style="619"/>
    <col min="13313" max="13313" width="13" style="619" customWidth="1"/>
    <col min="13314" max="13314" width="9.140625" style="619"/>
    <col min="13315" max="13315" width="13" style="619" customWidth="1"/>
    <col min="13316" max="13316" width="29.7109375" style="619" customWidth="1"/>
    <col min="13317" max="13317" width="7.7109375" style="619" customWidth="1"/>
    <col min="13318" max="13318" width="6" style="619" customWidth="1"/>
    <col min="13319" max="13319" width="11.5703125" style="619" customWidth="1"/>
    <col min="13320" max="13320" width="13.42578125" style="619" customWidth="1"/>
    <col min="13321" max="13321" width="13.85546875" style="619" customWidth="1"/>
    <col min="13322" max="13568" width="9.140625" style="619"/>
    <col min="13569" max="13569" width="13" style="619" customWidth="1"/>
    <col min="13570" max="13570" width="9.140625" style="619"/>
    <col min="13571" max="13571" width="13" style="619" customWidth="1"/>
    <col min="13572" max="13572" width="29.7109375" style="619" customWidth="1"/>
    <col min="13573" max="13573" width="7.7109375" style="619" customWidth="1"/>
    <col min="13574" max="13574" width="6" style="619" customWidth="1"/>
    <col min="13575" max="13575" width="11.5703125" style="619" customWidth="1"/>
    <col min="13576" max="13576" width="13.42578125" style="619" customWidth="1"/>
    <col min="13577" max="13577" width="13.85546875" style="619" customWidth="1"/>
    <col min="13578" max="13824" width="9.140625" style="619"/>
    <col min="13825" max="13825" width="13" style="619" customWidth="1"/>
    <col min="13826" max="13826" width="9.140625" style="619"/>
    <col min="13827" max="13827" width="13" style="619" customWidth="1"/>
    <col min="13828" max="13828" width="29.7109375" style="619" customWidth="1"/>
    <col min="13829" max="13829" width="7.7109375" style="619" customWidth="1"/>
    <col min="13830" max="13830" width="6" style="619" customWidth="1"/>
    <col min="13831" max="13831" width="11.5703125" style="619" customWidth="1"/>
    <col min="13832" max="13832" width="13.42578125" style="619" customWidth="1"/>
    <col min="13833" max="13833" width="13.85546875" style="619" customWidth="1"/>
    <col min="13834" max="14080" width="9.140625" style="619"/>
    <col min="14081" max="14081" width="13" style="619" customWidth="1"/>
    <col min="14082" max="14082" width="9.140625" style="619"/>
    <col min="14083" max="14083" width="13" style="619" customWidth="1"/>
    <col min="14084" max="14084" width="29.7109375" style="619" customWidth="1"/>
    <col min="14085" max="14085" width="7.7109375" style="619" customWidth="1"/>
    <col min="14086" max="14086" width="6" style="619" customWidth="1"/>
    <col min="14087" max="14087" width="11.5703125" style="619" customWidth="1"/>
    <col min="14088" max="14088" width="13.42578125" style="619" customWidth="1"/>
    <col min="14089" max="14089" width="13.85546875" style="619" customWidth="1"/>
    <col min="14090" max="14336" width="9.140625" style="619"/>
    <col min="14337" max="14337" width="13" style="619" customWidth="1"/>
    <col min="14338" max="14338" width="9.140625" style="619"/>
    <col min="14339" max="14339" width="13" style="619" customWidth="1"/>
    <col min="14340" max="14340" width="29.7109375" style="619" customWidth="1"/>
    <col min="14341" max="14341" width="7.7109375" style="619" customWidth="1"/>
    <col min="14342" max="14342" width="6" style="619" customWidth="1"/>
    <col min="14343" max="14343" width="11.5703125" style="619" customWidth="1"/>
    <col min="14344" max="14344" width="13.42578125" style="619" customWidth="1"/>
    <col min="14345" max="14345" width="13.85546875" style="619" customWidth="1"/>
    <col min="14346" max="14592" width="9.140625" style="619"/>
    <col min="14593" max="14593" width="13" style="619" customWidth="1"/>
    <col min="14594" max="14594" width="9.140625" style="619"/>
    <col min="14595" max="14595" width="13" style="619" customWidth="1"/>
    <col min="14596" max="14596" width="29.7109375" style="619" customWidth="1"/>
    <col min="14597" max="14597" width="7.7109375" style="619" customWidth="1"/>
    <col min="14598" max="14598" width="6" style="619" customWidth="1"/>
    <col min="14599" max="14599" width="11.5703125" style="619" customWidth="1"/>
    <col min="14600" max="14600" width="13.42578125" style="619" customWidth="1"/>
    <col min="14601" max="14601" width="13.85546875" style="619" customWidth="1"/>
    <col min="14602" max="14848" width="9.140625" style="619"/>
    <col min="14849" max="14849" width="13" style="619" customWidth="1"/>
    <col min="14850" max="14850" width="9.140625" style="619"/>
    <col min="14851" max="14851" width="13" style="619" customWidth="1"/>
    <col min="14852" max="14852" width="29.7109375" style="619" customWidth="1"/>
    <col min="14853" max="14853" width="7.7109375" style="619" customWidth="1"/>
    <col min="14854" max="14854" width="6" style="619" customWidth="1"/>
    <col min="14855" max="14855" width="11.5703125" style="619" customWidth="1"/>
    <col min="14856" max="14856" width="13.42578125" style="619" customWidth="1"/>
    <col min="14857" max="14857" width="13.85546875" style="619" customWidth="1"/>
    <col min="14858" max="15104" width="9.140625" style="619"/>
    <col min="15105" max="15105" width="13" style="619" customWidth="1"/>
    <col min="15106" max="15106" width="9.140625" style="619"/>
    <col min="15107" max="15107" width="13" style="619" customWidth="1"/>
    <col min="15108" max="15108" width="29.7109375" style="619" customWidth="1"/>
    <col min="15109" max="15109" width="7.7109375" style="619" customWidth="1"/>
    <col min="15110" max="15110" width="6" style="619" customWidth="1"/>
    <col min="15111" max="15111" width="11.5703125" style="619" customWidth="1"/>
    <col min="15112" max="15112" width="13.42578125" style="619" customWidth="1"/>
    <col min="15113" max="15113" width="13.85546875" style="619" customWidth="1"/>
    <col min="15114" max="15360" width="9.140625" style="619"/>
    <col min="15361" max="15361" width="13" style="619" customWidth="1"/>
    <col min="15362" max="15362" width="9.140625" style="619"/>
    <col min="15363" max="15363" width="13" style="619" customWidth="1"/>
    <col min="15364" max="15364" width="29.7109375" style="619" customWidth="1"/>
    <col min="15365" max="15365" width="7.7109375" style="619" customWidth="1"/>
    <col min="15366" max="15366" width="6" style="619" customWidth="1"/>
    <col min="15367" max="15367" width="11.5703125" style="619" customWidth="1"/>
    <col min="15368" max="15368" width="13.42578125" style="619" customWidth="1"/>
    <col min="15369" max="15369" width="13.85546875" style="619" customWidth="1"/>
    <col min="15370" max="15616" width="9.140625" style="619"/>
    <col min="15617" max="15617" width="13" style="619" customWidth="1"/>
    <col min="15618" max="15618" width="9.140625" style="619"/>
    <col min="15619" max="15619" width="13" style="619" customWidth="1"/>
    <col min="15620" max="15620" width="29.7109375" style="619" customWidth="1"/>
    <col min="15621" max="15621" width="7.7109375" style="619" customWidth="1"/>
    <col min="15622" max="15622" width="6" style="619" customWidth="1"/>
    <col min="15623" max="15623" width="11.5703125" style="619" customWidth="1"/>
    <col min="15624" max="15624" width="13.42578125" style="619" customWidth="1"/>
    <col min="15625" max="15625" width="13.85546875" style="619" customWidth="1"/>
    <col min="15626" max="15872" width="9.140625" style="619"/>
    <col min="15873" max="15873" width="13" style="619" customWidth="1"/>
    <col min="15874" max="15874" width="9.140625" style="619"/>
    <col min="15875" max="15875" width="13" style="619" customWidth="1"/>
    <col min="15876" max="15876" width="29.7109375" style="619" customWidth="1"/>
    <col min="15877" max="15877" width="7.7109375" style="619" customWidth="1"/>
    <col min="15878" max="15878" width="6" style="619" customWidth="1"/>
    <col min="15879" max="15879" width="11.5703125" style="619" customWidth="1"/>
    <col min="15880" max="15880" width="13.42578125" style="619" customWidth="1"/>
    <col min="15881" max="15881" width="13.85546875" style="619" customWidth="1"/>
    <col min="15882" max="16128" width="9.140625" style="619"/>
    <col min="16129" max="16129" width="13" style="619" customWidth="1"/>
    <col min="16130" max="16130" width="9.140625" style="619"/>
    <col min="16131" max="16131" width="13" style="619" customWidth="1"/>
    <col min="16132" max="16132" width="29.7109375" style="619" customWidth="1"/>
    <col min="16133" max="16133" width="7.7109375" style="619" customWidth="1"/>
    <col min="16134" max="16134" width="6" style="619" customWidth="1"/>
    <col min="16135" max="16135" width="11.5703125" style="619" customWidth="1"/>
    <col min="16136" max="16136" width="13.42578125" style="619" customWidth="1"/>
    <col min="16137" max="16137" width="13.85546875" style="619" customWidth="1"/>
    <col min="16138" max="16384" width="9.140625" style="619"/>
  </cols>
  <sheetData>
    <row r="1" spans="1:14">
      <c r="A1" s="618" t="str">
        <f>TH!A1</f>
        <v>Đơn vị: CÔNG TY TNHH SX TM KIM DUNG PHÁT</v>
      </c>
      <c r="F1" s="910" t="s">
        <v>350</v>
      </c>
      <c r="G1" s="910"/>
      <c r="H1" s="910"/>
      <c r="I1" s="910"/>
    </row>
    <row r="2" spans="1:14">
      <c r="A2" s="619" t="str">
        <f>TH!A2</f>
        <v>Địa chỉ: 1A227/1 Ấp 1, Phạm Văn Hai, Bình Chánh, TPHCM</v>
      </c>
      <c r="F2" s="90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09"/>
      <c r="H2" s="909"/>
      <c r="I2" s="909"/>
    </row>
    <row r="3" spans="1:14">
      <c r="F3" s="909"/>
      <c r="G3" s="909"/>
      <c r="H3" s="909"/>
      <c r="I3" s="909"/>
    </row>
    <row r="4" spans="1:14">
      <c r="H4" s="620"/>
      <c r="I4" s="620"/>
    </row>
    <row r="5" spans="1:14" ht="26.25" customHeight="1">
      <c r="B5" s="621"/>
      <c r="C5" s="621"/>
      <c r="D5" s="622" t="s">
        <v>351</v>
      </c>
      <c r="E5" s="621"/>
      <c r="F5" s="621"/>
      <c r="G5" s="621"/>
      <c r="H5" s="621"/>
      <c r="I5" s="621"/>
      <c r="J5" s="621"/>
      <c r="K5" s="621"/>
    </row>
    <row r="6" spans="1:14">
      <c r="B6" s="623"/>
      <c r="C6" s="623"/>
      <c r="D6" s="624" t="str">
        <f ca="1">$K$9&amp;"   -   Năm:  " &amp;YEAR(A11)</f>
        <v>Quý III   -   Năm:  2013</v>
      </c>
      <c r="E6" s="623"/>
      <c r="F6" s="623"/>
      <c r="G6" s="623"/>
      <c r="H6" s="623"/>
      <c r="I6" s="623"/>
      <c r="J6" s="623"/>
      <c r="K6" s="623"/>
    </row>
    <row r="7" spans="1:14">
      <c r="A7" s="625"/>
      <c r="B7" s="625"/>
      <c r="C7" s="625"/>
      <c r="D7" s="625"/>
      <c r="E7" s="625"/>
      <c r="F7" s="625"/>
      <c r="G7" s="625"/>
      <c r="H7" s="913" t="s">
        <v>121</v>
      </c>
      <c r="I7" s="913"/>
      <c r="J7" s="625"/>
      <c r="K7" s="625"/>
      <c r="M7" s="912" t="s">
        <v>331</v>
      </c>
      <c r="N7" s="912"/>
    </row>
    <row r="8" spans="1:14" s="809" customFormat="1" ht="23.25" customHeight="1" thickBot="1">
      <c r="A8" s="914" t="s">
        <v>352</v>
      </c>
      <c r="B8" s="916" t="s">
        <v>1</v>
      </c>
      <c r="C8" s="917"/>
      <c r="D8" s="918" t="s">
        <v>0</v>
      </c>
      <c r="E8" s="914" t="s">
        <v>353</v>
      </c>
      <c r="F8" s="911" t="s">
        <v>94</v>
      </c>
      <c r="G8" s="911"/>
      <c r="H8" s="916" t="s">
        <v>21</v>
      </c>
      <c r="I8" s="917"/>
      <c r="J8" s="808"/>
      <c r="K8" s="808"/>
      <c r="M8" s="810">
        <f>IF(K9="Quý I",1,IF(K9="Quý II",4,IF(K9="Quý III",7,IF(K9="Quý IV",10,""))))</f>
        <v>7</v>
      </c>
      <c r="N8" s="810">
        <f>IF(K9="Quý I",3,IF(K9="Quý II",6,IF(K9="Quý III",9,IF(K9="Quý IV",12,""))))</f>
        <v>9</v>
      </c>
    </row>
    <row r="9" spans="1:14" s="809" customFormat="1" ht="28.5" customHeight="1" thickBot="1">
      <c r="A9" s="915"/>
      <c r="B9" s="811" t="s">
        <v>15</v>
      </c>
      <c r="C9" s="811" t="s">
        <v>32</v>
      </c>
      <c r="D9" s="919"/>
      <c r="E9" s="915"/>
      <c r="F9" s="812" t="s">
        <v>22</v>
      </c>
      <c r="G9" s="812" t="s">
        <v>23</v>
      </c>
      <c r="H9" s="811" t="s">
        <v>354</v>
      </c>
      <c r="I9" s="811" t="s">
        <v>23</v>
      </c>
      <c r="K9" s="701" t="s">
        <v>450</v>
      </c>
    </row>
    <row r="10" spans="1:14" s="809" customFormat="1" ht="21" customHeight="1">
      <c r="A10" s="813"/>
      <c r="B10" s="813"/>
      <c r="C10" s="813"/>
      <c r="D10" s="814" t="s">
        <v>357</v>
      </c>
      <c r="E10" s="815"/>
      <c r="F10" s="813"/>
      <c r="G10" s="813"/>
      <c r="H10" s="816">
        <f>SUMIF(_M,"&lt;"&amp;$M$8,TH)</f>
        <v>4796813456</v>
      </c>
      <c r="I10" s="816">
        <f>SUMIF(_M,"&lt;"&amp;$M$8,TH)</f>
        <v>4796813456</v>
      </c>
    </row>
    <row r="11" spans="1:14" s="809" customFormat="1" ht="21" customHeight="1">
      <c r="A11" s="817">
        <f ca="1">IF(ROWS($1:1)&gt;COUNT(Dong6),"",OFFSET(TH!C$1,SMALL(Dong6,ROWS($1:1)),))</f>
        <v>41456</v>
      </c>
      <c r="B11" s="818" t="str">
        <f ca="1">IF(ROWS($1:1)&gt;COUNT(Dong6),"",OFFSET(TH!D$1,SMALL(Dong6,ROWS($1:1)),))</f>
        <v>CTGS</v>
      </c>
      <c r="C11" s="817">
        <f ca="1">IF(ROWS($1:1)&gt;COUNT(Dong6),"",OFFSET(TH!E$1,SMALL(Dong6,ROWS($1:1)),))</f>
        <v>41456</v>
      </c>
      <c r="D11" s="819" t="str">
        <f ca="1">IF(ROWS($1:1)&gt;COUNT(Dong6),"",OFFSET(TH!F$1,SMALL(Dong6,ROWS($1:1)),))</f>
        <v>Trích khấu hao TSCĐ Hữu hình</v>
      </c>
      <c r="E11" s="818">
        <f t="shared" ref="E11:E40" ca="1" si="0">IF(D11&lt;&gt;"",ROW()-10,"")</f>
        <v>1</v>
      </c>
      <c r="F11" s="820" t="str">
        <f ca="1">IF(ROWS($1:1)&gt;COUNT(Dong6),"",OFFSET(TH!L$1,SMALL(Dong6,ROWS($1:1)),))</f>
        <v>154</v>
      </c>
      <c r="G11" s="820" t="str">
        <f ca="1">IF(ROWS($1:1)&gt;COUNT(Dong6),"",OFFSET(TH!M$1,SMALL(Dong6,ROWS($1:1)),))</f>
        <v>2141</v>
      </c>
      <c r="H11" s="700">
        <f ca="1">IF(ROWS($1:1)&gt;COUNT(Dong6),"",OFFSET(TH!K$1,SMALL(Dong6,ROWS($1:1)),))</f>
        <v>18250000</v>
      </c>
      <c r="I11" s="700">
        <f ca="1">IF(ROWS($1:1)&gt;COUNT(Dong6),"",OFFSET(TH!K$1,SMALL(Dong6,ROWS($1:1)),))</f>
        <v>18250000</v>
      </c>
    </row>
    <row r="12" spans="1:14" s="809" customFormat="1" ht="21" customHeight="1">
      <c r="A12" s="817">
        <f ca="1">IF(ROWS($1:2)&gt;COUNT(Dong6),"",OFFSET(TH!C$1,SMALL(Dong6,ROWS($1:2)),))</f>
        <v>41460</v>
      </c>
      <c r="B12" s="818" t="str">
        <f ca="1">IF(ROWS($1:2)&gt;COUNT(Dong6),"",OFFSET(TH!D$1,SMALL(Dong6,ROWS($1:2)),))</f>
        <v>TP/X01</v>
      </c>
      <c r="C12" s="817">
        <f ca="1">IF(ROWS($1:2)&gt;COUNT(Dong6),"",OFFSET(TH!E$1,SMALL(Dong6,ROWS($1:2)),))</f>
        <v>41460</v>
      </c>
      <c r="D12" s="819" t="str">
        <f ca="1">IF(ROWS($1:2)&gt;COUNT(Dong6),"",OFFSET(TH!F$1,SMALL(Dong6,ROWS($1:2)),))</f>
        <v>Thùng (51.5x24x24)</v>
      </c>
      <c r="E12" s="818">
        <f t="shared" ca="1" si="0"/>
        <v>2</v>
      </c>
      <c r="F12" s="820" t="str">
        <f ca="1">IF(ROWS($1:2)&gt;COUNT(Dong6),"",OFFSET(TH!L$1,SMALL(Dong6,ROWS($1:2)),))</f>
        <v>131</v>
      </c>
      <c r="G12" s="820" t="str">
        <f ca="1">IF(ROWS($1:2)&gt;COUNT(Dong6),"",OFFSET(TH!M$1,SMALL(Dong6,ROWS($1:2)),))</f>
        <v>5112</v>
      </c>
      <c r="H12" s="700">
        <f ca="1">IF(ROWS($1:2)&gt;COUNT(Dong6),"",OFFSET(TH!K$1,SMALL(Dong6,ROWS($1:2)),))</f>
        <v>3530900</v>
      </c>
      <c r="I12" s="700">
        <f ca="1">IF(ROWS($1:2)&gt;COUNT(Dong6),"",OFFSET(TH!K$1,SMALL(Dong6,ROWS($1:2)),))</f>
        <v>3530900</v>
      </c>
    </row>
    <row r="13" spans="1:14" s="809" customFormat="1" ht="21" customHeight="1">
      <c r="A13" s="817">
        <f ca="1">IF(ROWS($1:3)&gt;COUNT(Dong6),"",OFFSET(TH!C$1,SMALL(Dong6,ROWS($1:3)),))</f>
        <v>41460</v>
      </c>
      <c r="B13" s="818" t="str">
        <f ca="1">IF(ROWS($1:3)&gt;COUNT(Dong6),"",OFFSET(TH!D$1,SMALL(Dong6,ROWS($1:3)),))</f>
        <v>TP/X01</v>
      </c>
      <c r="C13" s="817">
        <f ca="1">IF(ROWS($1:3)&gt;COUNT(Dong6),"",OFFSET(TH!E$1,SMALL(Dong6,ROWS($1:3)),))</f>
        <v>41460</v>
      </c>
      <c r="D13" s="819" t="str">
        <f ca="1">IF(ROWS($1:3)&gt;COUNT(Dong6),"",OFFSET(TH!F$1,SMALL(Dong6,ROWS($1:3)),))</f>
        <v>Thùng (51,5x28x28)</v>
      </c>
      <c r="E13" s="818">
        <f t="shared" ca="1" si="0"/>
        <v>3</v>
      </c>
      <c r="F13" s="820" t="str">
        <f ca="1">IF(ROWS($1:3)&gt;COUNT(Dong6),"",OFFSET(TH!L$1,SMALL(Dong6,ROWS($1:3)),))</f>
        <v>131</v>
      </c>
      <c r="G13" s="820" t="str">
        <f ca="1">IF(ROWS($1:3)&gt;COUNT(Dong6),"",OFFSET(TH!M$1,SMALL(Dong6,ROWS($1:3)),))</f>
        <v>5112</v>
      </c>
      <c r="H13" s="700">
        <f ca="1">IF(ROWS($1:3)&gt;COUNT(Dong6),"",OFFSET(TH!K$1,SMALL(Dong6,ROWS($1:3)),))</f>
        <v>3440800</v>
      </c>
      <c r="I13" s="700">
        <f ca="1">IF(ROWS($1:3)&gt;COUNT(Dong6),"",OFFSET(TH!K$1,SMALL(Dong6,ROWS($1:3)),))</f>
        <v>3440800</v>
      </c>
    </row>
    <row r="14" spans="1:14" s="809" customFormat="1" ht="21" customHeight="1">
      <c r="A14" s="817">
        <f ca="1">IF(ROWS($1:4)&gt;COUNT(Dong6),"",OFFSET(TH!C$1,SMALL(Dong6,ROWS($1:4)),))</f>
        <v>41460</v>
      </c>
      <c r="B14" s="818" t="str">
        <f ca="1">IF(ROWS($1:4)&gt;COUNT(Dong6),"",OFFSET(TH!D$1,SMALL(Dong6,ROWS($1:4)),))</f>
        <v>TP/X01</v>
      </c>
      <c r="C14" s="817">
        <f ca="1">IF(ROWS($1:4)&gt;COUNT(Dong6),"",OFFSET(TH!E$1,SMALL(Dong6,ROWS($1:4)),))</f>
        <v>41460</v>
      </c>
      <c r="D14" s="819" t="str">
        <f ca="1">IF(ROWS($1:4)&gt;COUNT(Dong6),"",OFFSET(TH!F$1,SMALL(Dong6,ROWS($1:4)),))</f>
        <v>VAT Thùng carton</v>
      </c>
      <c r="E14" s="818">
        <f t="shared" ca="1" si="0"/>
        <v>4</v>
      </c>
      <c r="F14" s="820" t="str">
        <f ca="1">IF(ROWS($1:4)&gt;COUNT(Dong6),"",OFFSET(TH!L$1,SMALL(Dong6,ROWS($1:4)),))</f>
        <v>131</v>
      </c>
      <c r="G14" s="820" t="str">
        <f ca="1">IF(ROWS($1:4)&gt;COUNT(Dong6),"",OFFSET(TH!M$1,SMALL(Dong6,ROWS($1:4)),))</f>
        <v>3331</v>
      </c>
      <c r="H14" s="700">
        <f ca="1">IF(ROWS($1:4)&gt;COUNT(Dong6),"",OFFSET(TH!K$1,SMALL(Dong6,ROWS($1:4)),))</f>
        <v>697170</v>
      </c>
      <c r="I14" s="700">
        <f ca="1">IF(ROWS($1:4)&gt;COUNT(Dong6),"",OFFSET(TH!K$1,SMALL(Dong6,ROWS($1:4)),))</f>
        <v>697170</v>
      </c>
    </row>
    <row r="15" spans="1:14" s="809" customFormat="1" ht="21" customHeight="1">
      <c r="A15" s="817">
        <f ca="1">IF(ROWS($1:5)&gt;COUNT(Dong6),"",OFFSET(TH!C$1,SMALL(Dong6,ROWS($1:5)),))</f>
        <v>41463</v>
      </c>
      <c r="B15" s="818" t="str">
        <f ca="1">IF(ROWS($1:5)&gt;COUNT(Dong6),"",OFFSET(TH!D$1,SMALL(Dong6,ROWS($1:5)),))</f>
        <v>TP/X02</v>
      </c>
      <c r="C15" s="817">
        <f ca="1">IF(ROWS($1:5)&gt;COUNT(Dong6),"",OFFSET(TH!E$1,SMALL(Dong6,ROWS($1:5)),))</f>
        <v>41463</v>
      </c>
      <c r="D15" s="819" t="str">
        <f ca="1">IF(ROWS($1:5)&gt;COUNT(Dong6),"",OFFSET(TH!F$1,SMALL(Dong6,ROWS($1:5)),))</f>
        <v>Thùng (70x40x40)</v>
      </c>
      <c r="E15" s="818">
        <f t="shared" ca="1" si="0"/>
        <v>5</v>
      </c>
      <c r="F15" s="820" t="str">
        <f ca="1">IF(ROWS($1:5)&gt;COUNT(Dong6),"",OFFSET(TH!L$1,SMALL(Dong6,ROWS($1:5)),))</f>
        <v>131</v>
      </c>
      <c r="G15" s="820" t="str">
        <f ca="1">IF(ROWS($1:5)&gt;COUNT(Dong6),"",OFFSET(TH!M$1,SMALL(Dong6,ROWS($1:5)),))</f>
        <v>5112</v>
      </c>
      <c r="H15" s="700">
        <f ca="1">IF(ROWS($1:5)&gt;COUNT(Dong6),"",OFFSET(TH!K$1,SMALL(Dong6,ROWS($1:5)),))</f>
        <v>2923200</v>
      </c>
      <c r="I15" s="700">
        <f ca="1">IF(ROWS($1:5)&gt;COUNT(Dong6),"",OFFSET(TH!K$1,SMALL(Dong6,ROWS($1:5)),))</f>
        <v>2923200</v>
      </c>
    </row>
    <row r="16" spans="1:14" s="809" customFormat="1" ht="21" customHeight="1">
      <c r="A16" s="817">
        <f ca="1">IF(ROWS($1:6)&gt;COUNT(Dong6),"",OFFSET(TH!C$1,SMALL(Dong6,ROWS($1:6)),))</f>
        <v>41463</v>
      </c>
      <c r="B16" s="818" t="str">
        <f ca="1">IF(ROWS($1:6)&gt;COUNT(Dong6),"",OFFSET(TH!D$1,SMALL(Dong6,ROWS($1:6)),))</f>
        <v>TP/X02</v>
      </c>
      <c r="C16" s="817">
        <f ca="1">IF(ROWS($1:6)&gt;COUNT(Dong6),"",OFFSET(TH!E$1,SMALL(Dong6,ROWS($1:6)),))</f>
        <v>41463</v>
      </c>
      <c r="D16" s="819" t="str">
        <f ca="1">IF(ROWS($1:6)&gt;COUNT(Dong6),"",OFFSET(TH!F$1,SMALL(Dong6,ROWS($1:6)),))</f>
        <v>Thùng (66x46,7x34,7)</v>
      </c>
      <c r="E16" s="818">
        <f t="shared" ca="1" si="0"/>
        <v>6</v>
      </c>
      <c r="F16" s="820" t="str">
        <f ca="1">IF(ROWS($1:6)&gt;COUNT(Dong6),"",OFFSET(TH!L$1,SMALL(Dong6,ROWS($1:6)),))</f>
        <v>131</v>
      </c>
      <c r="G16" s="820" t="str">
        <f ca="1">IF(ROWS($1:6)&gt;COUNT(Dong6),"",OFFSET(TH!M$1,SMALL(Dong6,ROWS($1:6)),))</f>
        <v>5112</v>
      </c>
      <c r="H16" s="700">
        <f ca="1">IF(ROWS($1:6)&gt;COUNT(Dong6),"",OFFSET(TH!K$1,SMALL(Dong6,ROWS($1:6)),))</f>
        <v>2449500</v>
      </c>
      <c r="I16" s="700">
        <f ca="1">IF(ROWS($1:6)&gt;COUNT(Dong6),"",OFFSET(TH!K$1,SMALL(Dong6,ROWS($1:6)),))</f>
        <v>2449500</v>
      </c>
    </row>
    <row r="17" spans="1:9" s="809" customFormat="1" ht="21" customHeight="1">
      <c r="A17" s="817">
        <f ca="1">IF(ROWS($1:7)&gt;COUNT(Dong6),"",OFFSET(TH!C$1,SMALL(Dong6,ROWS($1:7)),))</f>
        <v>41463</v>
      </c>
      <c r="B17" s="818" t="str">
        <f ca="1">IF(ROWS($1:7)&gt;COUNT(Dong6),"",OFFSET(TH!D$1,SMALL(Dong6,ROWS($1:7)),))</f>
        <v>TP/X02</v>
      </c>
      <c r="C17" s="817">
        <f ca="1">IF(ROWS($1:7)&gt;COUNT(Dong6),"",OFFSET(TH!E$1,SMALL(Dong6,ROWS($1:7)),))</f>
        <v>41463</v>
      </c>
      <c r="D17" s="819" t="str">
        <f ca="1">IF(ROWS($1:7)&gt;COUNT(Dong6),"",OFFSET(TH!F$1,SMALL(Dong6,ROWS($1:7)),))</f>
        <v>VAT Thùng carton</v>
      </c>
      <c r="E17" s="818">
        <f t="shared" ca="1" si="0"/>
        <v>7</v>
      </c>
      <c r="F17" s="820" t="str">
        <f ca="1">IF(ROWS($1:7)&gt;COUNT(Dong6),"",OFFSET(TH!L$1,SMALL(Dong6,ROWS($1:7)),))</f>
        <v>131</v>
      </c>
      <c r="G17" s="820" t="str">
        <f ca="1">IF(ROWS($1:7)&gt;COUNT(Dong6),"",OFFSET(TH!M$1,SMALL(Dong6,ROWS($1:7)),))</f>
        <v>3331</v>
      </c>
      <c r="H17" s="700">
        <f ca="1">IF(ROWS($1:7)&gt;COUNT(Dong6),"",OFFSET(TH!K$1,SMALL(Dong6,ROWS($1:7)),))</f>
        <v>537270</v>
      </c>
      <c r="I17" s="700">
        <f ca="1">IF(ROWS($1:7)&gt;COUNT(Dong6),"",OFFSET(TH!K$1,SMALL(Dong6,ROWS($1:7)),))</f>
        <v>537270</v>
      </c>
    </row>
    <row r="18" spans="1:9" s="809" customFormat="1" ht="21" customHeight="1">
      <c r="A18" s="817">
        <f ca="1">IF(ROWS($1:8)&gt;COUNT(Dong6),"",OFFSET(TH!C$1,SMALL(Dong6,ROWS($1:8)),))</f>
        <v>41463</v>
      </c>
      <c r="B18" s="818" t="str">
        <f ca="1">IF(ROWS($1:8)&gt;COUNT(Dong6),"",OFFSET(TH!D$1,SMALL(Dong6,ROWS($1:8)),))</f>
        <v>T01</v>
      </c>
      <c r="C18" s="817">
        <f ca="1">IF(ROWS($1:8)&gt;COUNT(Dong6),"",OFFSET(TH!E$1,SMALL(Dong6,ROWS($1:8)),))</f>
        <v>41463</v>
      </c>
      <c r="D18" s="819" t="str">
        <f ca="1">IF(ROWS($1:8)&gt;COUNT(Dong6),"",OFFSET(TH!F$1,SMALL(Dong6,ROWS($1:8)),))</f>
        <v>Thu tiền hàng</v>
      </c>
      <c r="E18" s="818">
        <f t="shared" ca="1" si="0"/>
        <v>8</v>
      </c>
      <c r="F18" s="820" t="str">
        <f ca="1">IF(ROWS($1:8)&gt;COUNT(Dong6),"",OFFSET(TH!L$1,SMALL(Dong6,ROWS($1:8)),))</f>
        <v>1111</v>
      </c>
      <c r="G18" s="820" t="str">
        <f ca="1">IF(ROWS($1:8)&gt;COUNT(Dong6),"",OFFSET(TH!M$1,SMALL(Dong6,ROWS($1:8)),))</f>
        <v>131</v>
      </c>
      <c r="H18" s="700">
        <f ca="1">IF(ROWS($1:8)&gt;COUNT(Dong6),"",OFFSET(TH!K$1,SMALL(Dong6,ROWS($1:8)),))</f>
        <v>15256450</v>
      </c>
      <c r="I18" s="700">
        <f ca="1">IF(ROWS($1:8)&gt;COUNT(Dong6),"",OFFSET(TH!K$1,SMALL(Dong6,ROWS($1:8)),))</f>
        <v>15256450</v>
      </c>
    </row>
    <row r="19" spans="1:9" s="809" customFormat="1" ht="21" customHeight="1">
      <c r="A19" s="817">
        <f ca="1">IF(ROWS($1:9)&gt;COUNT(Dong6),"",OFFSET(TH!C$1,SMALL(Dong6,ROWS($1:9)),))</f>
        <v>41463</v>
      </c>
      <c r="B19" s="818" t="str">
        <f ca="1">IF(ROWS($1:9)&gt;COUNT(Dong6),"",OFFSET(TH!D$1,SMALL(Dong6,ROWS($1:9)),))</f>
        <v>TP/X03</v>
      </c>
      <c r="C19" s="817">
        <f ca="1">IF(ROWS($1:9)&gt;COUNT(Dong6),"",OFFSET(TH!E$1,SMALL(Dong6,ROWS($1:9)),))</f>
        <v>41463</v>
      </c>
      <c r="D19" s="819" t="str">
        <f ca="1">IF(ROWS($1:9)&gt;COUNT(Dong6),"",OFFSET(TH!F$1,SMALL(Dong6,ROWS($1:9)),))</f>
        <v>Thùng (52x26.5x26.5)</v>
      </c>
      <c r="E19" s="818">
        <f t="shared" ca="1" si="0"/>
        <v>9</v>
      </c>
      <c r="F19" s="820" t="str">
        <f ca="1">IF(ROWS($1:9)&gt;COUNT(Dong6),"",OFFSET(TH!L$1,SMALL(Dong6,ROWS($1:9)),))</f>
        <v>131</v>
      </c>
      <c r="G19" s="820" t="str">
        <f ca="1">IF(ROWS($1:9)&gt;COUNT(Dong6),"",OFFSET(TH!M$1,SMALL(Dong6,ROWS($1:9)),))</f>
        <v>5112</v>
      </c>
      <c r="H19" s="700">
        <f ca="1">IF(ROWS($1:9)&gt;COUNT(Dong6),"",OFFSET(TH!K$1,SMALL(Dong6,ROWS($1:9)),))</f>
        <v>3374400</v>
      </c>
      <c r="I19" s="700">
        <f ca="1">IF(ROWS($1:9)&gt;COUNT(Dong6),"",OFFSET(TH!K$1,SMALL(Dong6,ROWS($1:9)),))</f>
        <v>3374400</v>
      </c>
    </row>
    <row r="20" spans="1:9" s="809" customFormat="1" ht="21" customHeight="1">
      <c r="A20" s="817">
        <f ca="1">IF(ROWS($1:10)&gt;COUNT(Dong6),"",OFFSET(TH!C$1,SMALL(Dong6,ROWS($1:10)),))</f>
        <v>41463</v>
      </c>
      <c r="B20" s="818" t="str">
        <f ca="1">IF(ROWS($1:10)&gt;COUNT(Dong6),"",OFFSET(TH!D$1,SMALL(Dong6,ROWS($1:10)),))</f>
        <v>TP/X03</v>
      </c>
      <c r="C20" s="817">
        <f ca="1">IF(ROWS($1:10)&gt;COUNT(Dong6),"",OFFSET(TH!E$1,SMALL(Dong6,ROWS($1:10)),))</f>
        <v>41463</v>
      </c>
      <c r="D20" s="819" t="str">
        <f ca="1">IF(ROWS($1:10)&gt;COUNT(Dong6),"",OFFSET(TH!F$1,SMALL(Dong6,ROWS($1:10)),))</f>
        <v>Thùng (22.5x22.5x52)</v>
      </c>
      <c r="E20" s="818">
        <f t="shared" ca="1" si="0"/>
        <v>10</v>
      </c>
      <c r="F20" s="820" t="str">
        <f ca="1">IF(ROWS($1:10)&gt;COUNT(Dong6),"",OFFSET(TH!L$1,SMALL(Dong6,ROWS($1:10)),))</f>
        <v>131</v>
      </c>
      <c r="G20" s="820" t="str">
        <f ca="1">IF(ROWS($1:10)&gt;COUNT(Dong6),"",OFFSET(TH!M$1,SMALL(Dong6,ROWS($1:10)),))</f>
        <v>5112</v>
      </c>
      <c r="H20" s="700">
        <f ca="1">IF(ROWS($1:10)&gt;COUNT(Dong6),"",OFFSET(TH!K$1,SMALL(Dong6,ROWS($1:10)),))</f>
        <v>2801400</v>
      </c>
      <c r="I20" s="700">
        <f ca="1">IF(ROWS($1:10)&gt;COUNT(Dong6),"",OFFSET(TH!K$1,SMALL(Dong6,ROWS($1:10)),))</f>
        <v>2801400</v>
      </c>
    </row>
    <row r="21" spans="1:9" s="809" customFormat="1" ht="21" customHeight="1">
      <c r="A21" s="817">
        <f ca="1">IF(ROWS($1:11)&gt;COUNT(Dong6),"",OFFSET(TH!C$1,SMALL(Dong6,ROWS($1:11)),))</f>
        <v>41463</v>
      </c>
      <c r="B21" s="818" t="str">
        <f ca="1">IF(ROWS($1:11)&gt;COUNT(Dong6),"",OFFSET(TH!D$1,SMALL(Dong6,ROWS($1:11)),))</f>
        <v>TP/X03</v>
      </c>
      <c r="C21" s="817">
        <f ca="1">IF(ROWS($1:11)&gt;COUNT(Dong6),"",OFFSET(TH!E$1,SMALL(Dong6,ROWS($1:11)),))</f>
        <v>41463</v>
      </c>
      <c r="D21" s="819" t="str">
        <f ca="1">IF(ROWS($1:11)&gt;COUNT(Dong6),"",OFFSET(TH!F$1,SMALL(Dong6,ROWS($1:11)),))</f>
        <v>Thùng (52x42x29)</v>
      </c>
      <c r="E21" s="818">
        <f t="shared" ca="1" si="0"/>
        <v>11</v>
      </c>
      <c r="F21" s="820" t="str">
        <f ca="1">IF(ROWS($1:11)&gt;COUNT(Dong6),"",OFFSET(TH!L$1,SMALL(Dong6,ROWS($1:11)),))</f>
        <v>131</v>
      </c>
      <c r="G21" s="820" t="str">
        <f ca="1">IF(ROWS($1:11)&gt;COUNT(Dong6),"",OFFSET(TH!M$1,SMALL(Dong6,ROWS($1:11)),))</f>
        <v>5112</v>
      </c>
      <c r="H21" s="700">
        <f ca="1">IF(ROWS($1:11)&gt;COUNT(Dong6),"",OFFSET(TH!K$1,SMALL(Dong6,ROWS($1:11)),))</f>
        <v>7235700</v>
      </c>
      <c r="I21" s="700">
        <f ca="1">IF(ROWS($1:11)&gt;COUNT(Dong6),"",OFFSET(TH!K$1,SMALL(Dong6,ROWS($1:11)),))</f>
        <v>7235700</v>
      </c>
    </row>
    <row r="22" spans="1:9" s="809" customFormat="1" ht="21" customHeight="1">
      <c r="A22" s="817">
        <f ca="1">IF(ROWS($1:12)&gt;COUNT(Dong6),"",OFFSET(TH!C$1,SMALL(Dong6,ROWS($1:12)),))</f>
        <v>41463</v>
      </c>
      <c r="B22" s="818" t="str">
        <f ca="1">IF(ROWS($1:12)&gt;COUNT(Dong6),"",OFFSET(TH!D$1,SMALL(Dong6,ROWS($1:12)),))</f>
        <v>TP/X03</v>
      </c>
      <c r="C22" s="817">
        <f ca="1">IF(ROWS($1:12)&gt;COUNT(Dong6),"",OFFSET(TH!E$1,SMALL(Dong6,ROWS($1:12)),))</f>
        <v>41463</v>
      </c>
      <c r="D22" s="819" t="str">
        <f ca="1">IF(ROWS($1:12)&gt;COUNT(Dong6),"",OFFSET(TH!F$1,SMALL(Dong6,ROWS($1:12)),))</f>
        <v>Thùng (50x25x46)</v>
      </c>
      <c r="E22" s="818">
        <f t="shared" ca="1" si="0"/>
        <v>12</v>
      </c>
      <c r="F22" s="820" t="str">
        <f ca="1">IF(ROWS($1:12)&gt;COUNT(Dong6),"",OFFSET(TH!L$1,SMALL(Dong6,ROWS($1:12)),))</f>
        <v>131</v>
      </c>
      <c r="G22" s="820" t="str">
        <f ca="1">IF(ROWS($1:12)&gt;COUNT(Dong6),"",OFFSET(TH!M$1,SMALL(Dong6,ROWS($1:12)),))</f>
        <v>5112</v>
      </c>
      <c r="H22" s="700">
        <f ca="1">IF(ROWS($1:12)&gt;COUNT(Dong6),"",OFFSET(TH!K$1,SMALL(Dong6,ROWS($1:12)),))</f>
        <v>4723200</v>
      </c>
      <c r="I22" s="700">
        <f ca="1">IF(ROWS($1:12)&gt;COUNT(Dong6),"",OFFSET(TH!K$1,SMALL(Dong6,ROWS($1:12)),))</f>
        <v>4723200</v>
      </c>
    </row>
    <row r="23" spans="1:9" s="809" customFormat="1" ht="21" customHeight="1">
      <c r="A23" s="817">
        <f ca="1">IF(ROWS($1:13)&gt;COUNT(Dong6),"",OFFSET(TH!C$1,SMALL(Dong6,ROWS($1:13)),))</f>
        <v>41463</v>
      </c>
      <c r="B23" s="818" t="str">
        <f ca="1">IF(ROWS($1:13)&gt;COUNT(Dong6),"",OFFSET(TH!D$1,SMALL(Dong6,ROWS($1:13)),))</f>
        <v>TP/X03</v>
      </c>
      <c r="C23" s="817">
        <f ca="1">IF(ROWS($1:13)&gt;COUNT(Dong6),"",OFFSET(TH!E$1,SMALL(Dong6,ROWS($1:13)),))</f>
        <v>41463</v>
      </c>
      <c r="D23" s="819" t="str">
        <f ca="1">IF(ROWS($1:13)&gt;COUNT(Dong6),"",OFFSET(TH!F$1,SMALL(Dong6,ROWS($1:13)),))</f>
        <v>VAT Thùng carton</v>
      </c>
      <c r="E23" s="818">
        <f t="shared" ca="1" si="0"/>
        <v>13</v>
      </c>
      <c r="F23" s="820" t="str">
        <f ca="1">IF(ROWS($1:13)&gt;COUNT(Dong6),"",OFFSET(TH!L$1,SMALL(Dong6,ROWS($1:13)),))</f>
        <v>131</v>
      </c>
      <c r="G23" s="820" t="str">
        <f ca="1">IF(ROWS($1:13)&gt;COUNT(Dong6),"",OFFSET(TH!M$1,SMALL(Dong6,ROWS($1:13)),))</f>
        <v>3331</v>
      </c>
      <c r="H23" s="700">
        <f ca="1">IF(ROWS($1:13)&gt;COUNT(Dong6),"",OFFSET(TH!K$1,SMALL(Dong6,ROWS($1:13)),))</f>
        <v>1813470</v>
      </c>
      <c r="I23" s="700">
        <f ca="1">IF(ROWS($1:13)&gt;COUNT(Dong6),"",OFFSET(TH!K$1,SMALL(Dong6,ROWS($1:13)),))</f>
        <v>1813470</v>
      </c>
    </row>
    <row r="24" spans="1:9" s="809" customFormat="1" ht="21" customHeight="1">
      <c r="A24" s="817">
        <f ca="1">IF(ROWS($1:14)&gt;COUNT(Dong6),"",OFFSET(TH!C$1,SMALL(Dong6,ROWS($1:14)),))</f>
        <v>41465</v>
      </c>
      <c r="B24" s="818" t="str">
        <f ca="1">IF(ROWS($1:14)&gt;COUNT(Dong6),"",OFFSET(TH!D$1,SMALL(Dong6,ROWS($1:14)),))</f>
        <v>C01</v>
      </c>
      <c r="C24" s="817">
        <f ca="1">IF(ROWS($1:14)&gt;COUNT(Dong6),"",OFFSET(TH!E$1,SMALL(Dong6,ROWS($1:14)),))</f>
        <v>41465</v>
      </c>
      <c r="D24" s="819" t="str">
        <f ca="1">IF(ROWS($1:14)&gt;COUNT(Dong6),"",OFFSET(TH!F$1,SMALL(Dong6,ROWS($1:14)),))</f>
        <v>Cước dịch vụ viễn thông</v>
      </c>
      <c r="E24" s="818">
        <f t="shared" ca="1" si="0"/>
        <v>14</v>
      </c>
      <c r="F24" s="820" t="str">
        <f ca="1">IF(ROWS($1:14)&gt;COUNT(Dong6),"",OFFSET(TH!L$1,SMALL(Dong6,ROWS($1:14)),))</f>
        <v>642</v>
      </c>
      <c r="G24" s="820" t="str">
        <f ca="1">IF(ROWS($1:14)&gt;COUNT(Dong6),"",OFFSET(TH!M$1,SMALL(Dong6,ROWS($1:14)),))</f>
        <v>1111</v>
      </c>
      <c r="H24" s="700">
        <f ca="1">IF(ROWS($1:14)&gt;COUNT(Dong6),"",OFFSET(TH!K$1,SMALL(Dong6,ROWS($1:14)),))</f>
        <v>926339</v>
      </c>
      <c r="I24" s="700">
        <f ca="1">IF(ROWS($1:14)&gt;COUNT(Dong6),"",OFFSET(TH!K$1,SMALL(Dong6,ROWS($1:14)),))</f>
        <v>926339</v>
      </c>
    </row>
    <row r="25" spans="1:9" s="809" customFormat="1" ht="21" customHeight="1">
      <c r="A25" s="817">
        <f ca="1">IF(ROWS($1:15)&gt;COUNT(Dong6),"",OFFSET(TH!C$1,SMALL(Dong6,ROWS($1:15)),))</f>
        <v>41465</v>
      </c>
      <c r="B25" s="818" t="str">
        <f ca="1">IF(ROWS($1:15)&gt;COUNT(Dong6),"",OFFSET(TH!D$1,SMALL(Dong6,ROWS($1:15)),))</f>
        <v>C01</v>
      </c>
      <c r="C25" s="817">
        <f ca="1">IF(ROWS($1:15)&gt;COUNT(Dong6),"",OFFSET(TH!E$1,SMALL(Dong6,ROWS($1:15)),))</f>
        <v>41465</v>
      </c>
      <c r="D25" s="819" t="str">
        <f ca="1">IF(ROWS($1:15)&gt;COUNT(Dong6),"",OFFSET(TH!F$1,SMALL(Dong6,ROWS($1:15)),))</f>
        <v>VAT Cước dịch vụ viễn thông</v>
      </c>
      <c r="E25" s="818">
        <f t="shared" ca="1" si="0"/>
        <v>15</v>
      </c>
      <c r="F25" s="820" t="str">
        <f ca="1">IF(ROWS($1:15)&gt;COUNT(Dong6),"",OFFSET(TH!L$1,SMALL(Dong6,ROWS($1:15)),))</f>
        <v>1331</v>
      </c>
      <c r="G25" s="820" t="str">
        <f ca="1">IF(ROWS($1:15)&gt;COUNT(Dong6),"",OFFSET(TH!M$1,SMALL(Dong6,ROWS($1:15)),))</f>
        <v>1111</v>
      </c>
      <c r="H25" s="700">
        <f ca="1">IF(ROWS($1:15)&gt;COUNT(Dong6),"",OFFSET(TH!K$1,SMALL(Dong6,ROWS($1:15)),))</f>
        <v>92633</v>
      </c>
      <c r="I25" s="700">
        <f ca="1">IF(ROWS($1:15)&gt;COUNT(Dong6),"",OFFSET(TH!K$1,SMALL(Dong6,ROWS($1:15)),))</f>
        <v>92633</v>
      </c>
    </row>
    <row r="26" spans="1:9" s="809" customFormat="1" ht="21" customHeight="1">
      <c r="A26" s="817">
        <f ca="1">IF(ROWS($1:16)&gt;COUNT(Dong6),"",OFFSET(TH!C$1,SMALL(Dong6,ROWS($1:16)),))</f>
        <v>41471</v>
      </c>
      <c r="B26" s="818" t="str">
        <f ca="1">IF(ROWS($1:16)&gt;COUNT(Dong6),"",OFFSET(TH!D$1,SMALL(Dong6,ROWS($1:16)),))</f>
        <v>C02</v>
      </c>
      <c r="C26" s="817">
        <f ca="1">IF(ROWS($1:16)&gt;COUNT(Dong6),"",OFFSET(TH!E$1,SMALL(Dong6,ROWS($1:16)),))</f>
        <v>41471</v>
      </c>
      <c r="D26" s="819" t="str">
        <f ca="1">IF(ROWS($1:16)&gt;COUNT(Dong6),"",OFFSET(TH!F$1,SMALL(Dong6,ROWS($1:16)),))</f>
        <v>Chi phí chứng thư số</v>
      </c>
      <c r="E26" s="818">
        <f t="shared" ca="1" si="0"/>
        <v>16</v>
      </c>
      <c r="F26" s="820" t="str">
        <f ca="1">IF(ROWS($1:16)&gt;COUNT(Dong6),"",OFFSET(TH!L$1,SMALL(Dong6,ROWS($1:16)),))</f>
        <v>642</v>
      </c>
      <c r="G26" s="820" t="str">
        <f ca="1">IF(ROWS($1:16)&gt;COUNT(Dong6),"",OFFSET(TH!M$1,SMALL(Dong6,ROWS($1:16)),))</f>
        <v>1111</v>
      </c>
      <c r="H26" s="700">
        <f ca="1">IF(ROWS($1:16)&gt;COUNT(Dong6),"",OFFSET(TH!K$1,SMALL(Dong6,ROWS($1:16)),))</f>
        <v>850000</v>
      </c>
      <c r="I26" s="700">
        <f ca="1">IF(ROWS($1:16)&gt;COUNT(Dong6),"",OFFSET(TH!K$1,SMALL(Dong6,ROWS($1:16)),))</f>
        <v>850000</v>
      </c>
    </row>
    <row r="27" spans="1:9" s="809" customFormat="1" ht="21" customHeight="1">
      <c r="A27" s="817">
        <f ca="1">IF(ROWS($1:17)&gt;COUNT(Dong6),"",OFFSET(TH!C$1,SMALL(Dong6,ROWS($1:17)),))</f>
        <v>41471</v>
      </c>
      <c r="B27" s="818" t="str">
        <f ca="1">IF(ROWS($1:17)&gt;COUNT(Dong6),"",OFFSET(TH!D$1,SMALL(Dong6,ROWS($1:17)),))</f>
        <v>C02</v>
      </c>
      <c r="C27" s="817">
        <f ca="1">IF(ROWS($1:17)&gt;COUNT(Dong6),"",OFFSET(TH!E$1,SMALL(Dong6,ROWS($1:17)),))</f>
        <v>41471</v>
      </c>
      <c r="D27" s="819" t="str">
        <f ca="1">IF(ROWS($1:17)&gt;COUNT(Dong6),"",OFFSET(TH!F$1,SMALL(Dong6,ROWS($1:17)),))</f>
        <v>VAT Chi phí chứng thư số</v>
      </c>
      <c r="E27" s="818">
        <f t="shared" ca="1" si="0"/>
        <v>17</v>
      </c>
      <c r="F27" s="820" t="str">
        <f ca="1">IF(ROWS($1:17)&gt;COUNT(Dong6),"",OFFSET(TH!L$1,SMALL(Dong6,ROWS($1:17)),))</f>
        <v>1331</v>
      </c>
      <c r="G27" s="820" t="str">
        <f ca="1">IF(ROWS($1:17)&gt;COUNT(Dong6),"",OFFSET(TH!M$1,SMALL(Dong6,ROWS($1:17)),))</f>
        <v>1111</v>
      </c>
      <c r="H27" s="700">
        <f ca="1">IF(ROWS($1:17)&gt;COUNT(Dong6),"",OFFSET(TH!K$1,SMALL(Dong6,ROWS($1:17)),))</f>
        <v>85000</v>
      </c>
      <c r="I27" s="700">
        <f ca="1">IF(ROWS($1:17)&gt;COUNT(Dong6),"",OFFSET(TH!K$1,SMALL(Dong6,ROWS($1:17)),))</f>
        <v>85000</v>
      </c>
    </row>
    <row r="28" spans="1:9" s="809" customFormat="1" ht="21" customHeight="1">
      <c r="A28" s="817">
        <f ca="1">IF(ROWS($1:18)&gt;COUNT(Dong6),"",OFFSET(TH!C$1,SMALL(Dong6,ROWS($1:18)),))</f>
        <v>41475</v>
      </c>
      <c r="B28" s="818" t="str">
        <f ca="1">IF(ROWS($1:18)&gt;COUNT(Dong6),"",OFFSET(TH!D$1,SMALL(Dong6,ROWS($1:18)),))</f>
        <v>TP/X04</v>
      </c>
      <c r="C28" s="817">
        <f ca="1">IF(ROWS($1:18)&gt;COUNT(Dong6),"",OFFSET(TH!E$1,SMALL(Dong6,ROWS($1:18)),))</f>
        <v>41475</v>
      </c>
      <c r="D28" s="819" t="str">
        <f ca="1">IF(ROWS($1:18)&gt;COUNT(Dong6),"",OFFSET(TH!F$1,SMALL(Dong6,ROWS($1:18)),))</f>
        <v>Thùng (55x28x22)</v>
      </c>
      <c r="E28" s="818">
        <f t="shared" ca="1" si="0"/>
        <v>18</v>
      </c>
      <c r="F28" s="820" t="str">
        <f ca="1">IF(ROWS($1:18)&gt;COUNT(Dong6),"",OFFSET(TH!L$1,SMALL(Dong6,ROWS($1:18)),))</f>
        <v>131</v>
      </c>
      <c r="G28" s="820" t="str">
        <f ca="1">IF(ROWS($1:18)&gt;COUNT(Dong6),"",OFFSET(TH!M$1,SMALL(Dong6,ROWS($1:18)),))</f>
        <v>5112</v>
      </c>
      <c r="H28" s="700">
        <f ca="1">IF(ROWS($1:18)&gt;COUNT(Dong6),"",OFFSET(TH!K$1,SMALL(Dong6,ROWS($1:18)),))</f>
        <v>8975980</v>
      </c>
      <c r="I28" s="700">
        <f ca="1">IF(ROWS($1:18)&gt;COUNT(Dong6),"",OFFSET(TH!K$1,SMALL(Dong6,ROWS($1:18)),))</f>
        <v>8975980</v>
      </c>
    </row>
    <row r="29" spans="1:9" s="809" customFormat="1" ht="21" customHeight="1">
      <c r="A29" s="817">
        <f ca="1">IF(ROWS($1:19)&gt;COUNT(Dong6),"",OFFSET(TH!C$1,SMALL(Dong6,ROWS($1:19)),))</f>
        <v>41475</v>
      </c>
      <c r="B29" s="818" t="str">
        <f ca="1">IF(ROWS($1:19)&gt;COUNT(Dong6),"",OFFSET(TH!D$1,SMALL(Dong6,ROWS($1:19)),))</f>
        <v>TP/X04</v>
      </c>
      <c r="C29" s="817">
        <f ca="1">IF(ROWS($1:19)&gt;COUNT(Dong6),"",OFFSET(TH!E$1,SMALL(Dong6,ROWS($1:19)),))</f>
        <v>41475</v>
      </c>
      <c r="D29" s="819" t="str">
        <f ca="1">IF(ROWS($1:19)&gt;COUNT(Dong6),"",OFFSET(TH!F$1,SMALL(Dong6,ROWS($1:19)),))</f>
        <v>VAT Thùng carton</v>
      </c>
      <c r="E29" s="818">
        <f t="shared" ca="1" si="0"/>
        <v>19</v>
      </c>
      <c r="F29" s="820" t="str">
        <f ca="1">IF(ROWS($1:19)&gt;COUNT(Dong6),"",OFFSET(TH!L$1,SMALL(Dong6,ROWS($1:19)),))</f>
        <v>131</v>
      </c>
      <c r="G29" s="820" t="str">
        <f ca="1">IF(ROWS($1:19)&gt;COUNT(Dong6),"",OFFSET(TH!M$1,SMALL(Dong6,ROWS($1:19)),))</f>
        <v>3331</v>
      </c>
      <c r="H29" s="700">
        <f ca="1">IF(ROWS($1:19)&gt;COUNT(Dong6),"",OFFSET(TH!K$1,SMALL(Dong6,ROWS($1:19)),))</f>
        <v>897598</v>
      </c>
      <c r="I29" s="700">
        <f ca="1">IF(ROWS($1:19)&gt;COUNT(Dong6),"",OFFSET(TH!K$1,SMALL(Dong6,ROWS($1:19)),))</f>
        <v>897598</v>
      </c>
    </row>
    <row r="30" spans="1:9" s="809" customFormat="1" ht="21" customHeight="1">
      <c r="A30" s="817">
        <f ca="1">IF(ROWS($1:20)&gt;COUNT(Dong6),"",OFFSET(TH!C$1,SMALL(Dong6,ROWS($1:20)),))</f>
        <v>41475</v>
      </c>
      <c r="B30" s="818" t="str">
        <f ca="1">IF(ROWS($1:20)&gt;COUNT(Dong6),"",OFFSET(TH!D$1,SMALL(Dong6,ROWS($1:20)),))</f>
        <v>TP/X05</v>
      </c>
      <c r="C30" s="817">
        <f ca="1">IF(ROWS($1:20)&gt;COUNT(Dong6),"",OFFSET(TH!E$1,SMALL(Dong6,ROWS($1:20)),))</f>
        <v>41475</v>
      </c>
      <c r="D30" s="819" t="str">
        <f ca="1">IF(ROWS($1:20)&gt;COUNT(Dong6),"",OFFSET(TH!F$1,SMALL(Dong6,ROWS($1:20)),))</f>
        <v>Thùng (49x38x12)</v>
      </c>
      <c r="E30" s="818">
        <f t="shared" ca="1" si="0"/>
        <v>20</v>
      </c>
      <c r="F30" s="820" t="str">
        <f ca="1">IF(ROWS($1:20)&gt;COUNT(Dong6),"",OFFSET(TH!L$1,SMALL(Dong6,ROWS($1:20)),))</f>
        <v>131</v>
      </c>
      <c r="G30" s="820" t="str">
        <f ca="1">IF(ROWS($1:20)&gt;COUNT(Dong6),"",OFFSET(TH!M$1,SMALL(Dong6,ROWS($1:20)),))</f>
        <v>5112</v>
      </c>
      <c r="H30" s="700">
        <f ca="1">IF(ROWS($1:20)&gt;COUNT(Dong6),"",OFFSET(TH!K$1,SMALL(Dong6,ROWS($1:20)),))</f>
        <v>7864500</v>
      </c>
      <c r="I30" s="700">
        <f ca="1">IF(ROWS($1:20)&gt;COUNT(Dong6),"",OFFSET(TH!K$1,SMALL(Dong6,ROWS($1:20)),))</f>
        <v>7864500</v>
      </c>
    </row>
    <row r="31" spans="1:9" s="809" customFormat="1" ht="21" customHeight="1">
      <c r="A31" s="817">
        <f ca="1">IF(ROWS($1:21)&gt;COUNT(Dong6),"",OFFSET(TH!C$1,SMALL(Dong6,ROWS($1:21)),))</f>
        <v>41475</v>
      </c>
      <c r="B31" s="818" t="str">
        <f ca="1">IF(ROWS($1:21)&gt;COUNT(Dong6),"",OFFSET(TH!D$1,SMALL(Dong6,ROWS($1:21)),))</f>
        <v>TP/X05</v>
      </c>
      <c r="C31" s="817">
        <f ca="1">IF(ROWS($1:21)&gt;COUNT(Dong6),"",OFFSET(TH!E$1,SMALL(Dong6,ROWS($1:21)),))</f>
        <v>41475</v>
      </c>
      <c r="D31" s="819" t="str">
        <f ca="1">IF(ROWS($1:21)&gt;COUNT(Dong6),"",OFFSET(TH!F$1,SMALL(Dong6,ROWS($1:21)),))</f>
        <v>VAT Thùng carton</v>
      </c>
      <c r="E31" s="818">
        <f t="shared" ca="1" si="0"/>
        <v>21</v>
      </c>
      <c r="F31" s="820" t="str">
        <f ca="1">IF(ROWS($1:21)&gt;COUNT(Dong6),"",OFFSET(TH!L$1,SMALL(Dong6,ROWS($1:21)),))</f>
        <v>131</v>
      </c>
      <c r="G31" s="820" t="str">
        <f ca="1">IF(ROWS($1:21)&gt;COUNT(Dong6),"",OFFSET(TH!M$1,SMALL(Dong6,ROWS($1:21)),))</f>
        <v>3331</v>
      </c>
      <c r="H31" s="700">
        <f ca="1">IF(ROWS($1:21)&gt;COUNT(Dong6),"",OFFSET(TH!K$1,SMALL(Dong6,ROWS($1:21)),))</f>
        <v>786450</v>
      </c>
      <c r="I31" s="700">
        <f ca="1">IF(ROWS($1:21)&gt;COUNT(Dong6),"",OFFSET(TH!K$1,SMALL(Dong6,ROWS($1:21)),))</f>
        <v>786450</v>
      </c>
    </row>
    <row r="32" spans="1:9" s="809" customFormat="1" ht="21" customHeight="1">
      <c r="A32" s="817">
        <f ca="1">IF(ROWS($1:22)&gt;COUNT(Dong6),"",OFFSET(TH!C$1,SMALL(Dong6,ROWS($1:22)),))</f>
        <v>41477</v>
      </c>
      <c r="B32" s="818" t="str">
        <f ca="1">IF(ROWS($1:22)&gt;COUNT(Dong6),"",OFFSET(TH!D$1,SMALL(Dong6,ROWS($1:22)),))</f>
        <v>TP/X06</v>
      </c>
      <c r="C32" s="817">
        <f ca="1">IF(ROWS($1:22)&gt;COUNT(Dong6),"",OFFSET(TH!E$1,SMALL(Dong6,ROWS($1:22)),))</f>
        <v>41477</v>
      </c>
      <c r="D32" s="819" t="str">
        <f ca="1">IF(ROWS($1:22)&gt;COUNT(Dong6),"",OFFSET(TH!F$1,SMALL(Dong6,ROWS($1:22)),))</f>
        <v>Thùng (29.5x24x19)</v>
      </c>
      <c r="E32" s="818">
        <f t="shared" ca="1" si="0"/>
        <v>22</v>
      </c>
      <c r="F32" s="820" t="str">
        <f ca="1">IF(ROWS($1:22)&gt;COUNT(Dong6),"",OFFSET(TH!L$1,SMALL(Dong6,ROWS($1:22)),))</f>
        <v>131</v>
      </c>
      <c r="G32" s="820" t="str">
        <f ca="1">IF(ROWS($1:22)&gt;COUNT(Dong6),"",OFFSET(TH!M$1,SMALL(Dong6,ROWS($1:22)),))</f>
        <v>5112</v>
      </c>
      <c r="H32" s="700">
        <f ca="1">IF(ROWS($1:22)&gt;COUNT(Dong6),"",OFFSET(TH!K$1,SMALL(Dong6,ROWS($1:22)),))</f>
        <v>6932580</v>
      </c>
      <c r="I32" s="700">
        <f ca="1">IF(ROWS($1:22)&gt;COUNT(Dong6),"",OFFSET(TH!K$1,SMALL(Dong6,ROWS($1:22)),))</f>
        <v>6932580</v>
      </c>
    </row>
    <row r="33" spans="1:9" s="809" customFormat="1" ht="21" customHeight="1">
      <c r="A33" s="817">
        <f ca="1">IF(ROWS($1:23)&gt;COUNT(Dong6),"",OFFSET(TH!C$1,SMALL(Dong6,ROWS($1:23)),))</f>
        <v>41477</v>
      </c>
      <c r="B33" s="818" t="str">
        <f ca="1">IF(ROWS($1:23)&gt;COUNT(Dong6),"",OFFSET(TH!D$1,SMALL(Dong6,ROWS($1:23)),))</f>
        <v>TP/X06</v>
      </c>
      <c r="C33" s="817">
        <f ca="1">IF(ROWS($1:23)&gt;COUNT(Dong6),"",OFFSET(TH!E$1,SMALL(Dong6,ROWS($1:23)),))</f>
        <v>41477</v>
      </c>
      <c r="D33" s="819" t="str">
        <f ca="1">IF(ROWS($1:23)&gt;COUNT(Dong6),"",OFFSET(TH!F$1,SMALL(Dong6,ROWS($1:23)),))</f>
        <v>Thùng (58x38x18)</v>
      </c>
      <c r="E33" s="818">
        <f t="shared" ca="1" si="0"/>
        <v>23</v>
      </c>
      <c r="F33" s="820" t="str">
        <f ca="1">IF(ROWS($1:23)&gt;COUNT(Dong6),"",OFFSET(TH!L$1,SMALL(Dong6,ROWS($1:23)),))</f>
        <v>131</v>
      </c>
      <c r="G33" s="820" t="str">
        <f ca="1">IF(ROWS($1:23)&gt;COUNT(Dong6),"",OFFSET(TH!M$1,SMALL(Dong6,ROWS($1:23)),))</f>
        <v>5112</v>
      </c>
      <c r="H33" s="700">
        <f ca="1">IF(ROWS($1:23)&gt;COUNT(Dong6),"",OFFSET(TH!K$1,SMALL(Dong6,ROWS($1:23)),))</f>
        <v>11254800</v>
      </c>
      <c r="I33" s="700">
        <f ca="1">IF(ROWS($1:23)&gt;COUNT(Dong6),"",OFFSET(TH!K$1,SMALL(Dong6,ROWS($1:23)),))</f>
        <v>11254800</v>
      </c>
    </row>
    <row r="34" spans="1:9" s="809" customFormat="1" ht="21" customHeight="1">
      <c r="A34" s="817">
        <f ca="1">IF(ROWS($1:24)&gt;COUNT(Dong6),"",OFFSET(TH!C$1,SMALL(Dong6,ROWS($1:24)),))</f>
        <v>41477</v>
      </c>
      <c r="B34" s="818" t="str">
        <f ca="1">IF(ROWS($1:24)&gt;COUNT(Dong6),"",OFFSET(TH!D$1,SMALL(Dong6,ROWS($1:24)),))</f>
        <v>TP/X06</v>
      </c>
      <c r="C34" s="817">
        <f ca="1">IF(ROWS($1:24)&gt;COUNT(Dong6),"",OFFSET(TH!E$1,SMALL(Dong6,ROWS($1:24)),))</f>
        <v>41477</v>
      </c>
      <c r="D34" s="819" t="str">
        <f ca="1">IF(ROWS($1:24)&gt;COUNT(Dong6),"",OFFSET(TH!F$1,SMALL(Dong6,ROWS($1:24)),))</f>
        <v>VAT Thùng carton</v>
      </c>
      <c r="E34" s="818">
        <f t="shared" ca="1" si="0"/>
        <v>24</v>
      </c>
      <c r="F34" s="820" t="str">
        <f ca="1">IF(ROWS($1:24)&gt;COUNT(Dong6),"",OFFSET(TH!L$1,SMALL(Dong6,ROWS($1:24)),))</f>
        <v>131</v>
      </c>
      <c r="G34" s="820" t="str">
        <f ca="1">IF(ROWS($1:24)&gt;COUNT(Dong6),"",OFFSET(TH!M$1,SMALL(Dong6,ROWS($1:24)),))</f>
        <v>3331</v>
      </c>
      <c r="H34" s="700">
        <f ca="1">IF(ROWS($1:24)&gt;COUNT(Dong6),"",OFFSET(TH!K$1,SMALL(Dong6,ROWS($1:24)),))</f>
        <v>1818738</v>
      </c>
      <c r="I34" s="700">
        <f ca="1">IF(ROWS($1:24)&gt;COUNT(Dong6),"",OFFSET(TH!K$1,SMALL(Dong6,ROWS($1:24)),))</f>
        <v>1818738</v>
      </c>
    </row>
    <row r="35" spans="1:9" s="809" customFormat="1" ht="21" customHeight="1">
      <c r="A35" s="817">
        <f ca="1">IF(ROWS($1:25)&gt;COUNT(Dong6),"",OFFSET(TH!C$1,SMALL(Dong6,ROWS($1:25)),))</f>
        <v>41477</v>
      </c>
      <c r="B35" s="818" t="str">
        <f ca="1">IF(ROWS($1:25)&gt;COUNT(Dong6),"",OFFSET(TH!D$1,SMALL(Dong6,ROWS($1:25)),))</f>
        <v>TP/X07</v>
      </c>
      <c r="C35" s="817">
        <f ca="1">IF(ROWS($1:25)&gt;COUNT(Dong6),"",OFFSET(TH!E$1,SMALL(Dong6,ROWS($1:25)),))</f>
        <v>41477</v>
      </c>
      <c r="D35" s="819" t="str">
        <f ca="1">IF(ROWS($1:25)&gt;COUNT(Dong6),"",OFFSET(TH!F$1,SMALL(Dong6,ROWS($1:25)),))</f>
        <v>Thùng (119x49x51)</v>
      </c>
      <c r="E35" s="818">
        <f t="shared" ca="1" si="0"/>
        <v>25</v>
      </c>
      <c r="F35" s="820" t="str">
        <f ca="1">IF(ROWS($1:25)&gt;COUNT(Dong6),"",OFFSET(TH!L$1,SMALL(Dong6,ROWS($1:25)),))</f>
        <v>131</v>
      </c>
      <c r="G35" s="820" t="str">
        <f ca="1">IF(ROWS($1:25)&gt;COUNT(Dong6),"",OFFSET(TH!M$1,SMALL(Dong6,ROWS($1:25)),))</f>
        <v>5112</v>
      </c>
      <c r="H35" s="700">
        <f ca="1">IF(ROWS($1:25)&gt;COUNT(Dong6),"",OFFSET(TH!K$1,SMALL(Dong6,ROWS($1:25)),))</f>
        <v>1940000</v>
      </c>
      <c r="I35" s="700">
        <f ca="1">IF(ROWS($1:25)&gt;COUNT(Dong6),"",OFFSET(TH!K$1,SMALL(Dong6,ROWS($1:25)),))</f>
        <v>1940000</v>
      </c>
    </row>
    <row r="36" spans="1:9" s="809" customFormat="1" ht="21" customHeight="1">
      <c r="A36" s="817">
        <f ca="1">IF(ROWS($1:26)&gt;COUNT(Dong6),"",OFFSET(TH!C$1,SMALL(Dong6,ROWS($1:26)),))</f>
        <v>41477</v>
      </c>
      <c r="B36" s="818" t="str">
        <f ca="1">IF(ROWS($1:26)&gt;COUNT(Dong6),"",OFFSET(TH!D$1,SMALL(Dong6,ROWS($1:26)),))</f>
        <v>TP/X07</v>
      </c>
      <c r="C36" s="817">
        <f ca="1">IF(ROWS($1:26)&gt;COUNT(Dong6),"",OFFSET(TH!E$1,SMALL(Dong6,ROWS($1:26)),))</f>
        <v>41477</v>
      </c>
      <c r="D36" s="819" t="str">
        <f ca="1">IF(ROWS($1:26)&gt;COUNT(Dong6),"",OFFSET(TH!F$1,SMALL(Dong6,ROWS($1:26)),))</f>
        <v>Thùng (144x49x51)</v>
      </c>
      <c r="E36" s="818">
        <f t="shared" ca="1" si="0"/>
        <v>26</v>
      </c>
      <c r="F36" s="820" t="str">
        <f ca="1">IF(ROWS($1:26)&gt;COUNT(Dong6),"",OFFSET(TH!L$1,SMALL(Dong6,ROWS($1:26)),))</f>
        <v>131</v>
      </c>
      <c r="G36" s="820" t="str">
        <f ca="1">IF(ROWS($1:26)&gt;COUNT(Dong6),"",OFFSET(TH!M$1,SMALL(Dong6,ROWS($1:26)),))</f>
        <v>5112</v>
      </c>
      <c r="H36" s="700">
        <f ca="1">IF(ROWS($1:26)&gt;COUNT(Dong6),"",OFFSET(TH!K$1,SMALL(Dong6,ROWS($1:26)),))</f>
        <v>2250000</v>
      </c>
      <c r="I36" s="700">
        <f ca="1">IF(ROWS($1:26)&gt;COUNT(Dong6),"",OFFSET(TH!K$1,SMALL(Dong6,ROWS($1:26)),))</f>
        <v>2250000</v>
      </c>
    </row>
    <row r="37" spans="1:9" s="809" customFormat="1" ht="21" customHeight="1">
      <c r="A37" s="817">
        <f ca="1">IF(ROWS($1:27)&gt;COUNT(Dong6),"",OFFSET(TH!C$1,SMALL(Dong6,ROWS($1:27)),))</f>
        <v>41477</v>
      </c>
      <c r="B37" s="818" t="str">
        <f ca="1">IF(ROWS($1:27)&gt;COUNT(Dong6),"",OFFSET(TH!D$1,SMALL(Dong6,ROWS($1:27)),))</f>
        <v>TP/X07</v>
      </c>
      <c r="C37" s="817">
        <f ca="1">IF(ROWS($1:27)&gt;COUNT(Dong6),"",OFFSET(TH!E$1,SMALL(Dong6,ROWS($1:27)),))</f>
        <v>41477</v>
      </c>
      <c r="D37" s="819" t="str">
        <f ca="1">IF(ROWS($1:27)&gt;COUNT(Dong6),"",OFFSET(TH!F$1,SMALL(Dong6,ROWS($1:27)),))</f>
        <v>Thùng (167x49x51)</v>
      </c>
      <c r="E37" s="818">
        <f t="shared" ca="1" si="0"/>
        <v>27</v>
      </c>
      <c r="F37" s="820" t="str">
        <f ca="1">IF(ROWS($1:27)&gt;COUNT(Dong6),"",OFFSET(TH!L$1,SMALL(Dong6,ROWS($1:27)),))</f>
        <v>131</v>
      </c>
      <c r="G37" s="820" t="str">
        <f ca="1">IF(ROWS($1:27)&gt;COUNT(Dong6),"",OFFSET(TH!M$1,SMALL(Dong6,ROWS($1:27)),))</f>
        <v>5112</v>
      </c>
      <c r="H37" s="700">
        <f ca="1">IF(ROWS($1:27)&gt;COUNT(Dong6),"",OFFSET(TH!K$1,SMALL(Dong6,ROWS($1:27)),))</f>
        <v>1008000</v>
      </c>
      <c r="I37" s="700">
        <f ca="1">IF(ROWS($1:27)&gt;COUNT(Dong6),"",OFFSET(TH!K$1,SMALL(Dong6,ROWS($1:27)),))</f>
        <v>1008000</v>
      </c>
    </row>
    <row r="38" spans="1:9" s="809" customFormat="1" ht="21" customHeight="1">
      <c r="A38" s="817">
        <f ca="1">IF(ROWS($1:28)&gt;COUNT(Dong6),"",OFFSET(TH!C$1,SMALL(Dong6,ROWS($1:28)),))</f>
        <v>41477</v>
      </c>
      <c r="B38" s="818" t="str">
        <f ca="1">IF(ROWS($1:28)&gt;COUNT(Dong6),"",OFFSET(TH!D$1,SMALL(Dong6,ROWS($1:28)),))</f>
        <v>TP/X07</v>
      </c>
      <c r="C38" s="817">
        <f ca="1">IF(ROWS($1:28)&gt;COUNT(Dong6),"",OFFSET(TH!E$1,SMALL(Dong6,ROWS($1:28)),))</f>
        <v>41477</v>
      </c>
      <c r="D38" s="819" t="str">
        <f ca="1">IF(ROWS($1:28)&gt;COUNT(Dong6),"",OFFSET(TH!F$1,SMALL(Dong6,ROWS($1:28)),))</f>
        <v>Thùng (183x49x51)</v>
      </c>
      <c r="E38" s="818">
        <f t="shared" ca="1" si="0"/>
        <v>28</v>
      </c>
      <c r="F38" s="820" t="str">
        <f ca="1">IF(ROWS($1:28)&gt;COUNT(Dong6),"",OFFSET(TH!L$1,SMALL(Dong6,ROWS($1:28)),))</f>
        <v>131</v>
      </c>
      <c r="G38" s="820" t="str">
        <f ca="1">IF(ROWS($1:28)&gt;COUNT(Dong6),"",OFFSET(TH!M$1,SMALL(Dong6,ROWS($1:28)),))</f>
        <v>5112</v>
      </c>
      <c r="H38" s="700">
        <f ca="1">IF(ROWS($1:28)&gt;COUNT(Dong6),"",OFFSET(TH!K$1,SMALL(Dong6,ROWS($1:28)),))</f>
        <v>1070000</v>
      </c>
      <c r="I38" s="700">
        <f ca="1">IF(ROWS($1:28)&gt;COUNT(Dong6),"",OFFSET(TH!K$1,SMALL(Dong6,ROWS($1:28)),))</f>
        <v>1070000</v>
      </c>
    </row>
    <row r="39" spans="1:9" s="809" customFormat="1" ht="21" customHeight="1">
      <c r="A39" s="817">
        <f ca="1">IF(ROWS($1:29)&gt;COUNT(Dong6),"",OFFSET(TH!C$1,SMALL(Dong6,ROWS($1:29)),))</f>
        <v>41477</v>
      </c>
      <c r="B39" s="818" t="str">
        <f ca="1">IF(ROWS($1:29)&gt;COUNT(Dong6),"",OFFSET(TH!D$1,SMALL(Dong6,ROWS($1:29)),))</f>
        <v>TP/X07</v>
      </c>
      <c r="C39" s="817">
        <f ca="1">IF(ROWS($1:29)&gt;COUNT(Dong6),"",OFFSET(TH!E$1,SMALL(Dong6,ROWS($1:29)),))</f>
        <v>41477</v>
      </c>
      <c r="D39" s="819" t="str">
        <f ca="1">IF(ROWS($1:29)&gt;COUNT(Dong6),"",OFFSET(TH!F$1,SMALL(Dong6,ROWS($1:29)),))</f>
        <v>Thùng (200x49x51)</v>
      </c>
      <c r="E39" s="818">
        <f t="shared" ca="1" si="0"/>
        <v>29</v>
      </c>
      <c r="F39" s="820" t="str">
        <f ca="1">IF(ROWS($1:29)&gt;COUNT(Dong6),"",OFFSET(TH!L$1,SMALL(Dong6,ROWS($1:29)),))</f>
        <v>131</v>
      </c>
      <c r="G39" s="820" t="str">
        <f ca="1">IF(ROWS($1:29)&gt;COUNT(Dong6),"",OFFSET(TH!M$1,SMALL(Dong6,ROWS($1:29)),))</f>
        <v>5112</v>
      </c>
      <c r="H39" s="700">
        <f ca="1">IF(ROWS($1:29)&gt;COUNT(Dong6),"",OFFSET(TH!K$1,SMALL(Dong6,ROWS($1:29)),))</f>
        <v>1140000</v>
      </c>
      <c r="I39" s="700">
        <f ca="1">IF(ROWS($1:29)&gt;COUNT(Dong6),"",OFFSET(TH!K$1,SMALL(Dong6,ROWS($1:29)),))</f>
        <v>1140000</v>
      </c>
    </row>
    <row r="40" spans="1:9" s="809" customFormat="1" ht="21" customHeight="1">
      <c r="A40" s="817">
        <f ca="1">IF(ROWS($1:30)&gt;COUNT(Dong6),"",OFFSET(TH!C$1,SMALL(Dong6,ROWS($1:30)),))</f>
        <v>41477</v>
      </c>
      <c r="B40" s="818" t="str">
        <f ca="1">IF(ROWS($1:30)&gt;COUNT(Dong6),"",OFFSET(TH!D$1,SMALL(Dong6,ROWS($1:30)),))</f>
        <v>TP/X07</v>
      </c>
      <c r="C40" s="817">
        <f ca="1">IF(ROWS($1:30)&gt;COUNT(Dong6),"",OFFSET(TH!E$1,SMALL(Dong6,ROWS($1:30)),))</f>
        <v>41477</v>
      </c>
      <c r="D40" s="819" t="str">
        <f ca="1">IF(ROWS($1:30)&gt;COUNT(Dong6),"",OFFSET(TH!F$1,SMALL(Dong6,ROWS($1:30)),))</f>
        <v>Thùng (250x49x51)</v>
      </c>
      <c r="E40" s="818">
        <f t="shared" ca="1" si="0"/>
        <v>30</v>
      </c>
      <c r="F40" s="820" t="str">
        <f ca="1">IF(ROWS($1:30)&gt;COUNT(Dong6),"",OFFSET(TH!L$1,SMALL(Dong6,ROWS($1:30)),))</f>
        <v>131</v>
      </c>
      <c r="G40" s="820" t="str">
        <f ca="1">IF(ROWS($1:30)&gt;COUNT(Dong6),"",OFFSET(TH!M$1,SMALL(Dong6,ROWS($1:30)),))</f>
        <v>5112</v>
      </c>
      <c r="H40" s="700">
        <f ca="1">IF(ROWS($1:30)&gt;COUNT(Dong6),"",OFFSET(TH!K$1,SMALL(Dong6,ROWS($1:30)),))</f>
        <v>1388000</v>
      </c>
      <c r="I40" s="700">
        <f ca="1">IF(ROWS($1:30)&gt;COUNT(Dong6),"",OFFSET(TH!K$1,SMALL(Dong6,ROWS($1:30)),))</f>
        <v>1388000</v>
      </c>
    </row>
    <row r="41" spans="1:9" s="809" customFormat="1" ht="21" customHeight="1">
      <c r="A41" s="817">
        <f ca="1">IF(ROWS($1:31)&gt;COUNT(Dong6),"",OFFSET(TH!C$1,SMALL(Dong6,ROWS($1:31)),))</f>
        <v>41477</v>
      </c>
      <c r="B41" s="818" t="str">
        <f ca="1">IF(ROWS($1:31)&gt;COUNT(Dong6),"",OFFSET(TH!D$1,SMALL(Dong6,ROWS($1:31)),))</f>
        <v>TP/X07</v>
      </c>
      <c r="C41" s="817">
        <f ca="1">IF(ROWS($1:31)&gt;COUNT(Dong6),"",OFFSET(TH!E$1,SMALL(Dong6,ROWS($1:31)),))</f>
        <v>41477</v>
      </c>
      <c r="D41" s="819" t="str">
        <f ca="1">IF(ROWS($1:31)&gt;COUNT(Dong6),"",OFFSET(TH!F$1,SMALL(Dong6,ROWS($1:31)),))</f>
        <v>VAT Thùng carton</v>
      </c>
      <c r="E41" s="818">
        <f t="shared" ref="E41:E50" ca="1" si="1">IF(D41&lt;&gt;"",ROW()-10,"")</f>
        <v>31</v>
      </c>
      <c r="F41" s="820" t="str">
        <f ca="1">IF(ROWS($1:31)&gt;COUNT(Dong6),"",OFFSET(TH!L$1,SMALL(Dong6,ROWS($1:31)),))</f>
        <v>131</v>
      </c>
      <c r="G41" s="820" t="str">
        <f ca="1">IF(ROWS($1:31)&gt;COUNT(Dong6),"",OFFSET(TH!M$1,SMALL(Dong6,ROWS($1:31)),))</f>
        <v>3331</v>
      </c>
      <c r="H41" s="700">
        <f ca="1">IF(ROWS($1:31)&gt;COUNT(Dong6),"",OFFSET(TH!K$1,SMALL(Dong6,ROWS($1:31)),))</f>
        <v>879600</v>
      </c>
      <c r="I41" s="700">
        <f ca="1">IF(ROWS($1:31)&gt;COUNT(Dong6),"",OFFSET(TH!K$1,SMALL(Dong6,ROWS($1:31)),))</f>
        <v>879600</v>
      </c>
    </row>
    <row r="42" spans="1:9" s="809" customFormat="1" ht="21" customHeight="1">
      <c r="A42" s="817">
        <f ca="1">IF(ROWS($1:32)&gt;COUNT(Dong6),"",OFFSET(TH!C$1,SMALL(Dong6,ROWS($1:32)),))</f>
        <v>41478</v>
      </c>
      <c r="B42" s="818" t="str">
        <f ca="1">IF(ROWS($1:32)&gt;COUNT(Dong6),"",OFFSET(TH!D$1,SMALL(Dong6,ROWS($1:32)),))</f>
        <v>GBC</v>
      </c>
      <c r="C42" s="817">
        <f ca="1">IF(ROWS($1:32)&gt;COUNT(Dong6),"",OFFSET(TH!E$1,SMALL(Dong6,ROWS($1:32)),))</f>
        <v>41478</v>
      </c>
      <c r="D42" s="819" t="str">
        <f ca="1">IF(ROWS($1:32)&gt;COUNT(Dong6),"",OFFSET(TH!F$1,SMALL(Dong6,ROWS($1:32)),))</f>
        <v>Thu tiền hàng</v>
      </c>
      <c r="E42" s="818">
        <f t="shared" ca="1" si="1"/>
        <v>32</v>
      </c>
      <c r="F42" s="820" t="str">
        <f ca="1">IF(ROWS($1:32)&gt;COUNT(Dong6),"",OFFSET(TH!L$1,SMALL(Dong6,ROWS($1:32)),))</f>
        <v>1121</v>
      </c>
      <c r="G42" s="820" t="str">
        <f ca="1">IF(ROWS($1:32)&gt;COUNT(Dong6),"",OFFSET(TH!M$1,SMALL(Dong6,ROWS($1:32)),))</f>
        <v>131</v>
      </c>
      <c r="H42" s="700">
        <f ca="1">IF(ROWS($1:32)&gt;COUNT(Dong6),"",OFFSET(TH!K$1,SMALL(Dong6,ROWS($1:32)),))</f>
        <v>9873578</v>
      </c>
      <c r="I42" s="700">
        <f ca="1">IF(ROWS($1:32)&gt;COUNT(Dong6),"",OFFSET(TH!K$1,SMALL(Dong6,ROWS($1:32)),))</f>
        <v>9873578</v>
      </c>
    </row>
    <row r="43" spans="1:9" s="809" customFormat="1" ht="21" customHeight="1">
      <c r="A43" s="817">
        <f ca="1">IF(ROWS($1:33)&gt;COUNT(Dong6),"",OFFSET(TH!C$1,SMALL(Dong6,ROWS($1:33)),))</f>
        <v>41479</v>
      </c>
      <c r="B43" s="818" t="str">
        <f ca="1">IF(ROWS($1:33)&gt;COUNT(Dong6),"",OFFSET(TH!D$1,SMALL(Dong6,ROWS($1:33)),))</f>
        <v>C03</v>
      </c>
      <c r="C43" s="817">
        <f ca="1">IF(ROWS($1:33)&gt;COUNT(Dong6),"",OFFSET(TH!E$1,SMALL(Dong6,ROWS($1:33)),))</f>
        <v>41479</v>
      </c>
      <c r="D43" s="819" t="str">
        <f ca="1">IF(ROWS($1:33)&gt;COUNT(Dong6),"",OFFSET(TH!F$1,SMALL(Dong6,ROWS($1:33)),))</f>
        <v>Mực in</v>
      </c>
      <c r="E43" s="818">
        <f t="shared" ca="1" si="1"/>
        <v>33</v>
      </c>
      <c r="F43" s="820" t="str">
        <f ca="1">IF(ROWS($1:33)&gt;COUNT(Dong6),"",OFFSET(TH!L$1,SMALL(Dong6,ROWS($1:33)),))</f>
        <v>154</v>
      </c>
      <c r="G43" s="820" t="str">
        <f ca="1">IF(ROWS($1:33)&gt;COUNT(Dong6),"",OFFSET(TH!M$1,SMALL(Dong6,ROWS($1:33)),))</f>
        <v>1111</v>
      </c>
      <c r="H43" s="700">
        <f ca="1">IF(ROWS($1:33)&gt;COUNT(Dong6),"",OFFSET(TH!K$1,SMALL(Dong6,ROWS($1:33)),))</f>
        <v>2800000</v>
      </c>
      <c r="I43" s="700">
        <f ca="1">IF(ROWS($1:33)&gt;COUNT(Dong6),"",OFFSET(TH!K$1,SMALL(Dong6,ROWS($1:33)),))</f>
        <v>2800000</v>
      </c>
    </row>
    <row r="44" spans="1:9" s="809" customFormat="1" ht="21" customHeight="1">
      <c r="A44" s="817">
        <f ca="1">IF(ROWS($1:34)&gt;COUNT(Dong6),"",OFFSET(TH!C$1,SMALL(Dong6,ROWS($1:34)),))</f>
        <v>41479</v>
      </c>
      <c r="B44" s="818" t="str">
        <f ca="1">IF(ROWS($1:34)&gt;COUNT(Dong6),"",OFFSET(TH!D$1,SMALL(Dong6,ROWS($1:34)),))</f>
        <v>C03</v>
      </c>
      <c r="C44" s="817">
        <f ca="1">IF(ROWS($1:34)&gt;COUNT(Dong6),"",OFFSET(TH!E$1,SMALL(Dong6,ROWS($1:34)),))</f>
        <v>41479</v>
      </c>
      <c r="D44" s="819" t="str">
        <f ca="1">IF(ROWS($1:34)&gt;COUNT(Dong6),"",OFFSET(TH!F$1,SMALL(Dong6,ROWS($1:34)),))</f>
        <v>VAT Mực in</v>
      </c>
      <c r="E44" s="818">
        <f t="shared" ca="1" si="1"/>
        <v>34</v>
      </c>
      <c r="F44" s="820" t="str">
        <f ca="1">IF(ROWS($1:34)&gt;COUNT(Dong6),"",OFFSET(TH!L$1,SMALL(Dong6,ROWS($1:34)),))</f>
        <v>1331</v>
      </c>
      <c r="G44" s="820" t="str">
        <f ca="1">IF(ROWS($1:34)&gt;COUNT(Dong6),"",OFFSET(TH!M$1,SMALL(Dong6,ROWS($1:34)),))</f>
        <v>1111</v>
      </c>
      <c r="H44" s="700">
        <f ca="1">IF(ROWS($1:34)&gt;COUNT(Dong6),"",OFFSET(TH!K$1,SMALL(Dong6,ROWS($1:34)),))</f>
        <v>280000</v>
      </c>
      <c r="I44" s="700">
        <f ca="1">IF(ROWS($1:34)&gt;COUNT(Dong6),"",OFFSET(TH!K$1,SMALL(Dong6,ROWS($1:34)),))</f>
        <v>280000</v>
      </c>
    </row>
    <row r="45" spans="1:9" s="809" customFormat="1" ht="21" customHeight="1">
      <c r="A45" s="817">
        <f ca="1">IF(ROWS($1:35)&gt;COUNT(Dong6),"",OFFSET(TH!C$1,SMALL(Dong6,ROWS($1:35)),))</f>
        <v>41479</v>
      </c>
      <c r="B45" s="818" t="str">
        <f ca="1">IF(ROWS($1:35)&gt;COUNT(Dong6),"",OFFSET(TH!D$1,SMALL(Dong6,ROWS($1:35)),))</f>
        <v>TP/X08</v>
      </c>
      <c r="C45" s="817">
        <f ca="1">IF(ROWS($1:35)&gt;COUNT(Dong6),"",OFFSET(TH!E$1,SMALL(Dong6,ROWS($1:35)),))</f>
        <v>41479</v>
      </c>
      <c r="D45" s="819" t="str">
        <f ca="1">IF(ROWS($1:35)&gt;COUNT(Dong6),"",OFFSET(TH!F$1,SMALL(Dong6,ROWS($1:35)),))</f>
        <v>Thùng (42x26x33)</v>
      </c>
      <c r="E45" s="818">
        <f t="shared" ca="1" si="1"/>
        <v>35</v>
      </c>
      <c r="F45" s="820" t="str">
        <f ca="1">IF(ROWS($1:35)&gt;COUNT(Dong6),"",OFFSET(TH!L$1,SMALL(Dong6,ROWS($1:35)),))</f>
        <v>131</v>
      </c>
      <c r="G45" s="820" t="str">
        <f ca="1">IF(ROWS($1:35)&gt;COUNT(Dong6),"",OFFSET(TH!M$1,SMALL(Dong6,ROWS($1:35)),))</f>
        <v>5112</v>
      </c>
      <c r="H45" s="700">
        <f ca="1">IF(ROWS($1:35)&gt;COUNT(Dong6),"",OFFSET(TH!K$1,SMALL(Dong6,ROWS($1:35)),))</f>
        <v>2219630</v>
      </c>
      <c r="I45" s="700">
        <f ca="1">IF(ROWS($1:35)&gt;COUNT(Dong6),"",OFFSET(TH!K$1,SMALL(Dong6,ROWS($1:35)),))</f>
        <v>2219630</v>
      </c>
    </row>
    <row r="46" spans="1:9" s="809" customFormat="1" ht="21" customHeight="1">
      <c r="A46" s="817">
        <f ca="1">IF(ROWS($1:36)&gt;COUNT(Dong6),"",OFFSET(TH!C$1,SMALL(Dong6,ROWS($1:36)),))</f>
        <v>41479</v>
      </c>
      <c r="B46" s="818" t="str">
        <f ca="1">IF(ROWS($1:36)&gt;COUNT(Dong6),"",OFFSET(TH!D$1,SMALL(Dong6,ROWS($1:36)),))</f>
        <v>TP/X08</v>
      </c>
      <c r="C46" s="817">
        <f ca="1">IF(ROWS($1:36)&gt;COUNT(Dong6),"",OFFSET(TH!E$1,SMALL(Dong6,ROWS($1:36)),))</f>
        <v>41479</v>
      </c>
      <c r="D46" s="819" t="str">
        <f ca="1">IF(ROWS($1:36)&gt;COUNT(Dong6),"",OFFSET(TH!F$1,SMALL(Dong6,ROWS($1:36)),))</f>
        <v>Thùng (68x35x18)</v>
      </c>
      <c r="E46" s="818">
        <f t="shared" ca="1" si="1"/>
        <v>36</v>
      </c>
      <c r="F46" s="820" t="str">
        <f ca="1">IF(ROWS($1:36)&gt;COUNT(Dong6),"",OFFSET(TH!L$1,SMALL(Dong6,ROWS($1:36)),))</f>
        <v>131</v>
      </c>
      <c r="G46" s="820" t="str">
        <f ca="1">IF(ROWS($1:36)&gt;COUNT(Dong6),"",OFFSET(TH!M$1,SMALL(Dong6,ROWS($1:36)),))</f>
        <v>5112</v>
      </c>
      <c r="H46" s="700">
        <f ca="1">IF(ROWS($1:36)&gt;COUNT(Dong6),"",OFFSET(TH!K$1,SMALL(Dong6,ROWS($1:36)),))</f>
        <v>1111000</v>
      </c>
      <c r="I46" s="700">
        <f ca="1">IF(ROWS($1:36)&gt;COUNT(Dong6),"",OFFSET(TH!K$1,SMALL(Dong6,ROWS($1:36)),))</f>
        <v>1111000</v>
      </c>
    </row>
    <row r="47" spans="1:9" s="809" customFormat="1" ht="21" customHeight="1">
      <c r="A47" s="817">
        <f ca="1">IF(ROWS($1:37)&gt;COUNT(Dong6),"",OFFSET(TH!C$1,SMALL(Dong6,ROWS($1:37)),))</f>
        <v>41479</v>
      </c>
      <c r="B47" s="818" t="str">
        <f ca="1">IF(ROWS($1:37)&gt;COUNT(Dong6),"",OFFSET(TH!D$1,SMALL(Dong6,ROWS($1:37)),))</f>
        <v>TP/X08</v>
      </c>
      <c r="C47" s="817">
        <f ca="1">IF(ROWS($1:37)&gt;COUNT(Dong6),"",OFFSET(TH!E$1,SMALL(Dong6,ROWS($1:37)),))</f>
        <v>41479</v>
      </c>
      <c r="D47" s="819" t="str">
        <f ca="1">IF(ROWS($1:37)&gt;COUNT(Dong6),"",OFFSET(TH!F$1,SMALL(Dong6,ROWS($1:37)),))</f>
        <v>Thùng (61x30x23)</v>
      </c>
      <c r="E47" s="818">
        <f t="shared" ca="1" si="1"/>
        <v>37</v>
      </c>
      <c r="F47" s="820" t="str">
        <f ca="1">IF(ROWS($1:37)&gt;COUNT(Dong6),"",OFFSET(TH!L$1,SMALL(Dong6,ROWS($1:37)),))</f>
        <v>131</v>
      </c>
      <c r="G47" s="820" t="str">
        <f ca="1">IF(ROWS($1:37)&gt;COUNT(Dong6),"",OFFSET(TH!M$1,SMALL(Dong6,ROWS($1:37)),))</f>
        <v>5112</v>
      </c>
      <c r="H47" s="700">
        <f ca="1">IF(ROWS($1:37)&gt;COUNT(Dong6),"",OFFSET(TH!K$1,SMALL(Dong6,ROWS($1:37)),))</f>
        <v>1029000</v>
      </c>
      <c r="I47" s="700">
        <f ca="1">IF(ROWS($1:37)&gt;COUNT(Dong6),"",OFFSET(TH!K$1,SMALL(Dong6,ROWS($1:37)),))</f>
        <v>1029000</v>
      </c>
    </row>
    <row r="48" spans="1:9" s="809" customFormat="1" ht="21" customHeight="1">
      <c r="A48" s="817">
        <f ca="1">IF(ROWS($1:38)&gt;COUNT(Dong6),"",OFFSET(TH!C$1,SMALL(Dong6,ROWS($1:38)),))</f>
        <v>41479</v>
      </c>
      <c r="B48" s="818" t="str">
        <f ca="1">IF(ROWS($1:38)&gt;COUNT(Dong6),"",OFFSET(TH!D$1,SMALL(Dong6,ROWS($1:38)),))</f>
        <v>TP/X08</v>
      </c>
      <c r="C48" s="817">
        <f ca="1">IF(ROWS($1:38)&gt;COUNT(Dong6),"",OFFSET(TH!E$1,SMALL(Dong6,ROWS($1:38)),))</f>
        <v>41479</v>
      </c>
      <c r="D48" s="819" t="str">
        <f ca="1">IF(ROWS($1:38)&gt;COUNT(Dong6),"",OFFSET(TH!F$1,SMALL(Dong6,ROWS($1:38)),))</f>
        <v>VAT Thùng carton</v>
      </c>
      <c r="E48" s="818">
        <f t="shared" ca="1" si="1"/>
        <v>38</v>
      </c>
      <c r="F48" s="820" t="str">
        <f ca="1">IF(ROWS($1:38)&gt;COUNT(Dong6),"",OFFSET(TH!L$1,SMALL(Dong6,ROWS($1:38)),))</f>
        <v>131</v>
      </c>
      <c r="G48" s="820" t="str">
        <f ca="1">IF(ROWS($1:38)&gt;COUNT(Dong6),"",OFFSET(TH!M$1,SMALL(Dong6,ROWS($1:38)),))</f>
        <v>3331</v>
      </c>
      <c r="H48" s="700">
        <f ca="1">IF(ROWS($1:38)&gt;COUNT(Dong6),"",OFFSET(TH!K$1,SMALL(Dong6,ROWS($1:38)),))</f>
        <v>435963</v>
      </c>
      <c r="I48" s="700">
        <f ca="1">IF(ROWS($1:38)&gt;COUNT(Dong6),"",OFFSET(TH!K$1,SMALL(Dong6,ROWS($1:38)),))</f>
        <v>435963</v>
      </c>
    </row>
    <row r="49" spans="1:10" s="809" customFormat="1" ht="21" customHeight="1">
      <c r="A49" s="817">
        <f ca="1">IF(ROWS($1:39)&gt;COUNT(Dong6),"",OFFSET(TH!C$1,SMALL(Dong6,ROWS($1:39)),))</f>
        <v>41480</v>
      </c>
      <c r="B49" s="818" t="str">
        <f ca="1">IF(ROWS($1:39)&gt;COUNT(Dong6),"",OFFSET(TH!D$1,SMALL(Dong6,ROWS($1:39)),))</f>
        <v>GBC</v>
      </c>
      <c r="C49" s="817">
        <f ca="1">IF(ROWS($1:39)&gt;COUNT(Dong6),"",OFFSET(TH!E$1,SMALL(Dong6,ROWS($1:39)),))</f>
        <v>41480</v>
      </c>
      <c r="D49" s="819" t="str">
        <f ca="1">IF(ROWS($1:39)&gt;COUNT(Dong6),"",OFFSET(TH!F$1,SMALL(Dong6,ROWS($1:39)),))</f>
        <v>Thu tiền hàng</v>
      </c>
      <c r="E49" s="818">
        <f t="shared" ca="1" si="1"/>
        <v>39</v>
      </c>
      <c r="F49" s="820" t="str">
        <f ca="1">IF(ROWS($1:39)&gt;COUNT(Dong6),"",OFFSET(TH!L$1,SMALL(Dong6,ROWS($1:39)),))</f>
        <v>1121</v>
      </c>
      <c r="G49" s="820" t="str">
        <f ca="1">IF(ROWS($1:39)&gt;COUNT(Dong6),"",OFFSET(TH!M$1,SMALL(Dong6,ROWS($1:39)),))</f>
        <v>131</v>
      </c>
      <c r="H49" s="700">
        <f ca="1">IF(ROWS($1:39)&gt;COUNT(Dong6),"",OFFSET(TH!K$1,SMALL(Dong6,ROWS($1:39)),))</f>
        <v>20754363</v>
      </c>
      <c r="I49" s="700">
        <f ca="1">IF(ROWS($1:39)&gt;COUNT(Dong6),"",OFFSET(TH!K$1,SMALL(Dong6,ROWS($1:39)),))</f>
        <v>20754363</v>
      </c>
    </row>
    <row r="50" spans="1:10" s="809" customFormat="1" ht="21" customHeight="1">
      <c r="A50" s="817">
        <f ca="1">IF(ROWS($1:40)&gt;COUNT(Dong6),"",OFFSET(TH!C$1,SMALL(Dong6,ROWS($1:40)),))</f>
        <v>41480</v>
      </c>
      <c r="B50" s="818" t="str">
        <f ca="1">IF(ROWS($1:40)&gt;COUNT(Dong6),"",OFFSET(TH!D$1,SMALL(Dong6,ROWS($1:40)),))</f>
        <v>GBC</v>
      </c>
      <c r="C50" s="817">
        <f ca="1">IF(ROWS($1:40)&gt;COUNT(Dong6),"",OFFSET(TH!E$1,SMALL(Dong6,ROWS($1:40)),))</f>
        <v>41480</v>
      </c>
      <c r="D50" s="819" t="str">
        <f ca="1">IF(ROWS($1:40)&gt;COUNT(Dong6),"",OFFSET(TH!F$1,SMALL(Dong6,ROWS($1:40)),))</f>
        <v>Lãi tiền gửi</v>
      </c>
      <c r="E50" s="818">
        <f t="shared" ca="1" si="1"/>
        <v>40</v>
      </c>
      <c r="F50" s="820" t="str">
        <f ca="1">IF(ROWS($1:40)&gt;COUNT(Dong6),"",OFFSET(TH!L$1,SMALL(Dong6,ROWS($1:40)),))</f>
        <v>1121</v>
      </c>
      <c r="G50" s="820" t="str">
        <f ca="1">IF(ROWS($1:40)&gt;COUNT(Dong6),"",OFFSET(TH!M$1,SMALL(Dong6,ROWS($1:40)),))</f>
        <v>515</v>
      </c>
      <c r="H50" s="700">
        <f ca="1">IF(ROWS($1:40)&gt;COUNT(Dong6),"",OFFSET(TH!K$1,SMALL(Dong6,ROWS($1:40)),))</f>
        <v>1736</v>
      </c>
      <c r="I50" s="700">
        <f ca="1">IF(ROWS($1:40)&gt;COUNT(Dong6),"",OFFSET(TH!K$1,SMALL(Dong6,ROWS($1:40)),))</f>
        <v>1736</v>
      </c>
    </row>
    <row r="51" spans="1:10" s="809" customFormat="1" ht="21" customHeight="1">
      <c r="A51" s="817"/>
      <c r="B51" s="818"/>
      <c r="C51" s="817"/>
      <c r="D51" s="819"/>
      <c r="E51" s="818"/>
      <c r="F51" s="820"/>
      <c r="G51" s="820"/>
      <c r="H51" s="700"/>
      <c r="I51" s="700"/>
    </row>
    <row r="52" spans="1:10" s="809" customFormat="1" ht="21" customHeight="1">
      <c r="A52" s="821"/>
      <c r="B52" s="821"/>
      <c r="C52" s="821"/>
      <c r="D52" s="822" t="s">
        <v>358</v>
      </c>
      <c r="E52" s="823" t="s">
        <v>19</v>
      </c>
      <c r="F52" s="823"/>
      <c r="G52" s="823" t="s">
        <v>19</v>
      </c>
      <c r="H52" s="824">
        <f ca="1">SUBTOTAL(9,$H$10:$H$51)</f>
        <v>4952512404</v>
      </c>
      <c r="I52" s="824">
        <f ca="1">SUBTOTAL(9,I10:I51)</f>
        <v>4952512404</v>
      </c>
    </row>
    <row r="53" spans="1:10" s="809" customFormat="1" ht="15">
      <c r="A53" s="825" t="s">
        <v>460</v>
      </c>
    </row>
    <row r="54" spans="1:10" s="809" customFormat="1" ht="15">
      <c r="A54" s="825" t="str">
        <f ca="1">"- Ngày mở sổ: "&amp;DAY($A$11)&amp;"/"&amp;MONTH($A$11)&amp;"/ " &amp;YEAR($A$11)</f>
        <v>- Ngày mở sổ: 1/7/ 2013</v>
      </c>
    </row>
    <row r="55" spans="1:10" s="809" customFormat="1" ht="15">
      <c r="H55" s="133" t="str">
        <f ca="1">"Ngày "&amp;IF(OR($L$11=4,$L$11=6,$L$11=9,$L$11=11),"30",IF($L$11=2,"28","31"))&amp;" tháng "&amp;$N$8&amp;"  năm  "&amp;YEAR($A$14)</f>
        <v>Ngày 31 tháng 9  năm  2013</v>
      </c>
      <c r="I55" s="826"/>
      <c r="J55" s="826"/>
    </row>
    <row r="56" spans="1:10" s="809" customFormat="1" ht="15">
      <c r="B56" s="826" t="s">
        <v>355</v>
      </c>
      <c r="D56" s="826" t="s">
        <v>12</v>
      </c>
      <c r="H56" s="826" t="s">
        <v>356</v>
      </c>
      <c r="I56" s="826"/>
      <c r="J56" s="826"/>
    </row>
    <row r="57" spans="1:10" s="809" customFormat="1" ht="15">
      <c r="B57" s="826" t="s">
        <v>13</v>
      </c>
      <c r="D57" s="826" t="s">
        <v>13</v>
      </c>
      <c r="H57" s="826" t="s">
        <v>134</v>
      </c>
      <c r="I57" s="826"/>
      <c r="J57" s="826"/>
    </row>
    <row r="58" spans="1:10" s="80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48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6" customWidth="1"/>
    <col min="2" max="2" width="6.28515625" style="176" customWidth="1"/>
    <col min="3" max="3" width="7.42578125" style="176" customWidth="1"/>
    <col min="4" max="4" width="34.5703125" style="5" customWidth="1"/>
    <col min="5" max="5" width="6.28515625" style="176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4" t="s">
        <v>143</v>
      </c>
      <c r="H2" s="924"/>
      <c r="I2" s="924"/>
    </row>
    <row r="3" spans="1:9" ht="15.75" customHeight="1">
      <c r="A3" s="1" t="str">
        <f>TH!A2</f>
        <v>Địa chỉ: 1A227/1 Ấp 1, Phạm Văn Hai, Bình Chánh, TPHCM</v>
      </c>
      <c r="G3" s="92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25"/>
      <c r="I3" s="925"/>
    </row>
    <row r="4" spans="1:9">
      <c r="F4" s="17"/>
      <c r="G4" s="925"/>
      <c r="H4" s="925"/>
      <c r="I4" s="925"/>
    </row>
    <row r="5" spans="1:9" ht="17.25" customHeight="1">
      <c r="A5" s="926" t="s">
        <v>144</v>
      </c>
      <c r="B5" s="926"/>
      <c r="C5" s="926"/>
      <c r="D5" s="926"/>
      <c r="E5" s="926"/>
      <c r="F5" s="926"/>
      <c r="G5" s="926"/>
      <c r="H5" s="926"/>
      <c r="I5" s="926"/>
    </row>
    <row r="6" spans="1:9">
      <c r="A6" s="927" t="s">
        <v>145</v>
      </c>
      <c r="B6" s="928"/>
      <c r="C6" s="928"/>
      <c r="D6" s="928"/>
      <c r="E6" s="928"/>
      <c r="F6" s="928"/>
      <c r="G6" s="928"/>
      <c r="H6" s="928"/>
      <c r="I6" s="928"/>
    </row>
    <row r="7" spans="1:9">
      <c r="B7" s="5"/>
      <c r="C7" s="5"/>
      <c r="D7" s="182" t="s">
        <v>146</v>
      </c>
      <c r="E7" s="183" t="s">
        <v>83</v>
      </c>
    </row>
    <row r="8" spans="1:9">
      <c r="B8" s="5"/>
      <c r="C8" s="5"/>
      <c r="D8" s="182" t="s">
        <v>147</v>
      </c>
      <c r="E8" s="5" t="str">
        <f>VLOOKUP($E$7,DSTK,2,0)</f>
        <v xml:space="preserve"> Chi phí quản lý doanh nghiệp </v>
      </c>
    </row>
    <row r="9" spans="1:9">
      <c r="A9" s="928" t="s">
        <v>29</v>
      </c>
      <c r="B9" s="929"/>
      <c r="C9" s="929"/>
      <c r="D9" s="929"/>
      <c r="E9" s="929"/>
      <c r="F9" s="929"/>
      <c r="G9" s="929"/>
      <c r="H9" s="929"/>
      <c r="I9" s="929"/>
    </row>
    <row r="10" spans="1:9" ht="9.75" customHeight="1">
      <c r="C10" s="930"/>
      <c r="D10" s="931"/>
      <c r="E10" s="931"/>
      <c r="F10" s="931"/>
      <c r="G10" s="931"/>
      <c r="H10" s="931"/>
      <c r="I10" s="931"/>
    </row>
    <row r="11" spans="1:9" s="18" customFormat="1" ht="19.5" customHeight="1">
      <c r="A11" s="932" t="s">
        <v>20</v>
      </c>
      <c r="B11" s="922" t="s">
        <v>1</v>
      </c>
      <c r="C11" s="933"/>
      <c r="D11" s="932" t="s">
        <v>0</v>
      </c>
      <c r="E11" s="932" t="s">
        <v>14</v>
      </c>
      <c r="F11" s="922" t="s">
        <v>21</v>
      </c>
      <c r="G11" s="933"/>
      <c r="H11" s="922" t="s">
        <v>31</v>
      </c>
      <c r="I11" s="923"/>
    </row>
    <row r="12" spans="1:9" s="18" customFormat="1" ht="32.25" customHeight="1">
      <c r="A12" s="932"/>
      <c r="B12" s="236" t="s">
        <v>15</v>
      </c>
      <c r="C12" s="236" t="s">
        <v>32</v>
      </c>
      <c r="D12" s="932"/>
      <c r="E12" s="932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1" customFormat="1" ht="11.25" customHeight="1">
      <c r="A13" s="212" t="s">
        <v>2</v>
      </c>
      <c r="B13" s="213" t="s">
        <v>3</v>
      </c>
      <c r="C13" s="212" t="s">
        <v>4</v>
      </c>
      <c r="D13" s="212" t="s">
        <v>5</v>
      </c>
      <c r="E13" s="212" t="s">
        <v>6</v>
      </c>
      <c r="F13" s="212">
        <v>1</v>
      </c>
      <c r="G13" s="212">
        <v>2</v>
      </c>
      <c r="H13" s="212">
        <v>3</v>
      </c>
      <c r="I13" s="212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41639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41639</v>
      </c>
      <c r="D15" s="239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100679419</v>
      </c>
      <c r="H15" s="241">
        <f ca="1">IF(D15&lt;&gt;"",MAX(H14+F15-G15-I14,0),0)</f>
        <v>0</v>
      </c>
      <c r="I15" s="241">
        <f ca="1">IF(D15&lt;&gt;"",MAX(I14+G15-H14-F15,0),0)</f>
        <v>100679419</v>
      </c>
    </row>
    <row r="16" spans="1:9" s="18" customFormat="1" ht="18" customHeight="1">
      <c r="A16" s="196">
        <f ca="1">IF(ROWS($1:2)&gt;COUNT(Dong5),"",OFFSET(TH!C$1,SMALL(Dong5,ROWS($1:2)),))</f>
        <v>41276</v>
      </c>
      <c r="B16" s="196" t="str">
        <f ca="1">IF(ROWS($1:2)&gt;COUNT(Dong5),"",OFFSET(TH!D$1,SMALL(Dong5,ROWS($1:2)),))</f>
        <v>VL/N01</v>
      </c>
      <c r="C16" s="196">
        <f ca="1">IF(ROWS($1:2)&gt;COUNT(Dong5),"",OFFSET(TH!E$1,SMALL(Dong5,ROWS($1:2)),))</f>
        <v>41235</v>
      </c>
      <c r="D16" s="239" t="str">
        <f ca="1">IF(ROWS($1:2)&gt;COUNT(Dong5),"",OFFSET(TH!F$1,SMALL(Dong5,ROWS($1:2)),))</f>
        <v>VAT Dây nylon</v>
      </c>
      <c r="E16" s="196" t="str">
        <f ca="1">IF(ROWS($1:2)&gt;COUNT(Dong5),"",IF(OFFSET(TH!L$1,SMALL(Dong5,ROWS($1:2)),)=$E$7,OFFSET(TH!M$1,SMALL(Dong5,ROWS($1:2)),),OFFSET(TH!L$1,SMALL(Dong5,ROWS($1:2)),)))</f>
        <v>331</v>
      </c>
      <c r="F16" s="240">
        <f ca="1">IF(ROWS($1:2)&gt;COUNT(Dong5),0,IF(OFFSET(TH!L$1,SMALL(Dong5,ROWS($1:2)),)=$E$7,OFFSET(TH!K$1,SMALL(Dong5,ROWS($1:2)),),0))</f>
        <v>40753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100638666</v>
      </c>
    </row>
    <row r="17" spans="1:9" s="18" customFormat="1" ht="18" customHeight="1">
      <c r="A17" s="196">
        <f ca="1">IF(ROWS($1:3)&gt;COUNT(Dong5),"",OFFSET(TH!C$1,SMALL(Dong5,ROWS($1:3)),))</f>
        <v>41277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41277</v>
      </c>
      <c r="D17" s="239" t="str">
        <f ca="1">IF(ROWS($1:3)&gt;COUNT(Dong5),"",OFFSET(TH!F$1,SMALL(Dong5,ROWS($1:3)),))</f>
        <v>Phí chuyển tiền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20080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100618586</v>
      </c>
    </row>
    <row r="18" spans="1:9" s="18" customFormat="1" ht="18" customHeight="1">
      <c r="A18" s="196">
        <f ca="1">IF(ROWS($1:4)&gt;COUNT(Dong5),"",OFFSET(TH!C$1,SMALL(Dong5,ROWS($1:4)),))</f>
        <v>41277</v>
      </c>
      <c r="B18" s="196" t="str">
        <f ca="1">IF(ROWS($1:4)&gt;COUNT(Dong5),"",OFFSET(TH!D$1,SMALL(Dong5,ROWS($1:4)),))</f>
        <v>GBN</v>
      </c>
      <c r="C18" s="196">
        <f ca="1">IF(ROWS($1:4)&gt;COUNT(Dong5),"",OFFSET(TH!E$1,SMALL(Dong5,ROWS($1:4)),))</f>
        <v>41277</v>
      </c>
      <c r="D18" s="239" t="str">
        <f ca="1">IF(ROWS($1:4)&gt;COUNT(Dong5),"",OFFSET(TH!F$1,SMALL(Dong5,ROWS($1:4)),))</f>
        <v>Phí kiểm đếm</v>
      </c>
      <c r="E18" s="196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12000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100606586</v>
      </c>
    </row>
    <row r="19" spans="1:9" s="18" customFormat="1" ht="18" customHeight="1">
      <c r="A19" s="196">
        <f ca="1">IF(ROWS($1:5)&gt;COUNT(Dong5),"",OFFSET(TH!C$1,SMALL(Dong5,ROWS($1:5)),))</f>
        <v>41299</v>
      </c>
      <c r="B19" s="196" t="str">
        <f ca="1">IF(ROWS($1:5)&gt;COUNT(Dong5),"",OFFSET(TH!D$1,SMALL(Dong5,ROWS($1:5)),))</f>
        <v>GBN</v>
      </c>
      <c r="C19" s="196">
        <f ca="1">IF(ROWS($1:5)&gt;COUNT(Dong5),"",OFFSET(TH!E$1,SMALL(Dong5,ROWS($1:5)),))</f>
        <v>41299</v>
      </c>
      <c r="D19" s="239" t="str">
        <f ca="1">IF(ROWS($1:5)&gt;COUNT(Dong5),"",OFFSET(TH!F$1,SMALL(Dong5,ROWS($1:5)),))</f>
        <v>Phí chuyển tiền</v>
      </c>
      <c r="E19" s="196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10000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100596586</v>
      </c>
    </row>
    <row r="20" spans="1:9" s="18" customFormat="1" ht="18" customHeight="1">
      <c r="A20" s="196">
        <f ca="1">IF(ROWS($1:6)&gt;COUNT(Dong5),"",OFFSET(TH!C$1,SMALL(Dong5,ROWS($1:6)),))</f>
        <v>41299</v>
      </c>
      <c r="B20" s="196" t="str">
        <f ca="1">IF(ROWS($1:6)&gt;COUNT(Dong5),"",OFFSET(TH!D$1,SMALL(Dong5,ROWS($1:6)),))</f>
        <v>GBN</v>
      </c>
      <c r="C20" s="196">
        <f ca="1">IF(ROWS($1:6)&gt;COUNT(Dong5),"",OFFSET(TH!E$1,SMALL(Dong5,ROWS($1:6)),))</f>
        <v>41299</v>
      </c>
      <c r="D20" s="239" t="str">
        <f ca="1">IF(ROWS($1:6)&gt;COUNT(Dong5),"",OFFSET(TH!F$1,SMALL(Dong5,ROWS($1:6)),))</f>
        <v>Phí kiểm đếm</v>
      </c>
      <c r="E20" s="196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10000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100586586</v>
      </c>
    </row>
    <row r="21" spans="1:9" s="18" customFormat="1" ht="18" customHeight="1">
      <c r="A21" s="196">
        <f ca="1">IF(ROWS($1:7)&gt;COUNT(Dong5),"",OFFSET(TH!C$1,SMALL(Dong5,ROWS($1:7)),))</f>
        <v>41305</v>
      </c>
      <c r="B21" s="196" t="str">
        <f ca="1">IF(ROWS($1:7)&gt;COUNT(Dong5),"",OFFSET(TH!D$1,SMALL(Dong5,ROWS($1:7)),))</f>
        <v>CTGS</v>
      </c>
      <c r="C21" s="196">
        <f ca="1">IF(ROWS($1:7)&gt;COUNT(Dong5),"",OFFSET(TH!E$1,SMALL(Dong5,ROWS($1:7)),))</f>
        <v>41305</v>
      </c>
      <c r="D21" s="239" t="str">
        <f ca="1">IF(ROWS($1:7)&gt;COUNT(Dong5),"",OFFSET(TH!F$1,SMALL(Dong5,ROWS($1:7)),))</f>
        <v>Tiền lương BP Văn phòng</v>
      </c>
      <c r="E21" s="196" t="str">
        <f ca="1">IF(ROWS($1:7)&gt;COUNT(Dong5),"",IF(OFFSET(TH!L$1,SMALL(Dong5,ROWS($1:7)),)=$E$7,OFFSET(TH!M$1,SMALL(Dong5,ROWS($1:7)),),OFFSET(TH!L$1,SMALL(Dong5,ROWS($1:7)),)))</f>
        <v>3341</v>
      </c>
      <c r="F21" s="240">
        <f ca="1">IF(ROWS($1:7)&gt;COUNT(Dong5),0,IF(OFFSET(TH!L$1,SMALL(Dong5,ROWS($1:7)),)=$E$7,OFFSET(TH!K$1,SMALL(Dong5,ROWS($1:7)),),0))</f>
        <v>5880000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94706586</v>
      </c>
    </row>
    <row r="22" spans="1:9" s="18" customFormat="1" ht="18" customHeight="1">
      <c r="A22" s="196">
        <f ca="1">IF(ROWS($1:8)&gt;COUNT(Dong5),"",OFFSET(TH!C$1,SMALL(Dong5,ROWS($1:8)),))</f>
        <v>41311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41311</v>
      </c>
      <c r="D22" s="239" t="str">
        <f ca="1">IF(ROWS($1:8)&gt;COUNT(Dong5),"",OFFSET(TH!F$1,SMALL(Dong5,ROWS($1:8)),))</f>
        <v>Phí kiểm đếm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11902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94694684</v>
      </c>
    </row>
    <row r="23" spans="1:9" s="18" customFormat="1" ht="18" customHeight="1">
      <c r="A23" s="196">
        <f ca="1">IF(ROWS($1:9)&gt;COUNT(Dong5),"",OFFSET(TH!C$1,SMALL(Dong5,ROWS($1:9)),))</f>
        <v>41311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41311</v>
      </c>
      <c r="D23" s="239" t="str">
        <f ca="1">IF(ROWS($1:9)&gt;COUNT(Dong5),"",OFFSET(TH!F$1,SMALL(Dong5,ROWS($1:9)),))</f>
        <v>Phí chuyển tiền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25000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94669684</v>
      </c>
    </row>
    <row r="24" spans="1:9" s="18" customFormat="1" ht="18" customHeight="1">
      <c r="A24" s="196">
        <f ca="1">IF(ROWS($1:10)&gt;COUNT(Dong5),"",OFFSET(TH!C$1,SMALL(Dong5,ROWS($1:10)),))</f>
        <v>41311</v>
      </c>
      <c r="B24" s="196" t="str">
        <f ca="1">IF(ROWS($1:10)&gt;COUNT(Dong5),"",OFFSET(TH!D$1,SMALL(Dong5,ROWS($1:10)),))</f>
        <v>GBN</v>
      </c>
      <c r="C24" s="196">
        <f ca="1">IF(ROWS($1:10)&gt;COUNT(Dong5),"",OFFSET(TH!E$1,SMALL(Dong5,ROWS($1:10)),))</f>
        <v>41311</v>
      </c>
      <c r="D24" s="239" t="str">
        <f ca="1">IF(ROWS($1:10)&gt;COUNT(Dong5),"",OFFSET(TH!F$1,SMALL(Dong5,ROWS($1:10)),))</f>
        <v>Phí chuyển tiền</v>
      </c>
      <c r="E24" s="196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20000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94649684</v>
      </c>
    </row>
    <row r="25" spans="1:9" s="18" customFormat="1" ht="18" customHeight="1">
      <c r="A25" s="196">
        <f ca="1">IF(ROWS($1:11)&gt;COUNT(Dong5),"",OFFSET(TH!C$1,SMALL(Dong5,ROWS($1:11)),))</f>
        <v>41333</v>
      </c>
      <c r="B25" s="196" t="str">
        <f ca="1">IF(ROWS($1:11)&gt;COUNT(Dong5),"",OFFSET(TH!D$1,SMALL(Dong5,ROWS($1:11)),))</f>
        <v>CTGS</v>
      </c>
      <c r="C25" s="196">
        <f ca="1">IF(ROWS($1:11)&gt;COUNT(Dong5),"",OFFSET(TH!E$1,SMALL(Dong5,ROWS($1:11)),))</f>
        <v>41333</v>
      </c>
      <c r="D25" s="239" t="str">
        <f ca="1">IF(ROWS($1:11)&gt;COUNT(Dong5),"",OFFSET(TH!F$1,SMALL(Dong5,ROWS($1:11)),))</f>
        <v>Tiền lương BP Văn phòng</v>
      </c>
      <c r="E25" s="196" t="str">
        <f ca="1">IF(ROWS($1:11)&gt;COUNT(Dong5),"",IF(OFFSET(TH!L$1,SMALL(Dong5,ROWS($1:11)),)=$E$7,OFFSET(TH!M$1,SMALL(Dong5,ROWS($1:11)),),OFFSET(TH!L$1,SMALL(Dong5,ROWS($1:11)),)))</f>
        <v>3341</v>
      </c>
      <c r="F25" s="240">
        <f ca="1">IF(ROWS($1:11)&gt;COUNT(Dong5),0,IF(OFFSET(TH!L$1,SMALL(Dong5,ROWS($1:11)),)=$E$7,OFFSET(TH!K$1,SMALL(Dong5,ROWS($1:11)),),0))</f>
        <v>5700000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88949684</v>
      </c>
    </row>
    <row r="26" spans="1:9" s="18" customFormat="1" ht="18" customHeight="1">
      <c r="A26" s="196">
        <f ca="1">IF(ROWS($1:12)&gt;COUNT(Dong5),"",OFFSET(TH!C$1,SMALL(Dong5,ROWS($1:12)),))</f>
        <v>41337</v>
      </c>
      <c r="B26" s="196" t="str">
        <f ca="1">IF(ROWS($1:12)&gt;COUNT(Dong5),"",OFFSET(TH!D$1,SMALL(Dong5,ROWS($1:12)),))</f>
        <v>GBN</v>
      </c>
      <c r="C26" s="196">
        <f ca="1">IF(ROWS($1:12)&gt;COUNT(Dong5),"",OFFSET(TH!E$1,SMALL(Dong5,ROWS($1:12)),))</f>
        <v>41337</v>
      </c>
      <c r="D26" s="239" t="str">
        <f ca="1">IF(ROWS($1:12)&gt;COUNT(Dong5),"",OFFSET(TH!F$1,SMALL(Dong5,ROWS($1:12)),))</f>
        <v>Phí chuyển tiền</v>
      </c>
      <c r="E26" s="196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20000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88929684</v>
      </c>
    </row>
    <row r="27" spans="1:9" s="18" customFormat="1" ht="18" customHeight="1">
      <c r="A27" s="196">
        <f ca="1">IF(ROWS($1:13)&gt;COUNT(Dong5),"",OFFSET(TH!C$1,SMALL(Dong5,ROWS($1:13)),))</f>
        <v>41337</v>
      </c>
      <c r="B27" s="196" t="str">
        <f ca="1">IF(ROWS($1:13)&gt;COUNT(Dong5),"",OFFSET(TH!D$1,SMALL(Dong5,ROWS($1:13)),))</f>
        <v>GBN</v>
      </c>
      <c r="C27" s="196">
        <f ca="1">IF(ROWS($1:13)&gt;COUNT(Dong5),"",OFFSET(TH!E$1,SMALL(Dong5,ROWS($1:13)),))</f>
        <v>41337</v>
      </c>
      <c r="D27" s="239" t="str">
        <f ca="1">IF(ROWS($1:13)&gt;COUNT(Dong5),"",OFFSET(TH!F$1,SMALL(Dong5,ROWS($1:13)),))</f>
        <v>Phí kiểm đếm</v>
      </c>
      <c r="E27" s="196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10000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88919684</v>
      </c>
    </row>
    <row r="28" spans="1:9" s="18" customFormat="1" ht="18" customHeight="1">
      <c r="A28" s="196">
        <f ca="1">IF(ROWS($1:14)&gt;COUNT(Dong5),"",OFFSET(TH!C$1,SMALL(Dong5,ROWS($1:14)),))</f>
        <v>41364</v>
      </c>
      <c r="B28" s="196" t="str">
        <f ca="1">IF(ROWS($1:14)&gt;COUNT(Dong5),"",OFFSET(TH!D$1,SMALL(Dong5,ROWS($1:14)),))</f>
        <v>CTGS</v>
      </c>
      <c r="C28" s="196">
        <f ca="1">IF(ROWS($1:14)&gt;COUNT(Dong5),"",OFFSET(TH!E$1,SMALL(Dong5,ROWS($1:14)),))</f>
        <v>41364</v>
      </c>
      <c r="D28" s="239" t="str">
        <f ca="1">IF(ROWS($1:14)&gt;COUNT(Dong5),"",OFFSET(TH!F$1,SMALL(Dong5,ROWS($1:14)),))</f>
        <v>Tiền lương BP Văn phòng</v>
      </c>
      <c r="E28" s="196" t="str">
        <f ca="1">IF(ROWS($1:14)&gt;COUNT(Dong5),"",IF(OFFSET(TH!L$1,SMALL(Dong5,ROWS($1:14)),)=$E$7,OFFSET(TH!M$1,SMALL(Dong5,ROWS($1:14)),),OFFSET(TH!L$1,SMALL(Dong5,ROWS($1:14)),)))</f>
        <v>3341</v>
      </c>
      <c r="F28" s="240">
        <f ca="1">IF(ROWS($1:14)&gt;COUNT(Dong5),0,IF(OFFSET(TH!L$1,SMALL(Dong5,ROWS($1:14)),)=$E$7,OFFSET(TH!K$1,SMALL(Dong5,ROWS($1:14)),),0))</f>
        <v>5880000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83039684</v>
      </c>
    </row>
    <row r="29" spans="1:9" s="18" customFormat="1" ht="18" customHeight="1">
      <c r="A29" s="196">
        <f ca="1">IF(ROWS($1:15)&gt;COUNT(Dong5),"",OFFSET(TH!C$1,SMALL(Dong5,ROWS($1:15)),))</f>
        <v>41365</v>
      </c>
      <c r="B29" s="196" t="str">
        <f ca="1">IF(ROWS($1:15)&gt;COUNT(Dong5),"",OFFSET(TH!D$1,SMALL(Dong5,ROWS($1:15)),))</f>
        <v>GBN</v>
      </c>
      <c r="C29" s="196">
        <f ca="1">IF(ROWS($1:15)&gt;COUNT(Dong5),"",OFFSET(TH!E$1,SMALL(Dong5,ROWS($1:15)),))</f>
        <v>41365</v>
      </c>
      <c r="D29" s="239" t="str">
        <f ca="1">IF(ROWS($1:15)&gt;COUNT(Dong5),"",OFFSET(TH!F$1,SMALL(Dong5,ROWS($1:15)),))</f>
        <v>Thu phí duy trì tài khoản</v>
      </c>
      <c r="E29" s="196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30000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83009684</v>
      </c>
    </row>
    <row r="30" spans="1:9" s="18" customFormat="1" ht="18" customHeight="1">
      <c r="A30" s="196">
        <f ca="1">IF(ROWS($1:16)&gt;COUNT(Dong5),"",OFFSET(TH!C$1,SMALL(Dong5,ROWS($1:16)),))</f>
        <v>41391</v>
      </c>
      <c r="B30" s="196" t="str">
        <f ca="1">IF(ROWS($1:16)&gt;COUNT(Dong5),"",OFFSET(TH!D$1,SMALL(Dong5,ROWS($1:16)),))</f>
        <v>GBN</v>
      </c>
      <c r="C30" s="196">
        <f ca="1">IF(ROWS($1:16)&gt;COUNT(Dong5),"",OFFSET(TH!E$1,SMALL(Dong5,ROWS($1:16)),))</f>
        <v>41391</v>
      </c>
      <c r="D30" s="239" t="str">
        <f ca="1">IF(ROWS($1:16)&gt;COUNT(Dong5),"",OFFSET(TH!F$1,SMALL(Dong5,ROWS($1:16)),))</f>
        <v>Phí chuyển tiền</v>
      </c>
      <c r="E30" s="196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20000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82989684</v>
      </c>
    </row>
    <row r="31" spans="1:9" s="18" customFormat="1" ht="18" customHeight="1">
      <c r="A31" s="196">
        <f ca="1">IF(ROWS($1:17)&gt;COUNT(Dong5),"",OFFSET(TH!C$1,SMALL(Dong5,ROWS($1:17)),))</f>
        <v>41391</v>
      </c>
      <c r="B31" s="196" t="str">
        <f ca="1">IF(ROWS($1:17)&gt;COUNT(Dong5),"",OFFSET(TH!D$1,SMALL(Dong5,ROWS($1:17)),))</f>
        <v>GBN</v>
      </c>
      <c r="C31" s="196">
        <f ca="1">IF(ROWS($1:17)&gt;COUNT(Dong5),"",OFFSET(TH!E$1,SMALL(Dong5,ROWS($1:17)),))</f>
        <v>41391</v>
      </c>
      <c r="D31" s="239" t="str">
        <f ca="1">IF(ROWS($1:17)&gt;COUNT(Dong5),"",OFFSET(TH!F$1,SMALL(Dong5,ROWS($1:17)),))</f>
        <v>Phí kiểm đếm</v>
      </c>
      <c r="E31" s="196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82974684</v>
      </c>
    </row>
    <row r="32" spans="1:9" s="18" customFormat="1" ht="18" customHeight="1">
      <c r="A32" s="196">
        <f ca="1">IF(ROWS($1:18)&gt;COUNT(Dong5),"",OFFSET(TH!C$1,SMALL(Dong5,ROWS($1:18)),))</f>
        <v>41394</v>
      </c>
      <c r="B32" s="196" t="str">
        <f ca="1">IF(ROWS($1:18)&gt;COUNT(Dong5),"",OFFSET(TH!D$1,SMALL(Dong5,ROWS($1:18)),))</f>
        <v>CTGS</v>
      </c>
      <c r="C32" s="196">
        <f ca="1">IF(ROWS($1:18)&gt;COUNT(Dong5),"",OFFSET(TH!E$1,SMALL(Dong5,ROWS($1:18)),))</f>
        <v>41394</v>
      </c>
      <c r="D32" s="239" t="str">
        <f ca="1">IF(ROWS($1:18)&gt;COUNT(Dong5),"",OFFSET(TH!F$1,SMALL(Dong5,ROWS($1:18)),))</f>
        <v>Tiền lương BP Văn phòng</v>
      </c>
      <c r="E32" s="196" t="str">
        <f ca="1">IF(ROWS($1:18)&gt;COUNT(Dong5),"",IF(OFFSET(TH!L$1,SMALL(Dong5,ROWS($1:18)),)=$E$7,OFFSET(TH!M$1,SMALL(Dong5,ROWS($1:18)),),OFFSET(TH!L$1,SMALL(Dong5,ROWS($1:18)),)))</f>
        <v>3341</v>
      </c>
      <c r="F32" s="240">
        <f ca="1">IF(ROWS($1:18)&gt;COUNT(Dong5),0,IF(OFFSET(TH!L$1,SMALL(Dong5,ROWS($1:18)),)=$E$7,OFFSET(TH!K$1,SMALL(Dong5,ROWS($1:18)),),0))</f>
        <v>5850000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77124684</v>
      </c>
    </row>
    <row r="33" spans="1:9" s="18" customFormat="1" ht="18" customHeight="1">
      <c r="A33" s="196">
        <f ca="1">IF(ROWS($1:19)&gt;COUNT(Dong5),"",OFFSET(TH!C$1,SMALL(Dong5,ROWS($1:19)),))</f>
        <v>41403</v>
      </c>
      <c r="B33" s="196" t="str">
        <f ca="1">IF(ROWS($1:19)&gt;COUNT(Dong5),"",OFFSET(TH!D$1,SMALL(Dong5,ROWS($1:19)),))</f>
        <v>C09</v>
      </c>
      <c r="C33" s="196">
        <f ca="1">IF(ROWS($1:19)&gt;COUNT(Dong5),"",OFFSET(TH!E$1,SMALL(Dong5,ROWS($1:19)),))</f>
        <v>41403</v>
      </c>
      <c r="D33" s="239" t="str">
        <f ca="1">IF(ROWS($1:19)&gt;COUNT(Dong5),"",OFFSET(TH!F$1,SMALL(Dong5,ROWS($1:19)),))</f>
        <v>Văn phòng phẩm</v>
      </c>
      <c r="E33" s="196" t="str">
        <f ca="1">IF(ROWS($1:19)&gt;COUNT(Dong5),"",IF(OFFSET(TH!L$1,SMALL(Dong5,ROWS($1:19)),)=$E$7,OFFSET(TH!M$1,SMALL(Dong5,ROWS($1:19)),),OFFSET(TH!L$1,SMALL(Dong5,ROWS($1:19)),)))</f>
        <v>1111</v>
      </c>
      <c r="F33" s="240">
        <f ca="1">IF(ROWS($1:19)&gt;COUNT(Dong5),0,IF(OFFSET(TH!L$1,SMALL(Dong5,ROWS($1:19)),)=$E$7,OFFSET(TH!K$1,SMALL(Dong5,ROWS($1:19)),),0))</f>
        <v>556300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76568384</v>
      </c>
    </row>
    <row r="34" spans="1:9" s="18" customFormat="1" ht="18" customHeight="1">
      <c r="A34" s="196">
        <f ca="1">IF(ROWS($1:20)&gt;COUNT(Dong5),"",OFFSET(TH!C$1,SMALL(Dong5,ROWS($1:20)),))</f>
        <v>41411</v>
      </c>
      <c r="B34" s="196" t="str">
        <f ca="1">IF(ROWS($1:20)&gt;COUNT(Dong5),"",OFFSET(TH!D$1,SMALL(Dong5,ROWS($1:20)),))</f>
        <v>GBN</v>
      </c>
      <c r="C34" s="196">
        <f ca="1">IF(ROWS($1:20)&gt;COUNT(Dong5),"",OFFSET(TH!E$1,SMALL(Dong5,ROWS($1:20)),))</f>
        <v>41411</v>
      </c>
      <c r="D34" s="239" t="str">
        <f ca="1">IF(ROWS($1:20)&gt;COUNT(Dong5),"",OFFSET(TH!F$1,SMALL(Dong5,ROWS($1:20)),))</f>
        <v>Phí chuyển tiền</v>
      </c>
      <c r="E34" s="196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20000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76548384</v>
      </c>
    </row>
    <row r="35" spans="1:9" s="18" customFormat="1" ht="18" customHeight="1">
      <c r="A35" s="196">
        <f ca="1">IF(ROWS($1:21)&gt;COUNT(Dong5),"",OFFSET(TH!C$1,SMALL(Dong5,ROWS($1:21)),))</f>
        <v>41411</v>
      </c>
      <c r="B35" s="196" t="str">
        <f ca="1">IF(ROWS($1:21)&gt;COUNT(Dong5),"",OFFSET(TH!D$1,SMALL(Dong5,ROWS($1:21)),))</f>
        <v>GBN</v>
      </c>
      <c r="C35" s="196">
        <f ca="1">IF(ROWS($1:21)&gt;COUNT(Dong5),"",OFFSET(TH!E$1,SMALL(Dong5,ROWS($1:21)),))</f>
        <v>41411</v>
      </c>
      <c r="D35" s="239" t="str">
        <f ca="1">IF(ROWS($1:21)&gt;COUNT(Dong5),"",OFFSET(TH!F$1,SMALL(Dong5,ROWS($1:21)),))</f>
        <v>Phí bán 3 cuốn sec</v>
      </c>
      <c r="E35" s="196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76533384</v>
      </c>
    </row>
    <row r="36" spans="1:9" s="18" customFormat="1" ht="18" customHeight="1">
      <c r="A36" s="196">
        <f ca="1">IF(ROWS($1:22)&gt;COUNT(Dong5),"",OFFSET(TH!C$1,SMALL(Dong5,ROWS($1:22)),))</f>
        <v>41425</v>
      </c>
      <c r="B36" s="196" t="str">
        <f ca="1">IF(ROWS($1:22)&gt;COUNT(Dong5),"",OFFSET(TH!D$1,SMALL(Dong5,ROWS($1:22)),))</f>
        <v>CTGS</v>
      </c>
      <c r="C36" s="196">
        <f ca="1">IF(ROWS($1:22)&gt;COUNT(Dong5),"",OFFSET(TH!E$1,SMALL(Dong5,ROWS($1:22)),))</f>
        <v>41425</v>
      </c>
      <c r="D36" s="239" t="str">
        <f ca="1">IF(ROWS($1:22)&gt;COUNT(Dong5),"",OFFSET(TH!F$1,SMALL(Dong5,ROWS($1:22)),))</f>
        <v>Tiền lương BP Văn phòng</v>
      </c>
      <c r="E36" s="196" t="str">
        <f ca="1">IF(ROWS($1:22)&gt;COUNT(Dong5),"",IF(OFFSET(TH!L$1,SMALL(Dong5,ROWS($1:22)),)=$E$7,OFFSET(TH!M$1,SMALL(Dong5,ROWS($1:22)),),OFFSET(TH!L$1,SMALL(Dong5,ROWS($1:22)),)))</f>
        <v>3341</v>
      </c>
      <c r="F36" s="240">
        <f ca="1">IF(ROWS($1:22)&gt;COUNT(Dong5),0,IF(OFFSET(TH!L$1,SMALL(Dong5,ROWS($1:22)),)=$E$7,OFFSET(TH!K$1,SMALL(Dong5,ROWS($1:22)),),0))</f>
        <v>5880000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70653384</v>
      </c>
    </row>
    <row r="37" spans="1:9" s="18" customFormat="1" ht="18" customHeight="1">
      <c r="A37" s="196">
        <f ca="1">IF(ROWS($1:23)&gt;COUNT(Dong5),"",OFFSET(TH!C$1,SMALL(Dong5,ROWS($1:23)),))</f>
        <v>41443</v>
      </c>
      <c r="B37" s="196" t="str">
        <f ca="1">IF(ROWS($1:23)&gt;COUNT(Dong5),"",OFFSET(TH!D$1,SMALL(Dong5,ROWS($1:23)),))</f>
        <v>C16</v>
      </c>
      <c r="C37" s="196">
        <f ca="1">IF(ROWS($1:23)&gt;COUNT(Dong5),"",OFFSET(TH!E$1,SMALL(Dong5,ROWS($1:23)),))</f>
        <v>41443</v>
      </c>
      <c r="D37" s="239" t="str">
        <f ca="1">IF(ROWS($1:23)&gt;COUNT(Dong5),"",OFFSET(TH!F$1,SMALL(Dong5,ROWS($1:23)),))</f>
        <v>Tiền điện</v>
      </c>
      <c r="E37" s="196" t="str">
        <f ca="1">IF(ROWS($1:23)&gt;COUNT(Dong5),"",IF(OFFSET(TH!L$1,SMALL(Dong5,ROWS($1:23)),)=$E$7,OFFSET(TH!M$1,SMALL(Dong5,ROWS($1:23)),),OFFSET(TH!L$1,SMALL(Dong5,ROWS($1:23)),)))</f>
        <v>1111</v>
      </c>
      <c r="F37" s="240">
        <f ca="1">IF(ROWS($1:23)&gt;COUNT(Dong5),0,IF(OFFSET(TH!L$1,SMALL(Dong5,ROWS($1:23)),)=$E$7,OFFSET(TH!K$1,SMALL(Dong5,ROWS($1:23)),),0))</f>
        <v>543634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70109750</v>
      </c>
    </row>
    <row r="38" spans="1:9" s="18" customFormat="1" ht="18" customHeight="1">
      <c r="A38" s="196">
        <f ca="1">IF(ROWS($1:24)&gt;COUNT(Dong5),"",OFFSET(TH!C$1,SMALL(Dong5,ROWS($1:24)),))</f>
        <v>41445</v>
      </c>
      <c r="B38" s="196" t="str">
        <f ca="1">IF(ROWS($1:24)&gt;COUNT(Dong5),"",OFFSET(TH!D$1,SMALL(Dong5,ROWS($1:24)),))</f>
        <v>C17</v>
      </c>
      <c r="C38" s="196">
        <f ca="1">IF(ROWS($1:24)&gt;COUNT(Dong5),"",OFFSET(TH!E$1,SMALL(Dong5,ROWS($1:24)),))</f>
        <v>41445</v>
      </c>
      <c r="D38" s="239" t="str">
        <f ca="1">IF(ROWS($1:24)&gt;COUNT(Dong5),"",OFFSET(TH!F$1,SMALL(Dong5,ROWS($1:24)),))</f>
        <v>Văn phòng phẩm</v>
      </c>
      <c r="E38" s="196" t="str">
        <f ca="1">IF(ROWS($1:24)&gt;COUNT(Dong5),"",IF(OFFSET(TH!L$1,SMALL(Dong5,ROWS($1:24)),)=$E$7,OFFSET(TH!M$1,SMALL(Dong5,ROWS($1:24)),),OFFSET(TH!L$1,SMALL(Dong5,ROWS($1:24)),)))</f>
        <v>1111</v>
      </c>
      <c r="F38" s="240">
        <f ca="1">IF(ROWS($1:24)&gt;COUNT(Dong5),0,IF(OFFSET(TH!L$1,SMALL(Dong5,ROWS($1:24)),)=$E$7,OFFSET(TH!K$1,SMALL(Dong5,ROWS($1:24)),),0))</f>
        <v>400000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69709750</v>
      </c>
    </row>
    <row r="39" spans="1:9" s="18" customFormat="1" ht="18" customHeight="1">
      <c r="A39" s="196">
        <f ca="1">IF(ROWS($1:25)&gt;COUNT(Dong5),"",OFFSET(TH!C$1,SMALL(Dong5,ROWS($1:25)),))</f>
        <v>41447</v>
      </c>
      <c r="B39" s="196" t="str">
        <f ca="1">IF(ROWS($1:25)&gt;COUNT(Dong5),"",OFFSET(TH!D$1,SMALL(Dong5,ROWS($1:25)),))</f>
        <v>GBN</v>
      </c>
      <c r="C39" s="196">
        <f ca="1">IF(ROWS($1:25)&gt;COUNT(Dong5),"",OFFSET(TH!E$1,SMALL(Dong5,ROWS($1:25)),))</f>
        <v>41447</v>
      </c>
      <c r="D39" s="239" t="str">
        <f ca="1">IF(ROWS($1:25)&gt;COUNT(Dong5),"",OFFSET(TH!F$1,SMALL(Dong5,ROWS($1:25)),))</f>
        <v>Phí chuyển tiền</v>
      </c>
      <c r="E39" s="196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20000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69689750</v>
      </c>
    </row>
    <row r="40" spans="1:9" s="18" customFormat="1" ht="18" customHeight="1">
      <c r="A40" s="196">
        <f ca="1">IF(ROWS($1:26)&gt;COUNT(Dong5),"",OFFSET(TH!C$1,SMALL(Dong5,ROWS($1:26)),))</f>
        <v>41455</v>
      </c>
      <c r="B40" s="196" t="str">
        <f ca="1">IF(ROWS($1:26)&gt;COUNT(Dong5),"",OFFSET(TH!D$1,SMALL(Dong5,ROWS($1:26)),))</f>
        <v>CTGS</v>
      </c>
      <c r="C40" s="196">
        <f ca="1">IF(ROWS($1:26)&gt;COUNT(Dong5),"",OFFSET(TH!E$1,SMALL(Dong5,ROWS($1:26)),))</f>
        <v>41455</v>
      </c>
      <c r="D40" s="239" t="str">
        <f ca="1">IF(ROWS($1:26)&gt;COUNT(Dong5),"",OFFSET(TH!F$1,SMALL(Dong5,ROWS($1:26)),))</f>
        <v>Tiền lương BP Văn phòng</v>
      </c>
      <c r="E40" s="196" t="str">
        <f ca="1">IF(ROWS($1:26)&gt;COUNT(Dong5),"",IF(OFFSET(TH!L$1,SMALL(Dong5,ROWS($1:26)),)=$E$7,OFFSET(TH!M$1,SMALL(Dong5,ROWS($1:26)),),OFFSET(TH!L$1,SMALL(Dong5,ROWS($1:26)),)))</f>
        <v>3341</v>
      </c>
      <c r="F40" s="240">
        <f ca="1">IF(ROWS($1:26)&gt;COUNT(Dong5),0,IF(OFFSET(TH!L$1,SMALL(Dong5,ROWS($1:26)),)=$E$7,OFFSET(TH!K$1,SMALL(Dong5,ROWS($1:26)),),0))</f>
        <v>5850000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63839750</v>
      </c>
    </row>
    <row r="41" spans="1:9" s="18" customFormat="1" ht="18" customHeight="1">
      <c r="A41" s="196">
        <f ca="1">IF(ROWS($1:27)&gt;COUNT(Dong5),"",OFFSET(TH!C$1,SMALL(Dong5,ROWS($1:27)),))</f>
        <v>41465</v>
      </c>
      <c r="B41" s="196" t="str">
        <f ca="1">IF(ROWS($1:27)&gt;COUNT(Dong5),"",OFFSET(TH!D$1,SMALL(Dong5,ROWS($1:27)),))</f>
        <v>C01</v>
      </c>
      <c r="C41" s="196">
        <f ca="1">IF(ROWS($1:27)&gt;COUNT(Dong5),"",OFFSET(TH!E$1,SMALL(Dong5,ROWS($1:27)),))</f>
        <v>41465</v>
      </c>
      <c r="D41" s="239" t="str">
        <f ca="1">IF(ROWS($1:27)&gt;COUNT(Dong5),"",OFFSET(TH!F$1,SMALL(Dong5,ROWS($1:27)),))</f>
        <v>Cước dịch vụ viễn thông</v>
      </c>
      <c r="E41" s="196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926339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62913411</v>
      </c>
    </row>
    <row r="42" spans="1:9" s="18" customFormat="1" ht="18" customHeight="1">
      <c r="A42" s="196">
        <f ca="1">IF(ROWS($1:28)&gt;COUNT(Dong5),"",OFFSET(TH!C$1,SMALL(Dong5,ROWS($1:28)),))</f>
        <v>41471</v>
      </c>
      <c r="B42" s="196" t="str">
        <f ca="1">IF(ROWS($1:28)&gt;COUNT(Dong5),"",OFFSET(TH!D$1,SMALL(Dong5,ROWS($1:28)),))</f>
        <v>C02</v>
      </c>
      <c r="C42" s="196">
        <f ca="1">IF(ROWS($1:28)&gt;COUNT(Dong5),"",OFFSET(TH!E$1,SMALL(Dong5,ROWS($1:28)),))</f>
        <v>41471</v>
      </c>
      <c r="D42" s="239" t="str">
        <f ca="1">IF(ROWS($1:28)&gt;COUNT(Dong5),"",OFFSET(TH!F$1,SMALL(Dong5,ROWS($1:28)),))</f>
        <v>Chi phí chứng thư số</v>
      </c>
      <c r="E42" s="196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850000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62063411</v>
      </c>
    </row>
    <row r="43" spans="1:9" s="18" customFormat="1" ht="18" customHeight="1">
      <c r="A43" s="196">
        <f ca="1">IF(ROWS($1:29)&gt;COUNT(Dong5),"",OFFSET(TH!C$1,SMALL(Dong5,ROWS($1:29)),))</f>
        <v>41486</v>
      </c>
      <c r="B43" s="196" t="str">
        <f ca="1">IF(ROWS($1:29)&gt;COUNT(Dong5),"",OFFSET(TH!D$1,SMALL(Dong5,ROWS($1:29)),))</f>
        <v>CTGS</v>
      </c>
      <c r="C43" s="196">
        <f ca="1">IF(ROWS($1:29)&gt;COUNT(Dong5),"",OFFSET(TH!E$1,SMALL(Dong5,ROWS($1:29)),))</f>
        <v>41486</v>
      </c>
      <c r="D43" s="239" t="str">
        <f ca="1">IF(ROWS($1:29)&gt;COUNT(Dong5),"",OFFSET(TH!F$1,SMALL(Dong5,ROWS($1:29)),))</f>
        <v>Tiền lương BP Văn phòng</v>
      </c>
      <c r="E43" s="196" t="str">
        <f ca="1">IF(ROWS($1:29)&gt;COUNT(Dong5),"",IF(OFFSET(TH!L$1,SMALL(Dong5,ROWS($1:29)),)=$E$7,OFFSET(TH!M$1,SMALL(Dong5,ROWS($1:29)),),OFFSET(TH!L$1,SMALL(Dong5,ROWS($1:29)),)))</f>
        <v>3341</v>
      </c>
      <c r="F43" s="240">
        <f ca="1">IF(ROWS($1:29)&gt;COUNT(Dong5),0,IF(OFFSET(TH!L$1,SMALL(Dong5,ROWS($1:29)),)=$E$7,OFFSET(TH!K$1,SMALL(Dong5,ROWS($1:29)),),0))</f>
        <v>5910000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56153411</v>
      </c>
    </row>
    <row r="44" spans="1:9" s="18" customFormat="1" ht="18" customHeight="1">
      <c r="A44" s="196">
        <f ca="1">IF(ROWS($1:30)&gt;COUNT(Dong5),"",OFFSET(TH!C$1,SMALL(Dong5,ROWS($1:30)),))</f>
        <v>41493</v>
      </c>
      <c r="B44" s="196" t="str">
        <f ca="1">IF(ROWS($1:30)&gt;COUNT(Dong5),"",OFFSET(TH!D$1,SMALL(Dong5,ROWS($1:30)),))</f>
        <v>C08</v>
      </c>
      <c r="C44" s="196">
        <f ca="1">IF(ROWS($1:30)&gt;COUNT(Dong5),"",OFFSET(TH!E$1,SMALL(Dong5,ROWS($1:30)),))</f>
        <v>41493</v>
      </c>
      <c r="D44" s="239" t="str">
        <f ca="1">IF(ROWS($1:30)&gt;COUNT(Dong5),"",OFFSET(TH!F$1,SMALL(Dong5,ROWS($1:30)),))</f>
        <v>Cước dịch vụ viễn thông</v>
      </c>
      <c r="E44" s="196" t="str">
        <f ca="1">IF(ROWS($1:30)&gt;COUNT(Dong5),"",IF(OFFSET(TH!L$1,SMALL(Dong5,ROWS($1:30)),)=$E$7,OFFSET(TH!M$1,SMALL(Dong5,ROWS($1:30)),),OFFSET(TH!L$1,SMALL(Dong5,ROWS($1:30)),)))</f>
        <v>1111</v>
      </c>
      <c r="F44" s="240">
        <f ca="1">IF(ROWS($1:30)&gt;COUNT(Dong5),0,IF(OFFSET(TH!L$1,SMALL(Dong5,ROWS($1:30)),)=$E$7,OFFSET(TH!K$1,SMALL(Dong5,ROWS($1:30)),),0))</f>
        <v>299871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55853540</v>
      </c>
    </row>
    <row r="45" spans="1:9" s="18" customFormat="1" ht="18" customHeight="1">
      <c r="A45" s="196">
        <f ca="1">IF(ROWS($1:31)&gt;COUNT(Dong5),"",OFFSET(TH!C$1,SMALL(Dong5,ROWS($1:31)),))</f>
        <v>41501</v>
      </c>
      <c r="B45" s="196" t="str">
        <f ca="1">IF(ROWS($1:31)&gt;COUNT(Dong5),"",OFFSET(TH!D$1,SMALL(Dong5,ROWS($1:31)),))</f>
        <v>GBC</v>
      </c>
      <c r="C45" s="196">
        <f ca="1">IF(ROWS($1:31)&gt;COUNT(Dong5),"",OFFSET(TH!E$1,SMALL(Dong5,ROWS($1:31)),))</f>
        <v>41501</v>
      </c>
      <c r="D45" s="239" t="str">
        <f ca="1">IF(ROWS($1:31)&gt;COUNT(Dong5),"",OFFSET(TH!F$1,SMALL(Dong5,ROWS($1:31)),))</f>
        <v>Kết thúc công nợ</v>
      </c>
      <c r="E45" s="196" t="str">
        <f ca="1">IF(ROWS($1:31)&gt;COUNT(Dong5),"",IF(OFFSET(TH!L$1,SMALL(Dong5,ROWS($1:31)),)=$E$7,OFFSET(TH!M$1,SMALL(Dong5,ROWS($1:31)),),OFFSET(TH!L$1,SMALL(Dong5,ROWS($1:31)),)))</f>
        <v>131</v>
      </c>
      <c r="F45" s="240">
        <f ca="1">IF(ROWS($1:31)&gt;COUNT(Dong5),0,IF(OFFSET(TH!L$1,SMALL(Dong5,ROWS($1:31)),)=$E$7,OFFSET(TH!K$1,SMALL(Dong5,ROWS($1:31)),),0))</f>
        <v>17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55853523</v>
      </c>
    </row>
    <row r="46" spans="1:9" s="18" customFormat="1" ht="18" customHeight="1">
      <c r="A46" s="196">
        <f ca="1">IF(ROWS($1:32)&gt;COUNT(Dong5),"",OFFSET(TH!C$1,SMALL(Dong5,ROWS($1:32)),))</f>
        <v>41502</v>
      </c>
      <c r="B46" s="196" t="str">
        <f ca="1">IF(ROWS($1:32)&gt;COUNT(Dong5),"",OFFSET(TH!D$1,SMALL(Dong5,ROWS($1:32)),))</f>
        <v>GBN</v>
      </c>
      <c r="C46" s="196">
        <f ca="1">IF(ROWS($1:32)&gt;COUNT(Dong5),"",OFFSET(TH!E$1,SMALL(Dong5,ROWS($1:32)),))</f>
        <v>41502</v>
      </c>
      <c r="D46" s="239" t="str">
        <f ca="1">IF(ROWS($1:32)&gt;COUNT(Dong5),"",OFFSET(TH!F$1,SMALL(Dong5,ROWS($1:32)),))</f>
        <v>Phí chuyển tiền</v>
      </c>
      <c r="E46" s="196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15000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55838523</v>
      </c>
    </row>
    <row r="47" spans="1:9" s="18" customFormat="1" ht="18" customHeight="1">
      <c r="A47" s="196">
        <f ca="1">IF(ROWS($1:33)&gt;COUNT(Dong5),"",OFFSET(TH!C$1,SMALL(Dong5,ROWS($1:33)),))</f>
        <v>41517</v>
      </c>
      <c r="B47" s="196" t="str">
        <f ca="1">IF(ROWS($1:33)&gt;COUNT(Dong5),"",OFFSET(TH!D$1,SMALL(Dong5,ROWS($1:33)),))</f>
        <v>CTGS</v>
      </c>
      <c r="C47" s="196">
        <f ca="1">IF(ROWS($1:33)&gt;COUNT(Dong5),"",OFFSET(TH!E$1,SMALL(Dong5,ROWS($1:33)),))</f>
        <v>41517</v>
      </c>
      <c r="D47" s="239" t="str">
        <f ca="1">IF(ROWS($1:33)&gt;COUNT(Dong5),"",OFFSET(TH!F$1,SMALL(Dong5,ROWS($1:33)),))</f>
        <v>Tiền lương BP Văn phòng</v>
      </c>
      <c r="E47" s="196" t="str">
        <f ca="1">IF(ROWS($1:33)&gt;COUNT(Dong5),"",IF(OFFSET(TH!L$1,SMALL(Dong5,ROWS($1:33)),)=$E$7,OFFSET(TH!M$1,SMALL(Dong5,ROWS($1:33)),),OFFSET(TH!L$1,SMALL(Dong5,ROWS($1:33)),)))</f>
        <v>3341</v>
      </c>
      <c r="F47" s="240">
        <f ca="1">IF(ROWS($1:33)&gt;COUNT(Dong5),0,IF(OFFSET(TH!L$1,SMALL(Dong5,ROWS($1:33)),)=$E$7,OFFSET(TH!K$1,SMALL(Dong5,ROWS($1:33)),),0))</f>
        <v>5910000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49928523</v>
      </c>
    </row>
    <row r="48" spans="1:9" s="18" customFormat="1" ht="18" customHeight="1">
      <c r="A48" s="196">
        <f ca="1">IF(ROWS($1:34)&gt;COUNT(Dong5),"",OFFSET(TH!C$1,SMALL(Dong5,ROWS($1:34)),))</f>
        <v>41522</v>
      </c>
      <c r="B48" s="196" t="str">
        <f ca="1">IF(ROWS($1:34)&gt;COUNT(Dong5),"",OFFSET(TH!D$1,SMALL(Dong5,ROWS($1:34)),))</f>
        <v>C18</v>
      </c>
      <c r="C48" s="196">
        <f ca="1">IF(ROWS($1:34)&gt;COUNT(Dong5),"",OFFSET(TH!E$1,SMALL(Dong5,ROWS($1:34)),))</f>
        <v>41522</v>
      </c>
      <c r="D48" s="239" t="str">
        <f ca="1">IF(ROWS($1:34)&gt;COUNT(Dong5),"",OFFSET(TH!F$1,SMALL(Dong5,ROWS($1:34)),))</f>
        <v>Cước dịch vụ viễn thông</v>
      </c>
      <c r="E48" s="196" t="str">
        <f ca="1">IF(ROWS($1:34)&gt;COUNT(Dong5),"",IF(OFFSET(TH!L$1,SMALL(Dong5,ROWS($1:34)),)=$E$7,OFFSET(TH!M$1,SMALL(Dong5,ROWS($1:34)),),OFFSET(TH!L$1,SMALL(Dong5,ROWS($1:34)),)))</f>
        <v>1111</v>
      </c>
      <c r="F48" s="240">
        <f ca="1">IF(ROWS($1:34)&gt;COUNT(Dong5),0,IF(OFFSET(TH!L$1,SMALL(Dong5,ROWS($1:34)),)=$E$7,OFFSET(TH!K$1,SMALL(Dong5,ROWS($1:34)),),0))</f>
        <v>451401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49477122</v>
      </c>
    </row>
    <row r="49" spans="1:9" s="18" customFormat="1" ht="18" customHeight="1">
      <c r="A49" s="196">
        <f ca="1">IF(ROWS($1:35)&gt;COUNT(Dong5),"",OFFSET(TH!C$1,SMALL(Dong5,ROWS($1:35)),))</f>
        <v>41547</v>
      </c>
      <c r="B49" s="196" t="str">
        <f ca="1">IF(ROWS($1:35)&gt;COUNT(Dong5),"",OFFSET(TH!D$1,SMALL(Dong5,ROWS($1:35)),))</f>
        <v>CTGS</v>
      </c>
      <c r="C49" s="196">
        <f ca="1">IF(ROWS($1:35)&gt;COUNT(Dong5),"",OFFSET(TH!E$1,SMALL(Dong5,ROWS($1:35)),))</f>
        <v>41547</v>
      </c>
      <c r="D49" s="239" t="str">
        <f ca="1">IF(ROWS($1:35)&gt;COUNT(Dong5),"",OFFSET(TH!F$1,SMALL(Dong5,ROWS($1:35)),))</f>
        <v>Tiền lương BP Văn phòng</v>
      </c>
      <c r="E49" s="196" t="str">
        <f ca="1">IF(ROWS($1:35)&gt;COUNT(Dong5),"",IF(OFFSET(TH!L$1,SMALL(Dong5,ROWS($1:35)),)=$E$7,OFFSET(TH!M$1,SMALL(Dong5,ROWS($1:35)),),OFFSET(TH!L$1,SMALL(Dong5,ROWS($1:35)),)))</f>
        <v>3341</v>
      </c>
      <c r="F49" s="240">
        <f ca="1">IF(ROWS($1:35)&gt;COUNT(Dong5),0,IF(OFFSET(TH!L$1,SMALL(Dong5,ROWS($1:35)),)=$E$7,OFFSET(TH!K$1,SMALL(Dong5,ROWS($1:35)),),0))</f>
        <v>5820000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43657122</v>
      </c>
    </row>
    <row r="50" spans="1:9" s="18" customFormat="1" ht="18" customHeight="1">
      <c r="A50" s="196">
        <f ca="1">IF(ROWS($1:36)&gt;COUNT(Dong5),"",OFFSET(TH!C$1,SMALL(Dong5,ROWS($1:36)),))</f>
        <v>41549</v>
      </c>
      <c r="B50" s="196" t="str">
        <f ca="1">IF(ROWS($1:36)&gt;COUNT(Dong5),"",OFFSET(TH!D$1,SMALL(Dong5,ROWS($1:36)),))</f>
        <v>C01</v>
      </c>
      <c r="C50" s="196">
        <f ca="1">IF(ROWS($1:36)&gt;COUNT(Dong5),"",OFFSET(TH!E$1,SMALL(Dong5,ROWS($1:36)),))</f>
        <v>41549</v>
      </c>
      <c r="D50" s="239" t="str">
        <f ca="1">IF(ROWS($1:36)&gt;COUNT(Dong5),"",OFFSET(TH!F$1,SMALL(Dong5,ROWS($1:36)),))</f>
        <v>Cước dịch vụ viễn thông</v>
      </c>
      <c r="E50" s="196" t="str">
        <f ca="1">IF(ROWS($1:36)&gt;COUNT(Dong5),"",IF(OFFSET(TH!L$1,SMALL(Dong5,ROWS($1:36)),)=$E$7,OFFSET(TH!M$1,SMALL(Dong5,ROWS($1:36)),),OFFSET(TH!L$1,SMALL(Dong5,ROWS($1:36)),)))</f>
        <v>1111</v>
      </c>
      <c r="F50" s="240">
        <f ca="1">IF(ROWS($1:36)&gt;COUNT(Dong5),0,IF(OFFSET(TH!L$1,SMALL(Dong5,ROWS($1:36)),)=$E$7,OFFSET(TH!K$1,SMALL(Dong5,ROWS($1:36)),),0))</f>
        <v>741835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42915287</v>
      </c>
    </row>
    <row r="51" spans="1:9" s="18" customFormat="1" ht="18" customHeight="1">
      <c r="A51" s="196">
        <f ca="1">IF(ROWS($1:37)&gt;COUNT(Dong5),"",OFFSET(TH!C$1,SMALL(Dong5,ROWS($1:37)),))</f>
        <v>41577</v>
      </c>
      <c r="B51" s="196" t="str">
        <f ca="1">IF(ROWS($1:37)&gt;COUNT(Dong5),"",OFFSET(TH!D$1,SMALL(Dong5,ROWS($1:37)),))</f>
        <v>C09</v>
      </c>
      <c r="C51" s="196">
        <f ca="1">IF(ROWS($1:37)&gt;COUNT(Dong5),"",OFFSET(TH!E$1,SMALL(Dong5,ROWS($1:37)),))</f>
        <v>41577</v>
      </c>
      <c r="D51" s="239" t="str">
        <f ca="1">IF(ROWS($1:37)&gt;COUNT(Dong5),"",OFFSET(TH!F$1,SMALL(Dong5,ROWS($1:37)),))</f>
        <v>Tiền điện</v>
      </c>
      <c r="E51" s="196" t="str">
        <f ca="1">IF(ROWS($1:37)&gt;COUNT(Dong5),"",IF(OFFSET(TH!L$1,SMALL(Dong5,ROWS($1:37)),)=$E$7,OFFSET(TH!M$1,SMALL(Dong5,ROWS($1:37)),),OFFSET(TH!L$1,SMALL(Dong5,ROWS($1:37)),)))</f>
        <v>1111</v>
      </c>
      <c r="F51" s="240">
        <f ca="1">IF(ROWS($1:37)&gt;COUNT(Dong5),0,IF(OFFSET(TH!L$1,SMALL(Dong5,ROWS($1:37)),)=$E$7,OFFSET(TH!K$1,SMALL(Dong5,ROWS($1:37)),),0))</f>
        <v>1616900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41298387</v>
      </c>
    </row>
    <row r="52" spans="1:9" s="18" customFormat="1" ht="18" customHeight="1">
      <c r="A52" s="196">
        <f ca="1">IF(ROWS($1:38)&gt;COUNT(Dong5),"",OFFSET(TH!C$1,SMALL(Dong5,ROWS($1:38)),))</f>
        <v>41578</v>
      </c>
      <c r="B52" s="196" t="str">
        <f ca="1">IF(ROWS($1:38)&gt;COUNT(Dong5),"",OFFSET(TH!D$1,SMALL(Dong5,ROWS($1:38)),))</f>
        <v>CTGS</v>
      </c>
      <c r="C52" s="196">
        <f ca="1">IF(ROWS($1:38)&gt;COUNT(Dong5),"",OFFSET(TH!E$1,SMALL(Dong5,ROWS($1:38)),))</f>
        <v>41578</v>
      </c>
      <c r="D52" s="239" t="str">
        <f ca="1">IF(ROWS($1:38)&gt;COUNT(Dong5),"",OFFSET(TH!F$1,SMALL(Dong5,ROWS($1:38)),))</f>
        <v>Tiền lương BP Văn phòng</v>
      </c>
      <c r="E52" s="196" t="str">
        <f ca="1">IF(ROWS($1:38)&gt;COUNT(Dong5),"",IF(OFFSET(TH!L$1,SMALL(Dong5,ROWS($1:38)),)=$E$7,OFFSET(TH!M$1,SMALL(Dong5,ROWS($1:38)),),OFFSET(TH!L$1,SMALL(Dong5,ROWS($1:38)),)))</f>
        <v>3341</v>
      </c>
      <c r="F52" s="240">
        <f ca="1">IF(ROWS($1:38)&gt;COUNT(Dong5),0,IF(OFFSET(TH!L$1,SMALL(Dong5,ROWS($1:38)),)=$E$7,OFFSET(TH!K$1,SMALL(Dong5,ROWS($1:38)),),0))</f>
        <v>5910000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35388387</v>
      </c>
    </row>
    <row r="53" spans="1:9" s="18" customFormat="1" ht="18" customHeight="1">
      <c r="A53" s="196">
        <f ca="1">IF(ROWS($1:39)&gt;COUNT(Dong5),"",OFFSET(TH!C$1,SMALL(Dong5,ROWS($1:39)),))</f>
        <v>41581</v>
      </c>
      <c r="B53" s="196" t="str">
        <f ca="1">IF(ROWS($1:39)&gt;COUNT(Dong5),"",OFFSET(TH!D$1,SMALL(Dong5,ROWS($1:39)),))</f>
        <v>C14</v>
      </c>
      <c r="C53" s="196">
        <f ca="1">IF(ROWS($1:39)&gt;COUNT(Dong5),"",OFFSET(TH!E$1,SMALL(Dong5,ROWS($1:39)),))</f>
        <v>41581</v>
      </c>
      <c r="D53" s="239" t="str">
        <f ca="1">IF(ROWS($1:39)&gt;COUNT(Dong5),"",OFFSET(TH!F$1,SMALL(Dong5,ROWS($1:39)),))</f>
        <v>Ipad 4 Retina Wifi</v>
      </c>
      <c r="E53" s="196" t="str">
        <f ca="1">IF(ROWS($1:39)&gt;COUNT(Dong5),"",IF(OFFSET(TH!L$1,SMALL(Dong5,ROWS($1:39)),)=$E$7,OFFSET(TH!M$1,SMALL(Dong5,ROWS($1:39)),),OFFSET(TH!L$1,SMALL(Dong5,ROWS($1:39)),)))</f>
        <v>1111</v>
      </c>
      <c r="F53" s="240">
        <f ca="1">IF(ROWS($1:39)&gt;COUNT(Dong5),0,IF(OFFSET(TH!L$1,SMALL(Dong5,ROWS($1:39)),)=$E$7,OFFSET(TH!K$1,SMALL(Dong5,ROWS($1:39)),),0))</f>
        <v>15445455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19942932</v>
      </c>
    </row>
    <row r="54" spans="1:9" s="18" customFormat="1" ht="18" customHeight="1">
      <c r="A54" s="196">
        <f ca="1">IF(ROWS($1:40)&gt;COUNT(Dong5),"",OFFSET(TH!C$1,SMALL(Dong5,ROWS($1:40)),))</f>
        <v>41589</v>
      </c>
      <c r="B54" s="196" t="str">
        <f ca="1">IF(ROWS($1:40)&gt;COUNT(Dong5),"",OFFSET(TH!D$1,SMALL(Dong5,ROWS($1:40)),))</f>
        <v>C17</v>
      </c>
      <c r="C54" s="196">
        <f ca="1">IF(ROWS($1:40)&gt;COUNT(Dong5),"",OFFSET(TH!E$1,SMALL(Dong5,ROWS($1:40)),))</f>
        <v>41589</v>
      </c>
      <c r="D54" s="239" t="str">
        <f ca="1">IF(ROWS($1:40)&gt;COUNT(Dong5),"",OFFSET(TH!F$1,SMALL(Dong5,ROWS($1:40)),))</f>
        <v>Văn phòng phẩm</v>
      </c>
      <c r="E54" s="196" t="str">
        <f ca="1">IF(ROWS($1:40)&gt;COUNT(Dong5),"",IF(OFFSET(TH!L$1,SMALL(Dong5,ROWS($1:40)),)=$E$7,OFFSET(TH!M$1,SMALL(Dong5,ROWS($1:40)),),OFFSET(TH!L$1,SMALL(Dong5,ROWS($1:40)),)))</f>
        <v>1111</v>
      </c>
      <c r="F54" s="240">
        <f ca="1">IF(ROWS($1:40)&gt;COUNT(Dong5),0,IF(OFFSET(TH!L$1,SMALL(Dong5,ROWS($1:40)),)=$E$7,OFFSET(TH!K$1,SMALL(Dong5,ROWS($1:40)),),0))</f>
        <v>293364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19649568</v>
      </c>
    </row>
    <row r="55" spans="1:9" s="18" customFormat="1" ht="18" customHeight="1">
      <c r="A55" s="196">
        <f ca="1">IF(ROWS($1:41)&gt;COUNT(Dong5),"",OFFSET(TH!C$1,SMALL(Dong5,ROWS($1:41)),))</f>
        <v>41591</v>
      </c>
      <c r="B55" s="196" t="str">
        <f ca="1">IF(ROWS($1:41)&gt;COUNT(Dong5),"",OFFSET(TH!D$1,SMALL(Dong5,ROWS($1:41)),))</f>
        <v>C18</v>
      </c>
      <c r="C55" s="196">
        <f ca="1">IF(ROWS($1:41)&gt;COUNT(Dong5),"",OFFSET(TH!E$1,SMALL(Dong5,ROWS($1:41)),))</f>
        <v>41591</v>
      </c>
      <c r="D55" s="239" t="str">
        <f ca="1">IF(ROWS($1:41)&gt;COUNT(Dong5),"",OFFSET(TH!F$1,SMALL(Dong5,ROWS($1:41)),))</f>
        <v>Cước dịch vụ viễn thông</v>
      </c>
      <c r="E55" s="196" t="str">
        <f ca="1">IF(ROWS($1:41)&gt;COUNT(Dong5),"",IF(OFFSET(TH!L$1,SMALL(Dong5,ROWS($1:41)),)=$E$7,OFFSET(TH!M$1,SMALL(Dong5,ROWS($1:41)),),OFFSET(TH!L$1,SMALL(Dong5,ROWS($1:41)),)))</f>
        <v>1111</v>
      </c>
      <c r="F55" s="240">
        <f ca="1">IF(ROWS($1:41)&gt;COUNT(Dong5),0,IF(OFFSET(TH!L$1,SMALL(Dong5,ROWS($1:41)),)=$E$7,OFFSET(TH!K$1,SMALL(Dong5,ROWS($1:41)),),0))</f>
        <v>1681380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17968188</v>
      </c>
    </row>
    <row r="56" spans="1:9" s="18" customFormat="1" ht="18" customHeight="1">
      <c r="A56" s="196">
        <f ca="1">IF(ROWS($1:42)&gt;COUNT(Dong5),"",OFFSET(TH!C$1,SMALL(Dong5,ROWS($1:42)),))</f>
        <v>41600</v>
      </c>
      <c r="B56" s="196" t="str">
        <f ca="1">IF(ROWS($1:42)&gt;COUNT(Dong5),"",OFFSET(TH!D$1,SMALL(Dong5,ROWS($1:42)),))</f>
        <v>C20</v>
      </c>
      <c r="C56" s="196">
        <f ca="1">IF(ROWS($1:42)&gt;COUNT(Dong5),"",OFFSET(TH!E$1,SMALL(Dong5,ROWS($1:42)),))</f>
        <v>41600</v>
      </c>
      <c r="D56" s="239" t="str">
        <f ca="1">IF(ROWS($1:42)&gt;COUNT(Dong5),"",OFFSET(TH!F$1,SMALL(Dong5,ROWS($1:42)),))</f>
        <v>Chi phí tiếp khách</v>
      </c>
      <c r="E56" s="196" t="str">
        <f ca="1">IF(ROWS($1:42)&gt;COUNT(Dong5),"",IF(OFFSET(TH!L$1,SMALL(Dong5,ROWS($1:42)),)=$E$7,OFFSET(TH!M$1,SMALL(Dong5,ROWS($1:42)),),OFFSET(TH!L$1,SMALL(Dong5,ROWS($1:42)),)))</f>
        <v>1111</v>
      </c>
      <c r="F56" s="240">
        <f ca="1">IF(ROWS($1:42)&gt;COUNT(Dong5),0,IF(OFFSET(TH!L$1,SMALL(Dong5,ROWS($1:42)),)=$E$7,OFFSET(TH!K$1,SMALL(Dong5,ROWS($1:42)),),0))</f>
        <v>1027273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16940915</v>
      </c>
    </row>
    <row r="57" spans="1:9" s="18" customFormat="1" ht="18" customHeight="1">
      <c r="A57" s="196">
        <f ca="1">IF(ROWS($1:43)&gt;COUNT(Dong5),"",OFFSET(TH!C$1,SMALL(Dong5,ROWS($1:43)),))</f>
        <v>41607</v>
      </c>
      <c r="B57" s="196" t="str">
        <f ca="1">IF(ROWS($1:43)&gt;COUNT(Dong5),"",OFFSET(TH!D$1,SMALL(Dong5,ROWS($1:43)),))</f>
        <v>C22</v>
      </c>
      <c r="C57" s="196">
        <f ca="1">IF(ROWS($1:43)&gt;COUNT(Dong5),"",OFFSET(TH!E$1,SMALL(Dong5,ROWS($1:43)),))</f>
        <v>41607</v>
      </c>
      <c r="D57" s="239" t="str">
        <f ca="1">IF(ROWS($1:43)&gt;COUNT(Dong5),"",OFFSET(TH!F$1,SMALL(Dong5,ROWS($1:43)),))</f>
        <v>Tiền điện</v>
      </c>
      <c r="E57" s="196" t="str">
        <f ca="1">IF(ROWS($1:43)&gt;COUNT(Dong5),"",IF(OFFSET(TH!L$1,SMALL(Dong5,ROWS($1:43)),)=$E$7,OFFSET(TH!M$1,SMALL(Dong5,ROWS($1:43)),),OFFSET(TH!L$1,SMALL(Dong5,ROWS($1:43)),)))</f>
        <v>1111</v>
      </c>
      <c r="F57" s="240">
        <f ca="1">IF(ROWS($1:43)&gt;COUNT(Dong5),0,IF(OFFSET(TH!L$1,SMALL(Dong5,ROWS($1:43)),)=$E$7,OFFSET(TH!K$1,SMALL(Dong5,ROWS($1:43)),),0))</f>
        <v>1131830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15809085</v>
      </c>
    </row>
    <row r="58" spans="1:9" s="18" customFormat="1" ht="18" customHeight="1">
      <c r="A58" s="196">
        <f ca="1">IF(ROWS($1:44)&gt;COUNT(Dong5),"",OFFSET(TH!C$1,SMALL(Dong5,ROWS($1:44)),))</f>
        <v>41607</v>
      </c>
      <c r="B58" s="196" t="str">
        <f ca="1">IF(ROWS($1:44)&gt;COUNT(Dong5),"",OFFSET(TH!D$1,SMALL(Dong5,ROWS($1:44)),))</f>
        <v>C23</v>
      </c>
      <c r="C58" s="196">
        <f ca="1">IF(ROWS($1:44)&gt;COUNT(Dong5),"",OFFSET(TH!E$1,SMALL(Dong5,ROWS($1:44)),))</f>
        <v>41607</v>
      </c>
      <c r="D58" s="239" t="str">
        <f ca="1">IF(ROWS($1:44)&gt;COUNT(Dong5),"",OFFSET(TH!F$1,SMALL(Dong5,ROWS($1:44)),))</f>
        <v>Băng keo</v>
      </c>
      <c r="E58" s="196" t="str">
        <f ca="1">IF(ROWS($1:44)&gt;COUNT(Dong5),"",IF(OFFSET(TH!L$1,SMALL(Dong5,ROWS($1:44)),)=$E$7,OFFSET(TH!M$1,SMALL(Dong5,ROWS($1:44)),),OFFSET(TH!L$1,SMALL(Dong5,ROWS($1:44)),)))</f>
        <v>1111</v>
      </c>
      <c r="F58" s="240">
        <f ca="1">IF(ROWS($1:44)&gt;COUNT(Dong5),0,IF(OFFSET(TH!L$1,SMALL(Dong5,ROWS($1:44)),)=$E$7,OFFSET(TH!K$1,SMALL(Dong5,ROWS($1:44)),),0))</f>
        <v>1454400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14354685</v>
      </c>
    </row>
    <row r="59" spans="1:9" s="18" customFormat="1" ht="18" customHeight="1">
      <c r="A59" s="196">
        <f ca="1">IF(ROWS($1:45)&gt;COUNT(Dong5),"",OFFSET(TH!C$1,SMALL(Dong5,ROWS($1:45)),))</f>
        <v>41608</v>
      </c>
      <c r="B59" s="196" t="str">
        <f ca="1">IF(ROWS($1:45)&gt;COUNT(Dong5),"",OFFSET(TH!D$1,SMALL(Dong5,ROWS($1:45)),))</f>
        <v>CTGS</v>
      </c>
      <c r="C59" s="196">
        <f ca="1">IF(ROWS($1:45)&gt;COUNT(Dong5),"",OFFSET(TH!E$1,SMALL(Dong5,ROWS($1:45)),))</f>
        <v>41608</v>
      </c>
      <c r="D59" s="239" t="str">
        <f ca="1">IF(ROWS($1:45)&gt;COUNT(Dong5),"",OFFSET(TH!F$1,SMALL(Dong5,ROWS($1:45)),))</f>
        <v>Tiền lương BP Văn phòng</v>
      </c>
      <c r="E59" s="196" t="str">
        <f ca="1">IF(ROWS($1:45)&gt;COUNT(Dong5),"",IF(OFFSET(TH!L$1,SMALL(Dong5,ROWS($1:45)),)=$E$7,OFFSET(TH!M$1,SMALL(Dong5,ROWS($1:45)),),OFFSET(TH!L$1,SMALL(Dong5,ROWS($1:45)),)))</f>
        <v>3341</v>
      </c>
      <c r="F59" s="240">
        <f ca="1">IF(ROWS($1:45)&gt;COUNT(Dong5),0,IF(OFFSET(TH!L$1,SMALL(Dong5,ROWS($1:45)),)=$E$7,OFFSET(TH!K$1,SMALL(Dong5,ROWS($1:45)),),0))</f>
        <v>5880000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8474685</v>
      </c>
    </row>
    <row r="60" spans="1:9" s="18" customFormat="1" ht="18" customHeight="1">
      <c r="A60" s="196">
        <f ca="1">IF(ROWS($1:46)&gt;COUNT(Dong5),"",OFFSET(TH!C$1,SMALL(Dong5,ROWS($1:46)),))</f>
        <v>41616</v>
      </c>
      <c r="B60" s="196" t="str">
        <f ca="1">IF(ROWS($1:46)&gt;COUNT(Dong5),"",OFFSET(TH!D$1,SMALL(Dong5,ROWS($1:46)),))</f>
        <v>C27</v>
      </c>
      <c r="C60" s="196">
        <f ca="1">IF(ROWS($1:46)&gt;COUNT(Dong5),"",OFFSET(TH!E$1,SMALL(Dong5,ROWS($1:46)),))</f>
        <v>41616</v>
      </c>
      <c r="D60" s="239" t="str">
        <f ca="1">IF(ROWS($1:46)&gt;COUNT(Dong5),"",OFFSET(TH!F$1,SMALL(Dong5,ROWS($1:46)),))</f>
        <v>Chi phí tiếp khách</v>
      </c>
      <c r="E60" s="196" t="str">
        <f ca="1">IF(ROWS($1:46)&gt;COUNT(Dong5),"",IF(OFFSET(TH!L$1,SMALL(Dong5,ROWS($1:46)),)=$E$7,OFFSET(TH!M$1,SMALL(Dong5,ROWS($1:46)),),OFFSET(TH!L$1,SMALL(Dong5,ROWS($1:46)),)))</f>
        <v>1111</v>
      </c>
      <c r="F60" s="240">
        <f ca="1">IF(ROWS($1:46)&gt;COUNT(Dong5),0,IF(OFFSET(TH!L$1,SMALL(Dong5,ROWS($1:46)),)=$E$7,OFFSET(TH!K$1,SMALL(Dong5,ROWS($1:46)),),0))</f>
        <v>1413637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7061048</v>
      </c>
    </row>
    <row r="61" spans="1:9" s="18" customFormat="1" ht="18" customHeight="1">
      <c r="A61" s="196"/>
      <c r="B61" s="196"/>
      <c r="C61" s="196"/>
      <c r="D61" s="239"/>
      <c r="E61" s="196"/>
      <c r="F61" s="240"/>
      <c r="G61" s="238"/>
      <c r="H61" s="241"/>
      <c r="I61" s="241"/>
    </row>
    <row r="62" spans="1:9" s="18" customFormat="1" ht="18" customHeight="1">
      <c r="A62" s="196"/>
      <c r="B62" s="197"/>
      <c r="C62" s="196"/>
      <c r="D62" s="233" t="s">
        <v>131</v>
      </c>
      <c r="E62" s="197" t="s">
        <v>19</v>
      </c>
      <c r="F62" s="242">
        <f ca="1">SUM(F15:F61)</f>
        <v>93618371</v>
      </c>
      <c r="G62" s="242">
        <f ca="1">SUM(G15:G61)</f>
        <v>100679419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7061048</v>
      </c>
    </row>
    <row r="64" spans="1:9" s="18" customFormat="1" ht="9.75" customHeight="1">
      <c r="A64" s="211"/>
      <c r="B64" s="211"/>
      <c r="C64" s="211"/>
      <c r="E64" s="211"/>
    </row>
    <row r="65" spans="1:9" s="18" customFormat="1" ht="12.75">
      <c r="A65" s="211"/>
      <c r="B65" s="211"/>
      <c r="C65" s="246" t="s">
        <v>152</v>
      </c>
      <c r="E65" s="211"/>
    </row>
    <row r="66" spans="1:9" s="18" customFormat="1" ht="12.75">
      <c r="A66" s="211"/>
      <c r="B66" s="211"/>
      <c r="C66" s="177" t="str">
        <f ca="1">"- Ngày mở sổ: "&amp;DAY($A$15)&amp;"/"&amp;MONTH($A$15)&amp;"/ " &amp;YEAR($A$15)</f>
        <v>- Ngày mở sổ: 31/12/ 2013</v>
      </c>
      <c r="E66" s="211"/>
    </row>
    <row r="67" spans="1:9" s="18" customFormat="1" ht="13.5" customHeight="1">
      <c r="A67" s="211"/>
      <c r="B67" s="211"/>
      <c r="C67" s="211"/>
      <c r="E67" s="920" t="str">
        <f ca="1">"Ngày 31 tháng  12  năm  "&amp;YEAR($A$15)</f>
        <v>Ngày 31 tháng  12  năm  2013</v>
      </c>
      <c r="F67" s="920"/>
      <c r="G67" s="920"/>
      <c r="H67" s="920"/>
      <c r="I67" s="920"/>
    </row>
    <row r="68" spans="1:9" s="18" customFormat="1" ht="12.75">
      <c r="A68" s="920" t="s">
        <v>11</v>
      </c>
      <c r="B68" s="920"/>
      <c r="C68" s="920"/>
      <c r="D68" s="920"/>
      <c r="E68" s="920" t="s">
        <v>12</v>
      </c>
      <c r="F68" s="920"/>
      <c r="G68" s="920"/>
      <c r="H68" s="920"/>
      <c r="I68" s="920"/>
    </row>
    <row r="69" spans="1:9" s="18" customFormat="1" ht="12.75">
      <c r="A69" s="920" t="s">
        <v>13</v>
      </c>
      <c r="B69" s="920"/>
      <c r="C69" s="920"/>
      <c r="D69" s="920"/>
      <c r="E69" s="920" t="s">
        <v>13</v>
      </c>
      <c r="F69" s="920"/>
      <c r="G69" s="920"/>
      <c r="H69" s="920"/>
      <c r="I69" s="920"/>
    </row>
    <row r="70" spans="1:9" s="18" customFormat="1" ht="12.75">
      <c r="A70" s="211"/>
      <c r="B70" s="211"/>
      <c r="C70" s="211"/>
      <c r="E70" s="211"/>
    </row>
    <row r="71" spans="1:9">
      <c r="D71" s="184"/>
      <c r="F71" s="185"/>
    </row>
    <row r="76" spans="1:9">
      <c r="A76" s="921"/>
      <c r="B76" s="921"/>
      <c r="C76" s="921"/>
      <c r="D76" s="921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9" zoomScale="90" workbookViewId="0">
      <pane ySplit="5" topLeftCell="A83" activePane="bottomLeft" state="frozen"/>
      <selection activeCell="A9" sqref="A9"/>
      <selection pane="bottomLeft" activeCell="H93" sqref="H93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4" t="str">
        <f>TH!A1</f>
        <v>Đơn vị: CÔNG TY TNHH SX TM KIM DUNG PHÁT</v>
      </c>
      <c r="B1" s="2"/>
      <c r="C1" s="2"/>
      <c r="D1" s="2"/>
      <c r="E1" s="2"/>
      <c r="G1" s="924" t="s">
        <v>117</v>
      </c>
      <c r="H1" s="924"/>
      <c r="I1" s="924"/>
      <c r="J1" s="924"/>
    </row>
    <row r="2" spans="1:15" s="3" customFormat="1" ht="16.5" customHeight="1">
      <c r="A2" s="95" t="str">
        <f>TH!A2</f>
        <v>Địa chỉ: 1A227/1 Ấp 1, Phạm Văn Hai, Bình Chánh, TPHCM</v>
      </c>
      <c r="B2" s="16"/>
      <c r="C2" s="16"/>
      <c r="D2" s="16"/>
      <c r="E2" s="16"/>
      <c r="G2" s="92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25"/>
      <c r="I2" s="925"/>
      <c r="J2" s="925"/>
    </row>
    <row r="3" spans="1:15" s="3" customFormat="1" ht="16.5" customHeight="1">
      <c r="A3" s="4"/>
      <c r="B3" s="16"/>
      <c r="C3" s="108"/>
      <c r="D3" s="108"/>
      <c r="E3" s="16"/>
      <c r="G3" s="925"/>
      <c r="H3" s="925"/>
      <c r="I3" s="925"/>
      <c r="J3" s="925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4" t="s">
        <v>118</v>
      </c>
      <c r="B5" s="934"/>
      <c r="C5" s="934"/>
      <c r="D5" s="934"/>
      <c r="E5" s="934"/>
      <c r="F5" s="934"/>
      <c r="G5" s="934"/>
      <c r="H5" s="934"/>
      <c r="I5" s="934"/>
      <c r="J5" s="934"/>
    </row>
    <row r="6" spans="1:15" ht="14.25" customHeight="1">
      <c r="A6" s="936" t="str">
        <f ca="1">$L$11&amp;" / "&amp;YEAR($A$14)</f>
        <v>Quý IV / 2013</v>
      </c>
      <c r="B6" s="936"/>
      <c r="C6" s="936"/>
      <c r="D6" s="936"/>
      <c r="E6" s="936"/>
      <c r="F6" s="936"/>
      <c r="G6" s="936"/>
      <c r="H6" s="936"/>
      <c r="I6" s="936"/>
      <c r="J6" s="936"/>
    </row>
    <row r="7" spans="1:15">
      <c r="A7" s="935" t="s">
        <v>119</v>
      </c>
      <c r="B7" s="935"/>
      <c r="C7" s="935"/>
      <c r="D7" s="935"/>
      <c r="E7" s="935"/>
      <c r="F7" s="935"/>
      <c r="G7" s="935"/>
      <c r="H7" s="935"/>
      <c r="I7" s="935"/>
      <c r="J7" s="935"/>
    </row>
    <row r="8" spans="1:15">
      <c r="A8" s="935" t="s">
        <v>120</v>
      </c>
      <c r="B8" s="935"/>
      <c r="C8" s="935"/>
      <c r="D8" s="935"/>
      <c r="E8" s="935"/>
      <c r="F8" s="935"/>
      <c r="G8" s="935"/>
      <c r="H8" s="935"/>
      <c r="I8" s="935"/>
      <c r="J8" s="935"/>
    </row>
    <row r="9" spans="1:15">
      <c r="A9" s="111"/>
      <c r="I9" s="111" t="s">
        <v>121</v>
      </c>
    </row>
    <row r="10" spans="1:15" ht="33" customHeight="1" thickBot="1">
      <c r="A10" s="938" t="s">
        <v>20</v>
      </c>
      <c r="B10" s="938" t="s">
        <v>122</v>
      </c>
      <c r="C10" s="937" t="s">
        <v>123</v>
      </c>
      <c r="D10" s="937"/>
      <c r="E10" s="937" t="s">
        <v>0</v>
      </c>
      <c r="F10" s="938" t="s">
        <v>14</v>
      </c>
      <c r="G10" s="937" t="s">
        <v>21</v>
      </c>
      <c r="H10" s="937"/>
      <c r="I10" s="937" t="s">
        <v>124</v>
      </c>
      <c r="J10" s="937" t="s">
        <v>125</v>
      </c>
      <c r="L10" s="604"/>
      <c r="N10" s="912" t="s">
        <v>331</v>
      </c>
      <c r="O10" s="912"/>
    </row>
    <row r="11" spans="1:15" ht="24" customHeight="1" thickBot="1">
      <c r="A11" s="939"/>
      <c r="B11" s="939"/>
      <c r="C11" s="112" t="s">
        <v>126</v>
      </c>
      <c r="D11" s="112" t="s">
        <v>127</v>
      </c>
      <c r="E11" s="937"/>
      <c r="F11" s="939"/>
      <c r="G11" s="112" t="s">
        <v>22</v>
      </c>
      <c r="H11" s="112" t="s">
        <v>23</v>
      </c>
      <c r="I11" s="937"/>
      <c r="J11" s="937"/>
      <c r="L11" s="175" t="s">
        <v>454</v>
      </c>
      <c r="N11" s="626">
        <f>IF(L11="Quý I",1,IF(L11="Quý II",4,IF(L11="Quý III",7,IF(L11="Quý IV",10,""))))</f>
        <v>10</v>
      </c>
      <c r="O11" s="626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128</v>
      </c>
      <c r="G12" s="114">
        <v>1</v>
      </c>
      <c r="H12" s="114">
        <v>2</v>
      </c>
      <c r="I12" s="114">
        <v>3</v>
      </c>
      <c r="J12" s="114" t="s">
        <v>129</v>
      </c>
      <c r="N12" s="627"/>
      <c r="O12" s="627"/>
    </row>
    <row r="13" spans="1:15" s="115" customFormat="1" ht="21.75" customHeight="1">
      <c r="A13" s="116"/>
      <c r="B13" s="116"/>
      <c r="C13" s="116"/>
      <c r="D13" s="116"/>
      <c r="E13" s="116" t="s">
        <v>130</v>
      </c>
      <c r="F13" s="117"/>
      <c r="G13" s="118"/>
      <c r="H13" s="116"/>
      <c r="I13" s="136">
        <f>IF($L$11="All",CDPS!$C$10,CDPS!$C$10+SUMIF(_N111,"x",TH)-SUMIF(_C111,"x",TH))</f>
        <v>1303336261</v>
      </c>
      <c r="J13" s="116"/>
      <c r="N13" s="628"/>
      <c r="O13" s="628"/>
    </row>
    <row r="14" spans="1:15" ht="21.75" customHeight="1">
      <c r="A14" s="119">
        <f ca="1">IF(ROWS($1:1)&gt;COUNT(Dong1),"",OFFSET(TH!C$1,SMALL(Dong1,ROWS($1:1)),))</f>
        <v>41549</v>
      </c>
      <c r="B14" s="119">
        <f ca="1">IF(ROWS($1:1)&gt;COUNT(Dong1),"",OFFSET(TH!E$1,SMALL(Dong1,ROWS($1:1)),))</f>
        <v>41549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741835</v>
      </c>
      <c r="I14" s="120">
        <f ca="1">IF(E14&lt;&gt;"",I13+G14-H14,0)</f>
        <v>1302594426</v>
      </c>
      <c r="J14" s="125"/>
      <c r="N14" s="629"/>
      <c r="O14" s="629"/>
    </row>
    <row r="15" spans="1:15" ht="21.75" customHeight="1">
      <c r="A15" s="119">
        <f ca="1">IF(ROWS($1:2)&gt;COUNT(Dong1),"",OFFSET(TH!C$1,SMALL(Dong1,ROWS($1:2)),))</f>
        <v>41549</v>
      </c>
      <c r="B15" s="119">
        <f ca="1">IF(ROWS($1:2)&gt;COUNT(Dong1),"",OFFSET(TH!E$1,SMALL(Dong1,ROWS($1:2)),))</f>
        <v>41549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</v>
      </c>
      <c r="F15" s="123" t="str">
        <f ca="1">IF(ROWS($1:2)&gt;COUNT(Dong1),"",IF(OFFSET(TH!M$1,SMALL(Dong1,ROWS($1:2)),)="1111",OFFSET(TH!L$1,SMALL(Dong1,ROWS($1:2)),),OFFSET(TH!M$1,SMALL(Dong1,ROWS($1:2)),)))</f>
        <v>1331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74182</v>
      </c>
      <c r="I15" s="120">
        <f t="shared" ref="I15:I62" ca="1" si="0">IF(E15&lt;&gt;"",I14+G15-H15,0)</f>
        <v>1302520244</v>
      </c>
      <c r="J15" s="125"/>
      <c r="N15" s="629"/>
      <c r="O15" s="629"/>
    </row>
    <row r="16" spans="1:15" ht="21.75" customHeight="1">
      <c r="A16" s="119">
        <f ca="1">IF(ROWS($1:3)&gt;COUNT(Dong1),"",OFFSET(TH!C$1,SMALL(Dong1,ROWS($1:3)),))</f>
        <v>41550</v>
      </c>
      <c r="B16" s="119">
        <f ca="1">IF(ROWS($1:3)&gt;COUNT(Dong1),"",OFFSET(TH!E$1,SMALL(Dong1,ROWS($1:3)),))</f>
        <v>41550</v>
      </c>
      <c r="C16" s="120" t="str">
        <f ca="1">IF(ROWS($1:3)&gt;COUNT(Dong1),"",IF(OFFSET(TH!L$1,SMALL(Dong1,ROWS($1:3)),)="1111",OFFSET(TH!D$1,SMALL(Dong1,ROWS($1:3)),),""))</f>
        <v>T01</v>
      </c>
      <c r="D16" s="121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Thu tiền hàng</v>
      </c>
      <c r="F16" s="123" t="str">
        <f ca="1">IF(ROWS($1:3)&gt;COUNT(Dong1),"",IF(OFFSET(TH!M$1,SMALL(Dong1,ROWS($1:3)),)="1111",OFFSET(TH!L$1,SMALL(Dong1,ROWS($1:3)),),OFFSET(TH!M$1,SMALL(Dong1,ROWS($1:3)),)))</f>
        <v>131</v>
      </c>
      <c r="G16" s="124">
        <f ca="1">IF(ROWS($1:3)&gt;COUNT(Dong1),"",IF(OFFSET(TH!L$1,SMALL(Dong1,ROWS($1:3)),)="1111",OFFSET(TH!K$1,SMALL(Dong1,ROWS($1:3)),),0))</f>
        <v>18576657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1321096901</v>
      </c>
      <c r="J16" s="125"/>
      <c r="N16" s="629"/>
      <c r="O16" s="629"/>
    </row>
    <row r="17" spans="1:15" ht="21.75" customHeight="1">
      <c r="A17" s="119">
        <f ca="1">IF(ROWS($1:4)&gt;COUNT(Dong1),"",OFFSET(TH!C$1,SMALL(Dong1,ROWS($1:4)),))</f>
        <v>41552</v>
      </c>
      <c r="B17" s="119">
        <f ca="1">IF(ROWS($1:4)&gt;COUNT(Dong1),"",OFFSET(TH!E$1,SMALL(Dong1,ROWS($1:4)),))</f>
        <v>41552</v>
      </c>
      <c r="C17" s="120" t="str">
        <f ca="1">IF(ROWS($1:4)&gt;COUNT(Dong1),"",IF(OFFSET(TH!L$1,SMALL(Dong1,ROWS($1:4)),)="1111",OFFSET(TH!D$1,SMALL(Dong1,ROWS($1:4)),),""))</f>
        <v>T02</v>
      </c>
      <c r="D17" s="121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Chi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14800000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1335896901</v>
      </c>
      <c r="J17" s="125"/>
      <c r="N17" s="629"/>
      <c r="O17" s="629"/>
    </row>
    <row r="18" spans="1:15" ht="21.75" customHeight="1">
      <c r="A18" s="119">
        <f ca="1">IF(ROWS($1:5)&gt;COUNT(Dong1),"",OFFSET(TH!C$1,SMALL(Dong1,ROWS($1:5)),))</f>
        <v>41554</v>
      </c>
      <c r="B18" s="119">
        <f ca="1">IF(ROWS($1:5)&gt;COUNT(Dong1),"",OFFSET(TH!E$1,SMALL(Dong1,ROWS($1:5)),))</f>
        <v>41554</v>
      </c>
      <c r="C18" s="120" t="str">
        <f ca="1">IF(ROWS($1:5)&gt;COUNT(Dong1),"",IF(OFFSET(TH!L$1,SMALL(Dong1,ROWS($1:5)),)="1111",OFFSET(TH!D$1,SMALL(Dong1,ROWS($1:5)),),""))</f>
        <v>T03</v>
      </c>
      <c r="D18" s="121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33700000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1369596901</v>
      </c>
      <c r="J18" s="125"/>
      <c r="N18" s="629"/>
      <c r="O18" s="629"/>
    </row>
    <row r="19" spans="1:15" ht="21.75" customHeight="1">
      <c r="A19" s="119">
        <f ca="1">IF(ROWS($1:6)&gt;COUNT(Dong1),"",OFFSET(TH!C$1,SMALL(Dong1,ROWS($1:6)),))</f>
        <v>41555</v>
      </c>
      <c r="B19" s="119">
        <f ca="1">IF(ROWS($1:6)&gt;COUNT(Dong1),"",OFFSET(TH!E$1,SMALL(Dong1,ROWS($1:6)),))</f>
        <v>41555</v>
      </c>
      <c r="C19" s="120" t="str">
        <f ca="1">IF(ROWS($1:6)&gt;COUNT(Dong1),"",IF(OFFSET(TH!L$1,SMALL(Dong1,ROWS($1:6)),)="1111",OFFSET(TH!D$1,SMALL(Dong1,ROWS($1:6)),),""))</f>
        <v>T04</v>
      </c>
      <c r="D19" s="121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11522280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1381119181</v>
      </c>
      <c r="J19" s="125"/>
      <c r="N19" s="629"/>
      <c r="O19" s="629"/>
    </row>
    <row r="20" spans="1:15" ht="21.75" customHeight="1">
      <c r="A20" s="119">
        <f ca="1">IF(ROWS($1:7)&gt;COUNT(Dong1),"",OFFSET(TH!C$1,SMALL(Dong1,ROWS($1:7)),))</f>
        <v>41556</v>
      </c>
      <c r="B20" s="119">
        <f ca="1">IF(ROWS($1:7)&gt;COUNT(Dong1),"",OFFSET(TH!E$1,SMALL(Dong1,ROWS($1:7)),))</f>
        <v>41556</v>
      </c>
      <c r="C20" s="120" t="str">
        <f ca="1">IF(ROWS($1:7)&gt;COUNT(Dong1),"",IF(OFFSET(TH!L$1,SMALL(Dong1,ROWS($1:7)),)="1111",OFFSET(TH!D$1,SMALL(Dong1,ROWS($1:7)),),""))</f>
        <v>T05</v>
      </c>
      <c r="D20" s="121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18500000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1399619181</v>
      </c>
      <c r="J20" s="125"/>
      <c r="N20" s="629"/>
      <c r="O20" s="629"/>
    </row>
    <row r="21" spans="1:15" ht="21.75" customHeight="1">
      <c r="A21" s="119">
        <f ca="1">IF(ROWS($1:8)&gt;COUNT(Dong1),"",OFFSET(TH!C$1,SMALL(Dong1,ROWS($1:8)),))</f>
        <v>41559</v>
      </c>
      <c r="B21" s="119">
        <f ca="1">IF(ROWS($1:8)&gt;COUNT(Dong1),"",OFFSET(TH!E$1,SMALL(Dong1,ROWS($1:8)),))</f>
        <v>41559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C02</v>
      </c>
      <c r="E21" s="224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16830000</v>
      </c>
      <c r="I21" s="120">
        <f t="shared" ca="1" si="0"/>
        <v>1382789181</v>
      </c>
      <c r="J21" s="125"/>
      <c r="N21" s="629"/>
      <c r="O21" s="629"/>
    </row>
    <row r="22" spans="1:15" ht="21.75" customHeight="1">
      <c r="A22" s="119">
        <f ca="1">IF(ROWS($1:9)&gt;COUNT(Dong1),"",OFFSET(TH!C$1,SMALL(Dong1,ROWS($1:9)),))</f>
        <v>41562</v>
      </c>
      <c r="B22" s="119">
        <f ca="1">IF(ROWS($1:9)&gt;COUNT(Dong1),"",OFFSET(TH!E$1,SMALL(Dong1,ROWS($1:9)),))</f>
        <v>41562</v>
      </c>
      <c r="C22" s="120" t="str">
        <f ca="1">IF(ROWS($1:9)&gt;COUNT(Dong1),"",IF(OFFSET(TH!L$1,SMALL(Dong1,ROWS($1:9)),)="1111",OFFSET(TH!D$1,SMALL(Dong1,ROWS($1:9)),),""))</f>
        <v>T06</v>
      </c>
      <c r="D22" s="121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Chi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30800000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1413589181</v>
      </c>
      <c r="J22" s="125"/>
      <c r="N22" s="629"/>
      <c r="O22" s="629"/>
    </row>
    <row r="23" spans="1:15" ht="21.75" customHeight="1">
      <c r="A23" s="119">
        <f ca="1">IF(ROWS($1:10)&gt;COUNT(Dong1),"",OFFSET(TH!C$1,SMALL(Dong1,ROWS($1:10)),))</f>
        <v>41568</v>
      </c>
      <c r="B23" s="119">
        <f ca="1">IF(ROWS($1:10)&gt;COUNT(Dong1),"",OFFSET(TH!E$1,SMALL(Dong1,ROWS($1:10)),))</f>
        <v>41568</v>
      </c>
      <c r="C23" s="120" t="str">
        <f ca="1">IF(ROWS($1:10)&gt;COUNT(Dong1),"",IF(OFFSET(TH!L$1,SMALL(Dong1,ROWS($1:10)),)="1111",OFFSET(TH!D$1,SMALL(Dong1,ROWS($1:10)),),""))</f>
        <v>T07</v>
      </c>
      <c r="D23" s="121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8880190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1422469371</v>
      </c>
      <c r="J23" s="125"/>
      <c r="N23" s="629"/>
      <c r="O23" s="629"/>
    </row>
    <row r="24" spans="1:15" ht="21.75" customHeight="1">
      <c r="A24" s="119">
        <f ca="1">IF(ROWS($1:11)&gt;COUNT(Dong1),"",OFFSET(TH!C$1,SMALL(Dong1,ROWS($1:11)),))</f>
        <v>41568</v>
      </c>
      <c r="B24" s="119">
        <f ca="1">IF(ROWS($1:11)&gt;COUNT(Dong1),"",OFFSET(TH!E$1,SMALL(Dong1,ROWS($1:11)),))</f>
        <v>41568</v>
      </c>
      <c r="C24" s="120" t="str">
        <f ca="1">IF(ROWS($1:11)&gt;COUNT(Dong1),"",IF(OFFSET(TH!L$1,SMALL(Dong1,ROWS($1:11)),)="1111",OFFSET(TH!D$1,SMALL(Dong1,ROWS($1:11)),),""))</f>
        <v>T08</v>
      </c>
      <c r="D24" s="121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3" t="str">
        <f ca="1">IF(ROWS($1:11)&gt;COUNT(Dong1),"",IF(OFFSET(TH!M$1,SMALL(Dong1,ROWS($1:11)),)="1111",OFFSET(TH!L$1,SMALL(Dong1,ROWS($1:11)),),OFFSET(TH!M$1,SMALL(Dong1,ROWS($1:11)),)))</f>
        <v>131</v>
      </c>
      <c r="G24" s="124">
        <f ca="1">IF(ROWS($1:11)&gt;COUNT(Dong1),"",IF(OFFSET(TH!L$1,SMALL(Dong1,ROWS($1:11)),)="1111",OFFSET(TH!K$1,SMALL(Dong1,ROWS($1:11)),),0))</f>
        <v>17925600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1440394971</v>
      </c>
      <c r="J24" s="125"/>
      <c r="N24" s="629"/>
      <c r="O24" s="629"/>
    </row>
    <row r="25" spans="1:15" ht="21.75" customHeight="1">
      <c r="A25" s="119">
        <f ca="1">IF(ROWS($1:12)&gt;COUNT(Dong1),"",OFFSET(TH!C$1,SMALL(Dong1,ROWS($1:12)),))</f>
        <v>41569</v>
      </c>
      <c r="B25" s="119">
        <f ca="1">IF(ROWS($1:12)&gt;COUNT(Dong1),"",OFFSET(TH!E$1,SMALL(Dong1,ROWS($1:12)),))</f>
        <v>41569</v>
      </c>
      <c r="C25" s="120" t="str">
        <f ca="1">IF(ROWS($1:12)&gt;COUNT(Dong1),"",IF(OFFSET(TH!L$1,SMALL(Dong1,ROWS($1:12)),)="1111",OFFSET(TH!D$1,SMALL(Dong1,ROWS($1:12)),),""))</f>
        <v>T09</v>
      </c>
      <c r="D25" s="121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11543400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1451938371</v>
      </c>
      <c r="J25" s="125"/>
      <c r="N25" s="629"/>
      <c r="O25" s="629"/>
    </row>
    <row r="26" spans="1:15" ht="21.75" customHeight="1">
      <c r="A26" s="119">
        <f ca="1">IF(ROWS($1:13)&gt;COUNT(Dong1),"",OFFSET(TH!C$1,SMALL(Dong1,ROWS($1:13)),))</f>
        <v>41571</v>
      </c>
      <c r="B26" s="119">
        <f ca="1">IF(ROWS($1:13)&gt;COUNT(Dong1),"",OFFSET(TH!E$1,SMALL(Dong1,ROWS($1:13)),))</f>
        <v>41571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C03</v>
      </c>
      <c r="E26" s="224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19360000</v>
      </c>
      <c r="I26" s="120">
        <f t="shared" ca="1" si="0"/>
        <v>1432578371</v>
      </c>
      <c r="J26" s="125"/>
      <c r="N26" s="629"/>
      <c r="O26" s="629"/>
    </row>
    <row r="27" spans="1:15" ht="21.75" customHeight="1">
      <c r="A27" s="119">
        <f ca="1">IF(ROWS($1:14)&gt;COUNT(Dong1),"",OFFSET(TH!C$1,SMALL(Dong1,ROWS($1:14)),))</f>
        <v>41572</v>
      </c>
      <c r="B27" s="119">
        <f ca="1">IF(ROWS($1:14)&gt;COUNT(Dong1),"",OFFSET(TH!E$1,SMALL(Dong1,ROWS($1:14)),))</f>
        <v>41572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19712000</v>
      </c>
      <c r="I27" s="120">
        <f t="shared" ca="1" si="0"/>
        <v>1412866371</v>
      </c>
      <c r="J27" s="125"/>
      <c r="N27" s="629"/>
      <c r="O27" s="629"/>
    </row>
    <row r="28" spans="1:15" ht="21.75" customHeight="1">
      <c r="A28" s="119">
        <f ca="1">IF(ROWS($1:15)&gt;COUNT(Dong1),"",OFFSET(TH!C$1,SMALL(Dong1,ROWS($1:15)),))</f>
        <v>41573</v>
      </c>
      <c r="B28" s="119">
        <f ca="1">IF(ROWS($1:15)&gt;COUNT(Dong1),"",OFFSET(TH!E$1,SMALL(Dong1,ROWS($1:15)),))</f>
        <v>41573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C05</v>
      </c>
      <c r="E28" s="224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19360000</v>
      </c>
      <c r="I28" s="120">
        <f t="shared" ca="1" si="0"/>
        <v>1393506371</v>
      </c>
      <c r="J28" s="125"/>
      <c r="N28" s="629"/>
      <c r="O28" s="629"/>
    </row>
    <row r="29" spans="1:15" ht="21.75" customHeight="1">
      <c r="A29" s="119">
        <f ca="1">IF(ROWS($1:16)&gt;COUNT(Dong1),"",OFFSET(TH!C$1,SMALL(Dong1,ROWS($1:16)),))</f>
        <v>41574</v>
      </c>
      <c r="B29" s="119">
        <f ca="1">IF(ROWS($1:16)&gt;COUNT(Dong1),"",OFFSET(TH!E$1,SMALL(Dong1,ROWS($1:16)),))</f>
        <v>41574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C06</v>
      </c>
      <c r="E29" s="224" t="str">
        <f ca="1">IF(ROWS($1:16)&gt;COUNT(Dong1),"",OFFSET(TH!F$1,SMALL(Dong1,ROWS($1:16)),))</f>
        <v>Thanh toán tiền hàng</v>
      </c>
      <c r="F29" s="123" t="str">
        <f ca="1">IF(ROWS($1:16)&gt;COUNT(Dong1),"",IF(OFFSET(TH!M$1,SMALL(Dong1,ROWS($1:16)),)="1111",OFFSET(TH!L$1,SMALL(Dong1,ROWS($1:16)),),OFFSET(TH!M$1,SMALL(Dong1,ROWS($1:16)),)))</f>
        <v>331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19712000</v>
      </c>
      <c r="I29" s="120">
        <f t="shared" ca="1" si="0"/>
        <v>1373794371</v>
      </c>
      <c r="J29" s="125"/>
      <c r="N29" s="629"/>
      <c r="O29" s="629"/>
    </row>
    <row r="30" spans="1:15" ht="21.75" customHeight="1">
      <c r="A30" s="119">
        <f ca="1">IF(ROWS($1:17)&gt;COUNT(Dong1),"",OFFSET(TH!C$1,SMALL(Dong1,ROWS($1:17)),))</f>
        <v>41575</v>
      </c>
      <c r="B30" s="119">
        <f ca="1">IF(ROWS($1:17)&gt;COUNT(Dong1),"",OFFSET(TH!E$1,SMALL(Dong1,ROWS($1:17)),))</f>
        <v>41575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C07</v>
      </c>
      <c r="E30" s="224" t="str">
        <f ca="1">IF(ROWS($1:17)&gt;COUNT(Dong1),"",OFFSET(TH!F$1,SMALL(Dong1,ROWS($1:17)),))</f>
        <v>Thanh toán tiền hàng</v>
      </c>
      <c r="F30" s="123" t="str">
        <f ca="1">IF(ROWS($1:17)&gt;COUNT(Dong1),"",IF(OFFSET(TH!M$1,SMALL(Dong1,ROWS($1:17)),)="1111",OFFSET(TH!L$1,SMALL(Dong1,ROWS($1:17)),),OFFSET(TH!M$1,SMALL(Dong1,ROWS($1:17)),)))</f>
        <v>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14531000</v>
      </c>
      <c r="I30" s="120">
        <f t="shared" ca="1" si="0"/>
        <v>1359263371</v>
      </c>
      <c r="J30" s="125"/>
      <c r="N30" s="629"/>
      <c r="O30" s="629"/>
    </row>
    <row r="31" spans="1:15" ht="21.75" customHeight="1">
      <c r="A31" s="119">
        <f ca="1">IF(ROWS($1:18)&gt;COUNT(Dong1),"",OFFSET(TH!C$1,SMALL(Dong1,ROWS($1:18)),))</f>
        <v>41576</v>
      </c>
      <c r="B31" s="119">
        <f ca="1">IF(ROWS($1:18)&gt;COUNT(Dong1),"",OFFSET(TH!E$1,SMALL(Dong1,ROWS($1:18)),))</f>
        <v>41576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45200000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1404463371</v>
      </c>
      <c r="J31" s="125"/>
      <c r="N31" s="629"/>
      <c r="O31" s="629"/>
    </row>
    <row r="32" spans="1:15" ht="21.75" customHeight="1">
      <c r="A32" s="119">
        <f ca="1">IF(ROWS($1:19)&gt;COUNT(Dong1),"",OFFSET(TH!C$1,SMALL(Dong1,ROWS($1:19)),))</f>
        <v>41576</v>
      </c>
      <c r="B32" s="119">
        <f ca="1">IF(ROWS($1:19)&gt;COUNT(Dong1),"",OFFSET(TH!E$1,SMALL(Dong1,ROWS($1:19)),))</f>
        <v>41576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4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11787871</v>
      </c>
      <c r="I32" s="120">
        <f t="shared" ca="1" si="0"/>
        <v>1392675500</v>
      </c>
      <c r="J32" s="125"/>
      <c r="N32" s="629"/>
      <c r="O32" s="629"/>
    </row>
    <row r="33" spans="1:15" ht="21.75" customHeight="1">
      <c r="A33" s="119">
        <f ca="1">IF(ROWS($1:20)&gt;COUNT(Dong1),"",OFFSET(TH!C$1,SMALL(Dong1,ROWS($1:20)),))</f>
        <v>41577</v>
      </c>
      <c r="B33" s="119">
        <f ca="1">IF(ROWS($1:20)&gt;COUNT(Dong1),"",OFFSET(TH!E$1,SMALL(Dong1,ROWS($1:20)),))</f>
        <v>41577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C09</v>
      </c>
      <c r="E33" s="224" t="str">
        <f ca="1">IF(ROWS($1:20)&gt;COUNT(Dong1),"",OFFSET(TH!F$1,SMALL(Dong1,ROWS($1:20)),))</f>
        <v>Tiền điện</v>
      </c>
      <c r="F33" s="123" t="str">
        <f ca="1">IF(ROWS($1:20)&gt;COUNT(Dong1),"",IF(OFFSET(TH!M$1,SMALL(Dong1,ROWS($1:20)),)="1111",OFFSET(TH!L$1,SMALL(Dong1,ROWS($1:20)),),OFFSET(TH!M$1,SMALL(Dong1,ROWS($1:20)),)))</f>
        <v>642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1616900</v>
      </c>
      <c r="I33" s="120">
        <f t="shared" ca="1" si="0"/>
        <v>1391058600</v>
      </c>
      <c r="J33" s="125"/>
      <c r="N33" s="629"/>
      <c r="O33" s="629"/>
    </row>
    <row r="34" spans="1:15" ht="21.75" customHeight="1">
      <c r="A34" s="119">
        <f ca="1">IF(ROWS($1:21)&gt;COUNT(Dong1),"",OFFSET(TH!C$1,SMALL(Dong1,ROWS($1:21)),))</f>
        <v>41577</v>
      </c>
      <c r="B34" s="119">
        <f ca="1">IF(ROWS($1:21)&gt;COUNT(Dong1),"",OFFSET(TH!E$1,SMALL(Dong1,ROWS($1:21)),))</f>
        <v>41577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C09</v>
      </c>
      <c r="E34" s="224" t="str">
        <f ca="1">IF(ROWS($1:21)&gt;COUNT(Dong1),"",OFFSET(TH!F$1,SMALL(Dong1,ROWS($1:21)),))</f>
        <v>VAT Tiền điện</v>
      </c>
      <c r="F34" s="123" t="str">
        <f ca="1">IF(ROWS($1:21)&gt;COUNT(Dong1),"",IF(OFFSET(TH!M$1,SMALL(Dong1,ROWS($1:21)),)="1111",OFFSET(TH!L$1,SMALL(Dong1,ROWS($1:21)),),OFFSET(TH!M$1,SMALL(Dong1,ROWS($1:21)),)))</f>
        <v>1331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161690</v>
      </c>
      <c r="I34" s="120">
        <f t="shared" ca="1" si="0"/>
        <v>1390896910</v>
      </c>
      <c r="J34" s="125"/>
      <c r="N34" s="629"/>
      <c r="O34" s="629"/>
    </row>
    <row r="35" spans="1:15" ht="21.75" customHeight="1">
      <c r="A35" s="119">
        <f ca="1">IF(ROWS($1:22)&gt;COUNT(Dong1),"",OFFSET(TH!C$1,SMALL(Dong1,ROWS($1:22)),))</f>
        <v>41577</v>
      </c>
      <c r="B35" s="119">
        <f ca="1">IF(ROWS($1:22)&gt;COUNT(Dong1),"",OFFSET(TH!E$1,SMALL(Dong1,ROWS($1:22)),))</f>
        <v>41577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C10</v>
      </c>
      <c r="E35" s="224" t="str">
        <f ca="1">IF(ROWS($1:22)&gt;COUNT(Dong1),"",OFFSET(TH!F$1,SMALL(Dong1,ROWS($1:22)),))</f>
        <v>Mực in</v>
      </c>
      <c r="F35" s="123" t="str">
        <f ca="1">IF(ROWS($1:22)&gt;COUNT(Dong1),"",IF(OFFSET(TH!M$1,SMALL(Dong1,ROWS($1:22)),)="1111",OFFSET(TH!L$1,SMALL(Dong1,ROWS($1:22)),),OFFSET(TH!M$1,SMALL(Dong1,ROWS($1:22)),)))</f>
        <v>154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11940000</v>
      </c>
      <c r="I35" s="120">
        <f t="shared" ca="1" si="0"/>
        <v>1378956910</v>
      </c>
      <c r="J35" s="125"/>
      <c r="N35" s="629"/>
      <c r="O35" s="629"/>
    </row>
    <row r="36" spans="1:15" ht="21.75" customHeight="1">
      <c r="A36" s="119">
        <f ca="1">IF(ROWS($1:23)&gt;COUNT(Dong1),"",OFFSET(TH!C$1,SMALL(Dong1,ROWS($1:23)),))</f>
        <v>41577</v>
      </c>
      <c r="B36" s="119">
        <f ca="1">IF(ROWS($1:23)&gt;COUNT(Dong1),"",OFFSET(TH!E$1,SMALL(Dong1,ROWS($1:23)),))</f>
        <v>41577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C10</v>
      </c>
      <c r="E36" s="224" t="str">
        <f ca="1">IF(ROWS($1:23)&gt;COUNT(Dong1),"",OFFSET(TH!F$1,SMALL(Dong1,ROWS($1:23)),))</f>
        <v>VAT Mực in</v>
      </c>
      <c r="F36" s="123" t="str">
        <f ca="1">IF(ROWS($1:23)&gt;COUNT(Dong1),"",IF(OFFSET(TH!M$1,SMALL(Dong1,ROWS($1:23)),)="1111",OFFSET(TH!L$1,SMALL(Dong1,ROWS($1:23)),),OFFSET(TH!M$1,SMALL(Dong1,ROWS($1:23)),)))</f>
        <v>1331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1194000</v>
      </c>
      <c r="I36" s="120">
        <f t="shared" ca="1" si="0"/>
        <v>1377762910</v>
      </c>
      <c r="J36" s="125"/>
      <c r="N36" s="629"/>
      <c r="O36" s="629"/>
    </row>
    <row r="37" spans="1:15" ht="21.75" customHeight="1">
      <c r="A37" s="119">
        <f ca="1">IF(ROWS($1:24)&gt;COUNT(Dong1),"",OFFSET(TH!C$1,SMALL(Dong1,ROWS($1:24)),))</f>
        <v>41577</v>
      </c>
      <c r="B37" s="119">
        <f ca="1">IF(ROWS($1:24)&gt;COUNT(Dong1),"",OFFSET(TH!E$1,SMALL(Dong1,ROWS($1:24)),))</f>
        <v>41577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C11</v>
      </c>
      <c r="E37" s="224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5610440</v>
      </c>
      <c r="I37" s="120">
        <f t="shared" ca="1" si="0"/>
        <v>1372152470</v>
      </c>
      <c r="J37" s="125"/>
      <c r="N37" s="629"/>
      <c r="O37" s="629"/>
    </row>
    <row r="38" spans="1:15" ht="21.75" customHeight="1">
      <c r="A38" s="119">
        <f ca="1">IF(ROWS($1:25)&gt;COUNT(Dong1),"",OFFSET(TH!C$1,SMALL(Dong1,ROWS($1:25)),))</f>
        <v>41578</v>
      </c>
      <c r="B38" s="119">
        <f ca="1">IF(ROWS($1:25)&gt;COUNT(Dong1),"",OFFSET(TH!E$1,SMALL(Dong1,ROWS($1:25)),))</f>
        <v>41578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C12</v>
      </c>
      <c r="E38" s="224" t="str">
        <f ca="1">IF(ROWS($1:25)&gt;COUNT(Dong1),"",OFFSET(TH!F$1,SMALL(Dong1,ROWS($1:25)),))</f>
        <v>Thanh toán tiền lương tháng 10/2013</v>
      </c>
      <c r="F38" s="123" t="str">
        <f ca="1">IF(ROWS($1:25)&gt;COUNT(Dong1),"",IF(OFFSET(TH!M$1,SMALL(Dong1,ROWS($1:25)),)="1111",OFFSET(TH!L$1,SMALL(Dong1,ROWS($1:25)),),OFFSET(TH!M$1,SMALL(Dong1,ROWS($1:25)),)))</f>
        <v>3341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13525000</v>
      </c>
      <c r="I38" s="120">
        <f t="shared" ca="1" si="0"/>
        <v>1358627470</v>
      </c>
      <c r="J38" s="125"/>
      <c r="N38" s="629"/>
      <c r="O38" s="629"/>
    </row>
    <row r="39" spans="1:15" ht="21.75" customHeight="1">
      <c r="A39" s="119">
        <f ca="1">IF(ROWS($1:26)&gt;COUNT(Dong1),"",OFFSET(TH!C$1,SMALL(Dong1,ROWS($1:26)),))</f>
        <v>41578</v>
      </c>
      <c r="B39" s="119">
        <f ca="1">IF(ROWS($1:26)&gt;COUNT(Dong1),"",OFFSET(TH!E$1,SMALL(Dong1,ROWS($1:26)),))</f>
        <v>41578</v>
      </c>
      <c r="C39" s="120" t="str">
        <f ca="1">IF(ROWS($1:26)&gt;COUNT(Dong1),"",IF(OFFSET(TH!L$1,SMALL(Dong1,ROWS($1:26)),)="1111",OFFSET(TH!D$1,SMALL(Dong1,ROWS($1:26)),),""))</f>
        <v>T11</v>
      </c>
      <c r="D39" s="121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3" t="str">
        <f ca="1">IF(ROWS($1:26)&gt;COUNT(Dong1),"",IF(OFFSET(TH!M$1,SMALL(Dong1,ROWS($1:26)),)="1111",OFFSET(TH!L$1,SMALL(Dong1,ROWS($1:26)),),OFFSET(TH!M$1,SMALL(Dong1,ROWS($1:26)),)))</f>
        <v>131</v>
      </c>
      <c r="G39" s="124">
        <f ca="1">IF(ROWS($1:26)&gt;COUNT(Dong1),"",IF(OFFSET(TH!L$1,SMALL(Dong1,ROWS($1:26)),)="1111",OFFSET(TH!K$1,SMALL(Dong1,ROWS($1:26)),),0))</f>
        <v>16089150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1374716620</v>
      </c>
      <c r="J39" s="125"/>
      <c r="N39" s="629"/>
      <c r="O39" s="629"/>
    </row>
    <row r="40" spans="1:15" ht="21.75" customHeight="1">
      <c r="A40" s="119">
        <f ca="1">IF(ROWS($1:27)&gt;COUNT(Dong1),"",OFFSET(TH!C$1,SMALL(Dong1,ROWS($1:27)),))</f>
        <v>41578</v>
      </c>
      <c r="B40" s="119">
        <f ca="1">IF(ROWS($1:27)&gt;COUNT(Dong1),"",OFFSET(TH!E$1,SMALL(Dong1,ROWS($1:27)),))</f>
        <v>41578</v>
      </c>
      <c r="C40" s="120" t="str">
        <f ca="1">IF(ROWS($1:27)&gt;COUNT(Dong1),"",IF(OFFSET(TH!L$1,SMALL(Dong1,ROWS($1:27)),)="1111",OFFSET(TH!D$1,SMALL(Dong1,ROWS($1:27)),),""))</f>
        <v>T12</v>
      </c>
      <c r="D40" s="121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13079220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1387795840</v>
      </c>
      <c r="J40" s="125"/>
      <c r="N40" s="629"/>
      <c r="O40" s="629"/>
    </row>
    <row r="41" spans="1:15" ht="21.75" customHeight="1">
      <c r="A41" s="119">
        <f ca="1">IF(ROWS($1:28)&gt;COUNT(Dong1),"",OFFSET(TH!C$1,SMALL(Dong1,ROWS($1:28)),))</f>
        <v>41580</v>
      </c>
      <c r="B41" s="119">
        <f ca="1">IF(ROWS($1:28)&gt;COUNT(Dong1),"",OFFSET(TH!E$1,SMALL(Dong1,ROWS($1:28)),))</f>
        <v>41580</v>
      </c>
      <c r="C41" s="120" t="str">
        <f ca="1">IF(ROWS($1:28)&gt;COUNT(Dong1),"",IF(OFFSET(TH!L$1,SMALL(Dong1,ROWS($1:28)),)="1111",OFFSET(TH!D$1,SMALL(Dong1,ROWS($1:28)),),""))</f>
        <v>T13</v>
      </c>
      <c r="D41" s="121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49000000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1436795840</v>
      </c>
      <c r="J41" s="125"/>
      <c r="N41" s="629"/>
      <c r="O41" s="629"/>
    </row>
    <row r="42" spans="1:15" ht="21.75" customHeight="1">
      <c r="A42" s="119">
        <f ca="1">IF(ROWS($1:29)&gt;COUNT(Dong1),"",OFFSET(TH!C$1,SMALL(Dong1,ROWS($1:29)),))</f>
        <v>41580</v>
      </c>
      <c r="B42" s="119">
        <f ca="1">IF(ROWS($1:29)&gt;COUNT(Dong1),"",OFFSET(TH!E$1,SMALL(Dong1,ROWS($1:29)),))</f>
        <v>41580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4" t="str">
        <f ca="1">IF(ROWS($1:29)&gt;COUNT(Dong1),"",OFFSET(TH!F$1,SMALL(Dong1,ROWS($1:29)),))</f>
        <v>Thanh toán tiền hàng</v>
      </c>
      <c r="F42" s="123" t="str">
        <f ca="1">IF(ROWS($1:29)&gt;COUNT(Dong1),"",IF(OFFSET(TH!M$1,SMALL(Dong1,ROWS($1:29)),)="1111",OFFSET(TH!L$1,SMALL(Dong1,ROWS($1:29)),),OFFSET(TH!M$1,SMALL(Dong1,ROWS($1:29)),)))</f>
        <v>331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18480000</v>
      </c>
      <c r="I42" s="120">
        <f t="shared" ca="1" si="0"/>
        <v>1418315840</v>
      </c>
      <c r="J42" s="125"/>
      <c r="N42" s="629"/>
      <c r="O42" s="629"/>
    </row>
    <row r="43" spans="1:15" ht="21.75" customHeight="1">
      <c r="A43" s="119">
        <f ca="1">IF(ROWS($1:30)&gt;COUNT(Dong1),"",OFFSET(TH!C$1,SMALL(Dong1,ROWS($1:30)),))</f>
        <v>41581</v>
      </c>
      <c r="B43" s="119">
        <f ca="1">IF(ROWS($1:30)&gt;COUNT(Dong1),"",OFFSET(TH!E$1,SMALL(Dong1,ROWS($1:30)),))</f>
        <v>41581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C14</v>
      </c>
      <c r="E43" s="224" t="str">
        <f ca="1">IF(ROWS($1:30)&gt;COUNT(Dong1),"",OFFSET(TH!F$1,SMALL(Dong1,ROWS($1:30)),))</f>
        <v>Ipad 4 Retina Wifi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15445455</v>
      </c>
      <c r="I43" s="120">
        <f t="shared" ca="1" si="0"/>
        <v>1402870385</v>
      </c>
      <c r="J43" s="125"/>
      <c r="N43" s="629"/>
      <c r="O43" s="629"/>
    </row>
    <row r="44" spans="1:15" ht="21.75" customHeight="1">
      <c r="A44" s="119">
        <f ca="1">IF(ROWS($1:31)&gt;COUNT(Dong1),"",OFFSET(TH!C$1,SMALL(Dong1,ROWS($1:31)),))</f>
        <v>41581</v>
      </c>
      <c r="B44" s="119">
        <f ca="1">IF(ROWS($1:31)&gt;COUNT(Dong1),"",OFFSET(TH!E$1,SMALL(Dong1,ROWS($1:31)),))</f>
        <v>41581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C14</v>
      </c>
      <c r="E44" s="224" t="str">
        <f ca="1">IF(ROWS($1:31)&gt;COUNT(Dong1),"",OFFSET(TH!F$1,SMALL(Dong1,ROWS($1:31)),))</f>
        <v>VAT Ipad 4 Retina Wifi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1544545</v>
      </c>
      <c r="I44" s="120">
        <f t="shared" ca="1" si="0"/>
        <v>1401325840</v>
      </c>
      <c r="J44" s="125"/>
      <c r="N44" s="629"/>
      <c r="O44" s="629"/>
    </row>
    <row r="45" spans="1:15" ht="21.75" customHeight="1">
      <c r="A45" s="119">
        <f ca="1">IF(ROWS($1:32)&gt;COUNT(Dong1),"",OFFSET(TH!C$1,SMALL(Dong1,ROWS($1:32)),))</f>
        <v>41582</v>
      </c>
      <c r="B45" s="119">
        <f ca="1">IF(ROWS($1:32)&gt;COUNT(Dong1),"",OFFSET(TH!E$1,SMALL(Dong1,ROWS($1:32)),))</f>
        <v>41582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C15</v>
      </c>
      <c r="E45" s="224" t="str">
        <f ca="1">IF(ROWS($1:32)&gt;COUNT(Dong1),"",OFFSET(TH!F$1,SMALL(Dong1,ROWS($1:32)),))</f>
        <v>Thanh toán tiền hàng</v>
      </c>
      <c r="F45" s="123" t="str">
        <f ca="1">IF(ROWS($1:32)&gt;COUNT(Dong1),"",IF(OFFSET(TH!M$1,SMALL(Dong1,ROWS($1:32)),)="1111",OFFSET(TH!L$1,SMALL(Dong1,ROWS($1:32)),),OFFSET(TH!M$1,SMALL(Dong1,ROWS($1:32)),)))</f>
        <v>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18370000</v>
      </c>
      <c r="I45" s="120">
        <f t="shared" ca="1" si="0"/>
        <v>1382955840</v>
      </c>
      <c r="J45" s="125"/>
      <c r="N45" s="629"/>
      <c r="O45" s="629"/>
    </row>
    <row r="46" spans="1:15" ht="21.75" customHeight="1">
      <c r="A46" s="119">
        <f ca="1">IF(ROWS($1:33)&gt;COUNT(Dong1),"",OFFSET(TH!C$1,SMALL(Dong1,ROWS($1:33)),))</f>
        <v>41582</v>
      </c>
      <c r="B46" s="119">
        <f ca="1">IF(ROWS($1:33)&gt;COUNT(Dong1),"",OFFSET(TH!E$1,SMALL(Dong1,ROWS($1:33)),))</f>
        <v>41582</v>
      </c>
      <c r="C46" s="120" t="str">
        <f ca="1">IF(ROWS($1:33)&gt;COUNT(Dong1),"",IF(OFFSET(TH!L$1,SMALL(Dong1,ROWS($1:33)),)="1111",OFFSET(TH!D$1,SMALL(Dong1,ROWS($1:33)),),""))</f>
        <v>T14</v>
      </c>
      <c r="D46" s="121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3" t="str">
        <f ca="1">IF(ROWS($1:33)&gt;COUNT(Dong1),"",IF(OFFSET(TH!M$1,SMALL(Dong1,ROWS($1:33)),)="1111",OFFSET(TH!L$1,SMALL(Dong1,ROWS($1:33)),),OFFSET(TH!M$1,SMALL(Dong1,ROWS($1:33)),)))</f>
        <v>131</v>
      </c>
      <c r="G46" s="124">
        <f ca="1">IF(ROWS($1:33)&gt;COUNT(Dong1),"",IF(OFFSET(TH!L$1,SMALL(Dong1,ROWS($1:33)),)="1111",OFFSET(TH!K$1,SMALL(Dong1,ROWS($1:33)),),0))</f>
        <v>19233720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1402189560</v>
      </c>
      <c r="J46" s="125"/>
      <c r="N46" s="629"/>
      <c r="O46" s="629"/>
    </row>
    <row r="47" spans="1:15" ht="21.75" customHeight="1">
      <c r="A47" s="119">
        <f ca="1">IF(ROWS($1:34)&gt;COUNT(Dong1),"",OFFSET(TH!C$1,SMALL(Dong1,ROWS($1:34)),))</f>
        <v>41583</v>
      </c>
      <c r="B47" s="119">
        <f ca="1">IF(ROWS($1:34)&gt;COUNT(Dong1),"",OFFSET(TH!E$1,SMALL(Dong1,ROWS($1:34)),))</f>
        <v>41583</v>
      </c>
      <c r="C47" s="120" t="str">
        <f ca="1">IF(ROWS($1:34)&gt;COUNT(Dong1),"",IF(OFFSET(TH!L$1,SMALL(Dong1,ROWS($1:34)),)="1111",OFFSET(TH!D$1,SMALL(Dong1,ROWS($1:34)),),""))</f>
        <v>T15</v>
      </c>
      <c r="D47" s="121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Chi sec nhập quỹ tiền mặt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27500000</v>
      </c>
      <c r="H47" s="122">
        <f ca="1">IF(ROWS($1:34)&gt;COUNT(Dong1),"",IF(OFFSET(TH!M$1,SMALL(Dong1,ROWS($1:34)),)="1111",OFFSET(TH!K$1,SMALL(Dong1,ROWS($1:34)),),0))</f>
        <v>0</v>
      </c>
      <c r="I47" s="120">
        <f t="shared" ca="1" si="0"/>
        <v>1429689560</v>
      </c>
      <c r="J47" s="125"/>
      <c r="N47" s="629"/>
      <c r="O47" s="629"/>
    </row>
    <row r="48" spans="1:15" ht="21.75" customHeight="1">
      <c r="A48" s="119">
        <f ca="1">IF(ROWS($1:35)&gt;COUNT(Dong1),"",OFFSET(TH!C$1,SMALL(Dong1,ROWS($1:35)),))</f>
        <v>41586</v>
      </c>
      <c r="B48" s="119">
        <f ca="1">IF(ROWS($1:35)&gt;COUNT(Dong1),"",OFFSET(TH!E$1,SMALL(Dong1,ROWS($1:35)),))</f>
        <v>41586</v>
      </c>
      <c r="C48" s="120" t="str">
        <f ca="1">IF(ROWS($1:35)&gt;COUNT(Dong1),"",IF(OFFSET(TH!L$1,SMALL(Dong1,ROWS($1:35)),)="1111",OFFSET(TH!D$1,SMALL(Dong1,ROWS($1:35)),),""))</f>
        <v>T16</v>
      </c>
      <c r="D48" s="121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Chi sec nhập quỹ tiền mặt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58400000</v>
      </c>
      <c r="H48" s="122">
        <f ca="1">IF(ROWS($1:35)&gt;COUNT(Dong1),"",IF(OFFSET(TH!M$1,SMALL(Dong1,ROWS($1:35)),)="1111",OFFSET(TH!K$1,SMALL(Dong1,ROWS($1:35)),),0))</f>
        <v>0</v>
      </c>
      <c r="I48" s="120">
        <f t="shared" ca="1" si="0"/>
        <v>1488089560</v>
      </c>
      <c r="J48" s="125"/>
      <c r="N48" s="629"/>
      <c r="O48" s="629"/>
    </row>
    <row r="49" spans="1:15" ht="21.75" customHeight="1">
      <c r="A49" s="119">
        <f ca="1">IF(ROWS($1:36)&gt;COUNT(Dong1),"",OFFSET(TH!C$1,SMALL(Dong1,ROWS($1:36)),))</f>
        <v>41586</v>
      </c>
      <c r="B49" s="119">
        <f ca="1">IF(ROWS($1:36)&gt;COUNT(Dong1),"",OFFSET(TH!E$1,SMALL(Dong1,ROWS($1:36)),))</f>
        <v>41586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4" t="str">
        <f ca="1">IF(ROWS($1:36)&gt;COUNT(Dong1),"",OFFSET(TH!F$1,SMALL(Dong1,ROWS($1:36)),))</f>
        <v>Thanh toán tiền hàng</v>
      </c>
      <c r="F49" s="123" t="str">
        <f ca="1">IF(ROWS($1:36)&gt;COUNT(Dong1),"",IF(OFFSET(TH!M$1,SMALL(Dong1,ROWS($1:36)),)="1111",OFFSET(TH!L$1,SMALL(Dong1,ROWS($1:36)),),OFFSET(TH!M$1,SMALL(Dong1,ROWS($1:36)),)))</f>
        <v>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18150000</v>
      </c>
      <c r="I49" s="120">
        <f t="shared" ca="1" si="0"/>
        <v>1469939560</v>
      </c>
      <c r="J49" s="125"/>
      <c r="N49" s="629"/>
      <c r="O49" s="629"/>
    </row>
    <row r="50" spans="1:15" ht="21.75" customHeight="1">
      <c r="A50" s="119">
        <f ca="1">IF(ROWS($1:37)&gt;COUNT(Dong1),"",OFFSET(TH!C$1,SMALL(Dong1,ROWS($1:37)),))</f>
        <v>41589</v>
      </c>
      <c r="B50" s="119">
        <f ca="1">IF(ROWS($1:37)&gt;COUNT(Dong1),"",OFFSET(TH!E$1,SMALL(Dong1,ROWS($1:37)),))</f>
        <v>41589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4" t="str">
        <f ca="1">IF(ROWS($1:37)&gt;COUNT(Dong1),"",OFFSET(TH!F$1,SMALL(Dong1,ROWS($1:37)),))</f>
        <v>Văn phòng phẩm</v>
      </c>
      <c r="F50" s="123" t="str">
        <f ca="1">IF(ROWS($1:37)&gt;COUNT(Dong1),"",IF(OFFSET(TH!M$1,SMALL(Dong1,ROWS($1:37)),)="1111",OFFSET(TH!L$1,SMALL(Dong1,ROWS($1:37)),),OFFSET(TH!M$1,SMALL(Dong1,ROWS($1:37)),)))</f>
        <v>642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293364</v>
      </c>
      <c r="I50" s="120">
        <f t="shared" ca="1" si="0"/>
        <v>1469646196</v>
      </c>
      <c r="J50" s="125"/>
    </row>
    <row r="51" spans="1:15" ht="21.75" customHeight="1">
      <c r="A51" s="119">
        <f ca="1">IF(ROWS($1:38)&gt;COUNT(Dong1),"",OFFSET(TH!C$1,SMALL(Dong1,ROWS($1:38)),))</f>
        <v>41589</v>
      </c>
      <c r="B51" s="119">
        <f ca="1">IF(ROWS($1:38)&gt;COUNT(Dong1),"",OFFSET(TH!E$1,SMALL(Dong1,ROWS($1:38)),))</f>
        <v>41589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C17</v>
      </c>
      <c r="E51" s="224" t="str">
        <f ca="1">IF(ROWS($1:38)&gt;COUNT(Dong1),"",OFFSET(TH!F$1,SMALL(Dong1,ROWS($1:38)),))</f>
        <v>VAT Văn phòng phẩm</v>
      </c>
      <c r="F51" s="123" t="str">
        <f ca="1">IF(ROWS($1:38)&gt;COUNT(Dong1),"",IF(OFFSET(TH!M$1,SMALL(Dong1,ROWS($1:38)),)="1111",OFFSET(TH!L$1,SMALL(Dong1,ROWS($1:38)),),OFFSET(TH!M$1,SMALL(Dong1,ROWS($1:38)),)))</f>
        <v>1331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29336</v>
      </c>
      <c r="I51" s="120">
        <f t="shared" ca="1" si="0"/>
        <v>1469616860</v>
      </c>
      <c r="J51" s="125"/>
    </row>
    <row r="52" spans="1:15" ht="21.75" customHeight="1">
      <c r="A52" s="119">
        <f ca="1">IF(ROWS($1:39)&gt;COUNT(Dong1),"",OFFSET(TH!C$1,SMALL(Dong1,ROWS($1:39)),))</f>
        <v>41591</v>
      </c>
      <c r="B52" s="119">
        <f ca="1">IF(ROWS($1:39)&gt;COUNT(Dong1),"",OFFSET(TH!E$1,SMALL(Dong1,ROWS($1:39)),))</f>
        <v>41591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C18</v>
      </c>
      <c r="E52" s="224" t="str">
        <f ca="1">IF(ROWS($1:39)&gt;COUNT(Dong1),"",OFFSET(TH!F$1,SMALL(Dong1,ROWS($1:39)),))</f>
        <v>Cước dịch vụ viễn thông</v>
      </c>
      <c r="F52" s="123" t="str">
        <f ca="1">IF(ROWS($1:39)&gt;COUNT(Dong1),"",IF(OFFSET(TH!M$1,SMALL(Dong1,ROWS($1:39)),)="1111",OFFSET(TH!L$1,SMALL(Dong1,ROWS($1:39)),),OFFSET(TH!M$1,SMALL(Dong1,ROWS($1:39)),)))</f>
        <v>642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1681380</v>
      </c>
      <c r="I52" s="120">
        <f t="shared" ca="1" si="0"/>
        <v>1467935480</v>
      </c>
      <c r="J52" s="125"/>
    </row>
    <row r="53" spans="1:15" ht="21.75" customHeight="1">
      <c r="A53" s="119">
        <f ca="1">IF(ROWS($1:40)&gt;COUNT(Dong1),"",OFFSET(TH!C$1,SMALL(Dong1,ROWS($1:40)),))</f>
        <v>41591</v>
      </c>
      <c r="B53" s="119">
        <f ca="1">IF(ROWS($1:40)&gt;COUNT(Dong1),"",OFFSET(TH!E$1,SMALL(Dong1,ROWS($1:40)),))</f>
        <v>41591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C18</v>
      </c>
      <c r="E53" s="224" t="str">
        <f ca="1">IF(ROWS($1:40)&gt;COUNT(Dong1),"",OFFSET(TH!F$1,SMALL(Dong1,ROWS($1:40)),))</f>
        <v>VAT Cước dịch vụ viễn thông</v>
      </c>
      <c r="F53" s="123" t="str">
        <f ca="1">IF(ROWS($1:40)&gt;COUNT(Dong1),"",IF(OFFSET(TH!M$1,SMALL(Dong1,ROWS($1:40)),)="1111",OFFSET(TH!L$1,SMALL(Dong1,ROWS($1:40)),),OFFSET(TH!M$1,SMALL(Dong1,ROWS($1:40)),)))</f>
        <v>1331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168136</v>
      </c>
      <c r="I53" s="120">
        <f t="shared" ca="1" si="0"/>
        <v>1467767344</v>
      </c>
      <c r="J53" s="125"/>
    </row>
    <row r="54" spans="1:15" ht="21.75" customHeight="1">
      <c r="A54" s="119">
        <f ca="1">IF(ROWS($1:41)&gt;COUNT(Dong1),"",OFFSET(TH!C$1,SMALL(Dong1,ROWS($1:41)),))</f>
        <v>41591</v>
      </c>
      <c r="B54" s="119">
        <f ca="1">IF(ROWS($1:41)&gt;COUNT(Dong1),"",OFFSET(TH!E$1,SMALL(Dong1,ROWS($1:41)),))</f>
        <v>41591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C19</v>
      </c>
      <c r="E54" s="224" t="str">
        <f ca="1">IF(ROWS($1:41)&gt;COUNT(Dong1),"",OFFSET(TH!F$1,SMALL(Dong1,ROWS($1:41)),))</f>
        <v>Mực in</v>
      </c>
      <c r="F54" s="123" t="str">
        <f ca="1">IF(ROWS($1:41)&gt;COUNT(Dong1),"",IF(OFFSET(TH!M$1,SMALL(Dong1,ROWS($1:41)),)="1111",OFFSET(TH!L$1,SMALL(Dong1,ROWS($1:41)),),OFFSET(TH!M$1,SMALL(Dong1,ROWS($1:41)),)))</f>
        <v>154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1360000</v>
      </c>
      <c r="I54" s="120">
        <f t="shared" ca="1" si="0"/>
        <v>1466407344</v>
      </c>
      <c r="J54" s="125"/>
    </row>
    <row r="55" spans="1:15" ht="21.75" customHeight="1">
      <c r="A55" s="119">
        <f ca="1">IF(ROWS($1:42)&gt;COUNT(Dong1),"",OFFSET(TH!C$1,SMALL(Dong1,ROWS($1:42)),))</f>
        <v>41591</v>
      </c>
      <c r="B55" s="119">
        <f ca="1">IF(ROWS($1:42)&gt;COUNT(Dong1),"",OFFSET(TH!E$1,SMALL(Dong1,ROWS($1:42)),))</f>
        <v>41591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4" t="str">
        <f ca="1">IF(ROWS($1:42)&gt;COUNT(Dong1),"",OFFSET(TH!F$1,SMALL(Dong1,ROWS($1:42)),))</f>
        <v>VAT Mực in</v>
      </c>
      <c r="F55" s="123" t="str">
        <f ca="1">IF(ROWS($1:42)&gt;COUNT(Dong1),"",IF(OFFSET(TH!M$1,SMALL(Dong1,ROWS($1:42)),)="1111",OFFSET(TH!L$1,SMALL(Dong1,ROWS($1:42)),),OFFSET(TH!M$1,SMALL(Dong1,ROWS($1:42)),)))</f>
        <v>1331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136000</v>
      </c>
      <c r="I55" s="120">
        <f t="shared" ca="1" si="0"/>
        <v>1466271344</v>
      </c>
      <c r="J55" s="125"/>
    </row>
    <row r="56" spans="1:15" ht="21.75" customHeight="1">
      <c r="A56" s="119">
        <f ca="1">IF(ROWS($1:43)&gt;COUNT(Dong1),"",OFFSET(TH!C$1,SMALL(Dong1,ROWS($1:43)),))</f>
        <v>41592</v>
      </c>
      <c r="B56" s="119">
        <f ca="1">IF(ROWS($1:43)&gt;COUNT(Dong1),"",OFFSET(TH!E$1,SMALL(Dong1,ROWS($1:43)),))</f>
        <v>41592</v>
      </c>
      <c r="C56" s="120" t="str">
        <f ca="1">IF(ROWS($1:43)&gt;COUNT(Dong1),"",IF(OFFSET(TH!L$1,SMALL(Dong1,ROWS($1:43)),)="1111",OFFSET(TH!D$1,SMALL(Dong1,ROWS($1:43)),),""))</f>
        <v>T17</v>
      </c>
      <c r="D56" s="121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16994450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1483265794</v>
      </c>
      <c r="J56" s="125"/>
    </row>
    <row r="57" spans="1:15" ht="21.75" customHeight="1">
      <c r="A57" s="119">
        <f ca="1">IF(ROWS($1:44)&gt;COUNT(Dong1),"",OFFSET(TH!C$1,SMALL(Dong1,ROWS($1:44)),))</f>
        <v>41594</v>
      </c>
      <c r="B57" s="119">
        <f ca="1">IF(ROWS($1:44)&gt;COUNT(Dong1),"",OFFSET(TH!E$1,SMALL(Dong1,ROWS($1:44)),))</f>
        <v>41594</v>
      </c>
      <c r="C57" s="120" t="str">
        <f ca="1">IF(ROWS($1:44)&gt;COUNT(Dong1),"",IF(OFFSET(TH!L$1,SMALL(Dong1,ROWS($1:44)),)="1111",OFFSET(TH!D$1,SMALL(Dong1,ROWS($1:44)),),""))</f>
        <v>T18</v>
      </c>
      <c r="D57" s="121" t="str">
        <f ca="1">IF(ROWS($1:44)&gt;COUNT(Dong1),"",IF(OFFSET(TH!M$1,SMALL(Dong1,ROWS($1:44)),)="1111",OFFSET(TH!D$1,SMALL(Dong1,ROWS($1:44)),),""))</f>
        <v/>
      </c>
      <c r="E57" s="224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15280650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1498546444</v>
      </c>
      <c r="J57" s="125"/>
    </row>
    <row r="58" spans="1:15" ht="21.75" customHeight="1">
      <c r="A58" s="119">
        <f ca="1">IF(ROWS($1:45)&gt;COUNT(Dong1),"",OFFSET(TH!C$1,SMALL(Dong1,ROWS($1:45)),))</f>
        <v>41597</v>
      </c>
      <c r="B58" s="119">
        <f ca="1">IF(ROWS($1:45)&gt;COUNT(Dong1),"",OFFSET(TH!E$1,SMALL(Dong1,ROWS($1:45)),))</f>
        <v>41597</v>
      </c>
      <c r="C58" s="120" t="str">
        <f ca="1">IF(ROWS($1:45)&gt;COUNT(Dong1),"",IF(OFFSET(TH!L$1,SMALL(Dong1,ROWS($1:45)),)="1111",OFFSET(TH!D$1,SMALL(Dong1,ROWS($1:45)),),""))</f>
        <v>T19</v>
      </c>
      <c r="D58" s="121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3" t="str">
        <f ca="1">IF(ROWS($1:45)&gt;COUNT(Dong1),"",IF(OFFSET(TH!M$1,SMALL(Dong1,ROWS($1:45)),)="1111",OFFSET(TH!L$1,SMALL(Dong1,ROWS($1:45)),),OFFSET(TH!M$1,SMALL(Dong1,ROWS($1:45)),)))</f>
        <v>131</v>
      </c>
      <c r="G58" s="124">
        <f ca="1">IF(ROWS($1:45)&gt;COUNT(Dong1),"",IF(OFFSET(TH!L$1,SMALL(Dong1,ROWS($1:45)),)="1111",OFFSET(TH!K$1,SMALL(Dong1,ROWS($1:45)),),0))</f>
        <v>11962500</v>
      </c>
      <c r="H58" s="122">
        <f ca="1">IF(ROWS($1:45)&gt;COUNT(Dong1),"",IF(OFFSET(TH!M$1,SMALL(Dong1,ROWS($1:45)),)="1111",OFFSET(TH!K$1,SMALL(Dong1,ROWS($1:45)),),0))</f>
        <v>0</v>
      </c>
      <c r="I58" s="120">
        <f t="shared" ca="1" si="0"/>
        <v>1510508944</v>
      </c>
      <c r="J58" s="125"/>
    </row>
    <row r="59" spans="1:15" ht="21.75" customHeight="1">
      <c r="A59" s="119">
        <f ca="1">IF(ROWS($1:46)&gt;COUNT(Dong1),"",OFFSET(TH!C$1,SMALL(Dong1,ROWS($1:46)),))</f>
        <v>41598</v>
      </c>
      <c r="B59" s="119">
        <f ca="1">IF(ROWS($1:46)&gt;COUNT(Dong1),"",OFFSET(TH!E$1,SMALL(Dong1,ROWS($1:46)),))</f>
        <v>41598</v>
      </c>
      <c r="C59" s="120" t="str">
        <f ca="1">IF(ROWS($1:46)&gt;COUNT(Dong1),"",IF(OFFSET(TH!L$1,SMALL(Dong1,ROWS($1:46)),)="1111",OFFSET(TH!D$1,SMALL(Dong1,ROWS($1:46)),),""))</f>
        <v>T20</v>
      </c>
      <c r="D59" s="121" t="str">
        <f ca="1">IF(ROWS($1:46)&gt;COUNT(Dong1),"",IF(OFFSET(TH!M$1,SMALL(Dong1,ROWS($1:46)),)="1111",OFFSET(TH!D$1,SMALL(Dong1,ROWS($1:46)),),""))</f>
        <v/>
      </c>
      <c r="E59" s="224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14200000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1524708944</v>
      </c>
      <c r="J59" s="125"/>
    </row>
    <row r="60" spans="1:15" ht="21.75" customHeight="1">
      <c r="A60" s="119">
        <f ca="1">IF(ROWS($1:47)&gt;COUNT(Dong1),"",OFFSET(TH!C$1,SMALL(Dong1,ROWS($1:47)),))</f>
        <v>41600</v>
      </c>
      <c r="B60" s="119">
        <f ca="1">IF(ROWS($1:47)&gt;COUNT(Dong1),"",OFFSET(TH!E$1,SMALL(Dong1,ROWS($1:47)),))</f>
        <v>41600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C20</v>
      </c>
      <c r="E60" s="224" t="str">
        <f ca="1">IF(ROWS($1:47)&gt;COUNT(Dong1),"",OFFSET(TH!F$1,SMALL(Dong1,ROWS($1:47)),))</f>
        <v>Chi phí tiếp khách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1027273</v>
      </c>
      <c r="I60" s="120">
        <f t="shared" ca="1" si="0"/>
        <v>1523681671</v>
      </c>
      <c r="J60" s="125"/>
    </row>
    <row r="61" spans="1:15" ht="21.75" customHeight="1">
      <c r="A61" s="119">
        <f ca="1">IF(ROWS($1:48)&gt;COUNT(Dong1),"",OFFSET(TH!C$1,SMALL(Dong1,ROWS($1:48)),))</f>
        <v>41600</v>
      </c>
      <c r="B61" s="119">
        <f ca="1">IF(ROWS($1:48)&gt;COUNT(Dong1),"",OFFSET(TH!E$1,SMALL(Dong1,ROWS($1:48)),))</f>
        <v>41600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C20</v>
      </c>
      <c r="E61" s="224" t="str">
        <f ca="1">IF(ROWS($1:48)&gt;COUNT(Dong1),"",OFFSET(TH!F$1,SMALL(Dong1,ROWS($1:48)),))</f>
        <v>VAT Chi phí tiếp khách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102727</v>
      </c>
      <c r="I61" s="120">
        <f t="shared" ca="1" si="0"/>
        <v>1523578944</v>
      </c>
      <c r="J61" s="125"/>
    </row>
    <row r="62" spans="1:15" ht="21.75" customHeight="1">
      <c r="A62" s="119">
        <f ca="1">IF(ROWS($1:49)&gt;COUNT(Dong1),"",OFFSET(TH!C$1,SMALL(Dong1,ROWS($1:49)),))</f>
        <v>41603</v>
      </c>
      <c r="B62" s="119">
        <f ca="1">IF(ROWS($1:49)&gt;COUNT(Dong1),"",OFFSET(TH!E$1,SMALL(Dong1,ROWS($1:49)),))</f>
        <v>41603</v>
      </c>
      <c r="C62" s="120" t="str">
        <f ca="1">IF(ROWS($1:49)&gt;COUNT(Dong1),"",IF(OFFSET(TH!L$1,SMALL(Dong1,ROWS($1:49)),)="1111",OFFSET(TH!D$1,SMALL(Dong1,ROWS($1:49)),),""))</f>
        <v>T21</v>
      </c>
      <c r="D62" s="121" t="str">
        <f ca="1">IF(ROWS($1:49)&gt;COUNT(Dong1),"",IF(OFFSET(TH!M$1,SMALL(Dong1,ROWS($1:49)),)="1111",OFFSET(TH!D$1,SMALL(Dong1,ROWS($1:49)),),""))</f>
        <v/>
      </c>
      <c r="E62" s="224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3135000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1526713944</v>
      </c>
      <c r="J62" s="125"/>
    </row>
    <row r="63" spans="1:15" ht="21.75" customHeight="1">
      <c r="A63" s="119">
        <f ca="1">IF(ROWS($1:50)&gt;COUNT(Dong1),"",OFFSET(TH!C$1,SMALL(Dong1,ROWS($1:50)),))</f>
        <v>41604</v>
      </c>
      <c r="B63" s="119">
        <f ca="1">IF(ROWS($1:50)&gt;COUNT(Dong1),"",OFFSET(TH!E$1,SMALL(Dong1,ROWS($1:50)),))</f>
        <v>41604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C21</v>
      </c>
      <c r="E63" s="224" t="str">
        <f ca="1">IF(ROWS($1:50)&gt;COUNT(Dong1),"",OFFSET(TH!F$1,SMALL(Dong1,ROWS($1:50)),))</f>
        <v>Mực in</v>
      </c>
      <c r="F63" s="123" t="str">
        <f ca="1">IF(ROWS($1:50)&gt;COUNT(Dong1),"",IF(OFFSET(TH!M$1,SMALL(Dong1,ROWS($1:50)),)="1111",OFFSET(TH!L$1,SMALL(Dong1,ROWS($1:50)),),OFFSET(TH!M$1,SMALL(Dong1,ROWS($1:50)),)))</f>
        <v>154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4025000</v>
      </c>
      <c r="I63" s="120">
        <f t="shared" ref="I63:I80" ca="1" si="1">IF(E63&lt;&gt;"",I62+G63-H63,0)</f>
        <v>1522688944</v>
      </c>
      <c r="J63" s="125"/>
    </row>
    <row r="64" spans="1:15" ht="21.75" customHeight="1">
      <c r="A64" s="119">
        <f ca="1">IF(ROWS($1:51)&gt;COUNT(Dong1),"",OFFSET(TH!C$1,SMALL(Dong1,ROWS($1:51)),))</f>
        <v>41604</v>
      </c>
      <c r="B64" s="119">
        <f ca="1">IF(ROWS($1:51)&gt;COUNT(Dong1),"",OFFSET(TH!E$1,SMALL(Dong1,ROWS($1:51)),))</f>
        <v>41604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C21</v>
      </c>
      <c r="E64" s="224" t="str">
        <f ca="1">IF(ROWS($1:51)&gt;COUNT(Dong1),"",OFFSET(TH!F$1,SMALL(Dong1,ROWS($1:51)),))</f>
        <v>VAT Mực in</v>
      </c>
      <c r="F64" s="123" t="str">
        <f ca="1">IF(ROWS($1:51)&gt;COUNT(Dong1),"",IF(OFFSET(TH!M$1,SMALL(Dong1,ROWS($1:51)),)="1111",OFFSET(TH!L$1,SMALL(Dong1,ROWS($1:51)),),OFFSET(TH!M$1,SMALL(Dong1,ROWS($1:51)),)))</f>
        <v>1331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402500</v>
      </c>
      <c r="I64" s="120">
        <f t="shared" ca="1" si="1"/>
        <v>1522286444</v>
      </c>
      <c r="J64" s="125"/>
    </row>
    <row r="65" spans="1:10" ht="21.75" customHeight="1">
      <c r="A65" s="119">
        <f ca="1">IF(ROWS($1:52)&gt;COUNT(Dong1),"",OFFSET(TH!C$1,SMALL(Dong1,ROWS($1:52)),))</f>
        <v>41604</v>
      </c>
      <c r="B65" s="119">
        <f ca="1">IF(ROWS($1:52)&gt;COUNT(Dong1),"",OFFSET(TH!E$1,SMALL(Dong1,ROWS($1:52)),))</f>
        <v>41604</v>
      </c>
      <c r="C65" s="120" t="str">
        <f ca="1">IF(ROWS($1:52)&gt;COUNT(Dong1),"",IF(OFFSET(TH!L$1,SMALL(Dong1,ROWS($1:52)),)="1111",OFFSET(TH!D$1,SMALL(Dong1,ROWS($1:52)),),""))</f>
        <v>T22</v>
      </c>
      <c r="D65" s="121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Thu tiền hàng</v>
      </c>
      <c r="F65" s="123" t="str">
        <f ca="1">IF(ROWS($1:52)&gt;COUNT(Dong1),"",IF(OFFSET(TH!M$1,SMALL(Dong1,ROWS($1:52)),)="1111",OFFSET(TH!L$1,SMALL(Dong1,ROWS($1:52)),),OFFSET(TH!M$1,SMALL(Dong1,ROWS($1:52)),)))</f>
        <v>131</v>
      </c>
      <c r="G65" s="124">
        <f ca="1">IF(ROWS($1:52)&gt;COUNT(Dong1),"",IF(OFFSET(TH!L$1,SMALL(Dong1,ROWS($1:52)),)="1111",OFFSET(TH!K$1,SMALL(Dong1,ROWS($1:52)),),0))</f>
        <v>17325000</v>
      </c>
      <c r="H65" s="122">
        <f ca="1">IF(ROWS($1:52)&gt;COUNT(Dong1),"",IF(OFFSET(TH!M$1,SMALL(Dong1,ROWS($1:52)),)="1111",OFFSET(TH!K$1,SMALL(Dong1,ROWS($1:52)),),0))</f>
        <v>0</v>
      </c>
      <c r="I65" s="120">
        <f t="shared" ca="1" si="1"/>
        <v>1539611444</v>
      </c>
      <c r="J65" s="125"/>
    </row>
    <row r="66" spans="1:10" ht="21.75" customHeight="1">
      <c r="A66" s="119">
        <f ca="1">IF(ROWS($1:53)&gt;COUNT(Dong1),"",OFFSET(TH!C$1,SMALL(Dong1,ROWS($1:53)),))</f>
        <v>41606</v>
      </c>
      <c r="B66" s="119">
        <f ca="1">IF(ROWS($1:53)&gt;COUNT(Dong1),"",OFFSET(TH!E$1,SMALL(Dong1,ROWS($1:53)),))</f>
        <v>41606</v>
      </c>
      <c r="C66" s="120" t="str">
        <f ca="1">IF(ROWS($1:53)&gt;COUNT(Dong1),"",IF(OFFSET(TH!L$1,SMALL(Dong1,ROWS($1:53)),)="1111",OFFSET(TH!D$1,SMALL(Dong1,ROWS($1:53)),),""))</f>
        <v>T23</v>
      </c>
      <c r="D66" s="121" t="str">
        <f ca="1">IF(ROWS($1:53)&gt;COUNT(Dong1),"",IF(OFFSET(TH!M$1,SMALL(Dong1,ROWS($1:53)),)="1111",OFFSET(TH!D$1,SMALL(Dong1,ROWS($1:53)),),""))</f>
        <v/>
      </c>
      <c r="E66" s="224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9900000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1549511444</v>
      </c>
      <c r="J66" s="125"/>
    </row>
    <row r="67" spans="1:10" ht="21.75" customHeight="1">
      <c r="A67" s="119">
        <f ca="1">IF(ROWS($1:54)&gt;COUNT(Dong1),"",OFFSET(TH!C$1,SMALL(Dong1,ROWS($1:54)),))</f>
        <v>41606</v>
      </c>
      <c r="B67" s="119">
        <f ca="1">IF(ROWS($1:54)&gt;COUNT(Dong1),"",OFFSET(TH!E$1,SMALL(Dong1,ROWS($1:54)),))</f>
        <v>41606</v>
      </c>
      <c r="C67" s="120" t="str">
        <f ca="1">IF(ROWS($1:54)&gt;COUNT(Dong1),"",IF(OFFSET(TH!L$1,SMALL(Dong1,ROWS($1:54)),)="1111",OFFSET(TH!D$1,SMALL(Dong1,ROWS($1:54)),),""))</f>
        <v>T24</v>
      </c>
      <c r="D67" s="121" t="str">
        <f ca="1">IF(ROWS($1:54)&gt;COUNT(Dong1),"",IF(OFFSET(TH!M$1,SMALL(Dong1,ROWS($1:54)),)="1111",OFFSET(TH!D$1,SMALL(Dong1,ROWS($1:54)),),""))</f>
        <v/>
      </c>
      <c r="E67" s="224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13459600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1562971044</v>
      </c>
      <c r="J67" s="125"/>
    </row>
    <row r="68" spans="1:10" ht="21.75" customHeight="1">
      <c r="A68" s="119">
        <f ca="1">IF(ROWS($1:55)&gt;COUNT(Dong1),"",OFFSET(TH!C$1,SMALL(Dong1,ROWS($1:55)),))</f>
        <v>41607</v>
      </c>
      <c r="B68" s="119">
        <f ca="1">IF(ROWS($1:55)&gt;COUNT(Dong1),"",OFFSET(TH!E$1,SMALL(Dong1,ROWS($1:55)),))</f>
        <v>41607</v>
      </c>
      <c r="C68" s="120" t="str">
        <f ca="1">IF(ROWS($1:55)&gt;COUNT(Dong1),"",IF(OFFSET(TH!L$1,SMALL(Dong1,ROWS($1:55)),)="1111",OFFSET(TH!D$1,SMALL(Dong1,ROWS($1:55)),),""))</f>
        <v>T25</v>
      </c>
      <c r="D68" s="121" t="str">
        <f ca="1">IF(ROWS($1:55)&gt;COUNT(Dong1),"",IF(OFFSET(TH!M$1,SMALL(Dong1,ROWS($1:55)),)="1111",OFFSET(TH!D$1,SMALL(Dong1,ROWS($1:55)),),""))</f>
        <v/>
      </c>
      <c r="E68" s="224" t="str">
        <f ca="1">IF(ROWS($1:55)&gt;COUNT(Dong1),"",OFFSET(TH!F$1,SMALL(Dong1,ROWS($1:55)),))</f>
        <v>Chi sec nhập quỹ tiền mặt</v>
      </c>
      <c r="F68" s="123" t="str">
        <f ca="1">IF(ROWS($1:55)&gt;COUNT(Dong1),"",IF(OFFSET(TH!M$1,SMALL(Dong1,ROWS($1:55)),)="1111",OFFSET(TH!L$1,SMALL(Dong1,ROWS($1:55)),),OFFSET(TH!M$1,SMALL(Dong1,ROWS($1:55)),)))</f>
        <v>1121</v>
      </c>
      <c r="G68" s="124">
        <f ca="1">IF(ROWS($1:55)&gt;COUNT(Dong1),"",IF(OFFSET(TH!L$1,SMALL(Dong1,ROWS($1:55)),)="1111",OFFSET(TH!K$1,SMALL(Dong1,ROWS($1:55)),),0))</f>
        <v>39000000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1601971044</v>
      </c>
      <c r="J68" s="125"/>
    </row>
    <row r="69" spans="1:10" ht="21.75" customHeight="1">
      <c r="A69" s="119">
        <f ca="1">IF(ROWS($1:56)&gt;COUNT(Dong1),"",OFFSET(TH!C$1,SMALL(Dong1,ROWS($1:56)),))</f>
        <v>41607</v>
      </c>
      <c r="B69" s="119">
        <f ca="1">IF(ROWS($1:56)&gt;COUNT(Dong1),"",OFFSET(TH!E$1,SMALL(Dong1,ROWS($1:56)),))</f>
        <v>41607</v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>C22</v>
      </c>
      <c r="E69" s="224" t="str">
        <f ca="1">IF(ROWS($1:56)&gt;COUNT(Dong1),"",OFFSET(TH!F$1,SMALL(Dong1,ROWS($1:56)),))</f>
        <v>Tiền điện</v>
      </c>
      <c r="F69" s="123" t="str">
        <f ca="1">IF(ROWS($1:56)&gt;COUNT(Dong1),"",IF(OFFSET(TH!M$1,SMALL(Dong1,ROWS($1:56)),)="1111",OFFSET(TH!L$1,SMALL(Dong1,ROWS($1:56)),),OFFSET(TH!M$1,SMALL(Dong1,ROWS($1:56)),)))</f>
        <v>642</v>
      </c>
      <c r="G69" s="124">
        <f ca="1">IF(ROWS($1:56)&gt;COUNT(Dong1),"",IF(OFFSET(TH!L$1,SMALL(Dong1,ROWS($1:56)),)="1111",OFFSET(TH!K$1,SMALL(Dong1,ROWS($1:56)),),0))</f>
        <v>0</v>
      </c>
      <c r="H69" s="122">
        <f ca="1">IF(ROWS($1:56)&gt;COUNT(Dong1),"",IF(OFFSET(TH!M$1,SMALL(Dong1,ROWS($1:56)),)="1111",OFFSET(TH!K$1,SMALL(Dong1,ROWS($1:56)),),0))</f>
        <v>1131830</v>
      </c>
      <c r="I69" s="120">
        <f t="shared" ca="1" si="1"/>
        <v>1600839214</v>
      </c>
      <c r="J69" s="125"/>
    </row>
    <row r="70" spans="1:10" ht="21.75" customHeight="1">
      <c r="A70" s="119">
        <f ca="1">IF(ROWS($1:57)&gt;COUNT(Dong1),"",OFFSET(TH!C$1,SMALL(Dong1,ROWS($1:57)),))</f>
        <v>41607</v>
      </c>
      <c r="B70" s="119">
        <f ca="1">IF(ROWS($1:57)&gt;COUNT(Dong1),"",OFFSET(TH!E$1,SMALL(Dong1,ROWS($1:57)),))</f>
        <v>41607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C22</v>
      </c>
      <c r="E70" s="224" t="str">
        <f ca="1">IF(ROWS($1:57)&gt;COUNT(Dong1),"",OFFSET(TH!F$1,SMALL(Dong1,ROWS($1:57)),))</f>
        <v>VAT Tiền điện</v>
      </c>
      <c r="F70" s="123" t="str">
        <f ca="1">IF(ROWS($1:57)&gt;COUNT(Dong1),"",IF(OFFSET(TH!M$1,SMALL(Dong1,ROWS($1:57)),)="1111",OFFSET(TH!L$1,SMALL(Dong1,ROWS($1:57)),),OFFSET(TH!M$1,SMALL(Dong1,ROWS($1:57)),)))</f>
        <v>1331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113183</v>
      </c>
      <c r="I70" s="120">
        <f t="shared" ca="1" si="1"/>
        <v>1600726031</v>
      </c>
      <c r="J70" s="125"/>
    </row>
    <row r="71" spans="1:10" ht="21.75" customHeight="1">
      <c r="A71" s="119">
        <f ca="1">IF(ROWS($1:58)&gt;COUNT(Dong1),"",OFFSET(TH!C$1,SMALL(Dong1,ROWS($1:58)),))</f>
        <v>41607</v>
      </c>
      <c r="B71" s="119">
        <f ca="1">IF(ROWS($1:58)&gt;COUNT(Dong1),"",OFFSET(TH!E$1,SMALL(Dong1,ROWS($1:58)),))</f>
        <v>41607</v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>C23</v>
      </c>
      <c r="E71" s="224" t="str">
        <f ca="1">IF(ROWS($1:58)&gt;COUNT(Dong1),"",OFFSET(TH!F$1,SMALL(Dong1,ROWS($1:58)),))</f>
        <v>Băng keo</v>
      </c>
      <c r="F71" s="123" t="str">
        <f ca="1">IF(ROWS($1:58)&gt;COUNT(Dong1),"",IF(OFFSET(TH!M$1,SMALL(Dong1,ROWS($1:58)),)="1111",OFFSET(TH!L$1,SMALL(Dong1,ROWS($1:58)),),OFFSET(TH!M$1,SMALL(Dong1,ROWS($1:58)),)))</f>
        <v>642</v>
      </c>
      <c r="G71" s="124">
        <f ca="1">IF(ROWS($1:58)&gt;COUNT(Dong1),"",IF(OFFSET(TH!L$1,SMALL(Dong1,ROWS($1:58)),)="1111",OFFSET(TH!K$1,SMALL(Dong1,ROWS($1:58)),),0))</f>
        <v>0</v>
      </c>
      <c r="H71" s="122">
        <f ca="1">IF(ROWS($1:58)&gt;COUNT(Dong1),"",IF(OFFSET(TH!M$1,SMALL(Dong1,ROWS($1:58)),)="1111",OFFSET(TH!K$1,SMALL(Dong1,ROWS($1:58)),),0))</f>
        <v>1454400</v>
      </c>
      <c r="I71" s="120">
        <f t="shared" ca="1" si="1"/>
        <v>1599271631</v>
      </c>
      <c r="J71" s="125"/>
    </row>
    <row r="72" spans="1:10" ht="21.75" customHeight="1">
      <c r="A72" s="119">
        <f ca="1">IF(ROWS($1:59)&gt;COUNT(Dong1),"",OFFSET(TH!C$1,SMALL(Dong1,ROWS($1:59)),))</f>
        <v>41607</v>
      </c>
      <c r="B72" s="119">
        <f ca="1">IF(ROWS($1:59)&gt;COUNT(Dong1),"",OFFSET(TH!E$1,SMALL(Dong1,ROWS($1:59)),))</f>
        <v>41607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C23</v>
      </c>
      <c r="E72" s="224" t="str">
        <f ca="1">IF(ROWS($1:59)&gt;COUNT(Dong1),"",OFFSET(TH!F$1,SMALL(Dong1,ROWS($1:59)),))</f>
        <v>VAT Băng keo</v>
      </c>
      <c r="F72" s="123" t="str">
        <f ca="1">IF(ROWS($1:59)&gt;COUNT(Dong1),"",IF(OFFSET(TH!M$1,SMALL(Dong1,ROWS($1:59)),)="1111",OFFSET(TH!L$1,SMALL(Dong1,ROWS($1:59)),),OFFSET(TH!M$1,SMALL(Dong1,ROWS($1:59)),)))</f>
        <v>1331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145440</v>
      </c>
      <c r="I72" s="120">
        <f t="shared" ca="1" si="1"/>
        <v>1599126191</v>
      </c>
      <c r="J72" s="125"/>
    </row>
    <row r="73" spans="1:10" ht="21.75" customHeight="1">
      <c r="A73" s="119">
        <f ca="1">IF(ROWS($1:60)&gt;COUNT(Dong1),"",OFFSET(TH!C$1,SMALL(Dong1,ROWS($1:60)),))</f>
        <v>41608</v>
      </c>
      <c r="B73" s="119">
        <f ca="1">IF(ROWS($1:60)&gt;COUNT(Dong1),"",OFFSET(TH!E$1,SMALL(Dong1,ROWS($1:60)),))</f>
        <v>41608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C24</v>
      </c>
      <c r="E73" s="224" t="str">
        <f ca="1">IF(ROWS($1:60)&gt;COUNT(Dong1),"",OFFSET(TH!F$1,SMALL(Dong1,ROWS($1:60)),))</f>
        <v>Thanh toán tiền lương tháng 11/2013</v>
      </c>
      <c r="F73" s="123" t="str">
        <f ca="1">IF(ROWS($1:60)&gt;COUNT(Dong1),"",IF(OFFSET(TH!M$1,SMALL(Dong1,ROWS($1:60)),)="1111",OFFSET(TH!L$1,SMALL(Dong1,ROWS($1:60)),),OFFSET(TH!M$1,SMALL(Dong1,ROWS($1:60)),)))</f>
        <v>3341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13450000</v>
      </c>
      <c r="I73" s="120">
        <f t="shared" ca="1" si="1"/>
        <v>1585676191</v>
      </c>
      <c r="J73" s="125"/>
    </row>
    <row r="74" spans="1:10" ht="21.75" customHeight="1">
      <c r="A74" s="119">
        <f ca="1">IF(ROWS($1:61)&gt;COUNT(Dong1),"",OFFSET(TH!C$1,SMALL(Dong1,ROWS($1:61)),))</f>
        <v>41608</v>
      </c>
      <c r="B74" s="119">
        <f ca="1">IF(ROWS($1:61)&gt;COUNT(Dong1),"",OFFSET(TH!E$1,SMALL(Dong1,ROWS($1:61)),))</f>
        <v>41608</v>
      </c>
      <c r="C74" s="120" t="str">
        <f ca="1">IF(ROWS($1:61)&gt;COUNT(Dong1),"",IF(OFFSET(TH!L$1,SMALL(Dong1,ROWS($1:61)),)="1111",OFFSET(TH!D$1,SMALL(Dong1,ROWS($1:61)),),""))</f>
        <v>T26</v>
      </c>
      <c r="D74" s="121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3" t="str">
        <f ca="1">IF(ROWS($1:61)&gt;COUNT(Dong1),"",IF(OFFSET(TH!M$1,SMALL(Dong1,ROWS($1:61)),)="1111",OFFSET(TH!L$1,SMALL(Dong1,ROWS($1:61)),),OFFSET(TH!M$1,SMALL(Dong1,ROWS($1:61)),)))</f>
        <v>131</v>
      </c>
      <c r="G74" s="124">
        <f ca="1">IF(ROWS($1:61)&gt;COUNT(Dong1),"",IF(OFFSET(TH!L$1,SMALL(Dong1,ROWS($1:61)),)="1111",OFFSET(TH!K$1,SMALL(Dong1,ROWS($1:61)),),0))</f>
        <v>11550000</v>
      </c>
      <c r="H74" s="122">
        <f ca="1">IF(ROWS($1:61)&gt;COUNT(Dong1),"",IF(OFFSET(TH!M$1,SMALL(Dong1,ROWS($1:61)),)="1111",OFFSET(TH!K$1,SMALL(Dong1,ROWS($1:61)),),0))</f>
        <v>0</v>
      </c>
      <c r="I74" s="120">
        <f t="shared" ca="1" si="1"/>
        <v>1597226191</v>
      </c>
      <c r="J74" s="125"/>
    </row>
    <row r="75" spans="1:10" ht="21.75" customHeight="1">
      <c r="A75" s="119">
        <f ca="1">IF(ROWS($1:62)&gt;COUNT(Dong1),"",OFFSET(TH!C$1,SMALL(Dong1,ROWS($1:62)),))</f>
        <v>41613</v>
      </c>
      <c r="B75" s="119">
        <f ca="1">IF(ROWS($1:62)&gt;COUNT(Dong1),"",OFFSET(TH!E$1,SMALL(Dong1,ROWS($1:62)),))</f>
        <v>41613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C25</v>
      </c>
      <c r="E75" s="224" t="str">
        <f ca="1">IF(ROWS($1:62)&gt;COUNT(Dong1),"",OFFSET(TH!F$1,SMALL(Dong1,ROWS($1:62)),))</f>
        <v>Thanh toán tiền hàng</v>
      </c>
      <c r="F75" s="123" t="str">
        <f ca="1">IF(ROWS($1:62)&gt;COUNT(Dong1),"",IF(OFFSET(TH!M$1,SMALL(Dong1,ROWS($1:62)),)="1111",OFFSET(TH!L$1,SMALL(Dong1,ROWS($1:62)),),OFFSET(TH!M$1,SMALL(Dong1,ROWS($1:62)),)))</f>
        <v>331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2323200</v>
      </c>
      <c r="I75" s="120">
        <f t="shared" ca="1" si="1"/>
        <v>1594902991</v>
      </c>
      <c r="J75" s="125"/>
    </row>
    <row r="76" spans="1:10" ht="21.75" customHeight="1">
      <c r="A76" s="119">
        <f ca="1">IF(ROWS($1:63)&gt;COUNT(Dong1),"",OFFSET(TH!C$1,SMALL(Dong1,ROWS($1:63)),))</f>
        <v>41615</v>
      </c>
      <c r="B76" s="119">
        <f ca="1">IF(ROWS($1:63)&gt;COUNT(Dong1),"",OFFSET(TH!E$1,SMALL(Dong1,ROWS($1:63)),))</f>
        <v>41615</v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>C26</v>
      </c>
      <c r="E76" s="224" t="str">
        <f ca="1">IF(ROWS($1:63)&gt;COUNT(Dong1),"",OFFSET(TH!F$1,SMALL(Dong1,ROWS($1:63)),))</f>
        <v>Mực in</v>
      </c>
      <c r="F76" s="123" t="str">
        <f ca="1">IF(ROWS($1:63)&gt;COUNT(Dong1),"",IF(OFFSET(TH!M$1,SMALL(Dong1,ROWS($1:63)),)="1111",OFFSET(TH!L$1,SMALL(Dong1,ROWS($1:63)),),OFFSET(TH!M$1,SMALL(Dong1,ROWS($1:63)),)))</f>
        <v>154</v>
      </c>
      <c r="G76" s="124">
        <f ca="1">IF(ROWS($1:63)&gt;COUNT(Dong1),"",IF(OFFSET(TH!L$1,SMALL(Dong1,ROWS($1:63)),)="1111",OFFSET(TH!K$1,SMALL(Dong1,ROWS($1:63)),),0))</f>
        <v>0</v>
      </c>
      <c r="H76" s="122">
        <f ca="1">IF(ROWS($1:63)&gt;COUNT(Dong1),"",IF(OFFSET(TH!M$1,SMALL(Dong1,ROWS($1:63)),)="1111",OFFSET(TH!K$1,SMALL(Dong1,ROWS($1:63)),),0))</f>
        <v>2120000</v>
      </c>
      <c r="I76" s="120">
        <f t="shared" ca="1" si="1"/>
        <v>1592782991</v>
      </c>
      <c r="J76" s="125"/>
    </row>
    <row r="77" spans="1:10" ht="21.75" customHeight="1">
      <c r="A77" s="119">
        <f ca="1">IF(ROWS($1:64)&gt;COUNT(Dong1),"",OFFSET(TH!C$1,SMALL(Dong1,ROWS($1:64)),))</f>
        <v>41615</v>
      </c>
      <c r="B77" s="119">
        <f ca="1">IF(ROWS($1:64)&gt;COUNT(Dong1),"",OFFSET(TH!E$1,SMALL(Dong1,ROWS($1:64)),))</f>
        <v>41615</v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>C26</v>
      </c>
      <c r="E77" s="224" t="str">
        <f ca="1">IF(ROWS($1:64)&gt;COUNT(Dong1),"",OFFSET(TH!F$1,SMALL(Dong1,ROWS($1:64)),))</f>
        <v>VAT Mực in</v>
      </c>
      <c r="F77" s="123" t="str">
        <f ca="1">IF(ROWS($1:64)&gt;COUNT(Dong1),"",IF(OFFSET(TH!M$1,SMALL(Dong1,ROWS($1:64)),)="1111",OFFSET(TH!L$1,SMALL(Dong1,ROWS($1:64)),),OFFSET(TH!M$1,SMALL(Dong1,ROWS($1:64)),)))</f>
        <v>1331</v>
      </c>
      <c r="G77" s="124">
        <f ca="1">IF(ROWS($1:64)&gt;COUNT(Dong1),"",IF(OFFSET(TH!L$1,SMALL(Dong1,ROWS($1:64)),)="1111",OFFSET(TH!K$1,SMALL(Dong1,ROWS($1:64)),),0))</f>
        <v>0</v>
      </c>
      <c r="H77" s="122">
        <f ca="1">IF(ROWS($1:64)&gt;COUNT(Dong1),"",IF(OFFSET(TH!M$1,SMALL(Dong1,ROWS($1:64)),)="1111",OFFSET(TH!K$1,SMALL(Dong1,ROWS($1:64)),),0))</f>
        <v>212000</v>
      </c>
      <c r="I77" s="120">
        <f t="shared" ca="1" si="1"/>
        <v>1592570991</v>
      </c>
      <c r="J77" s="125"/>
    </row>
    <row r="78" spans="1:10" ht="21.75" customHeight="1">
      <c r="A78" s="119">
        <f ca="1">IF(ROWS($1:65)&gt;COUNT(Dong1),"",OFFSET(TH!C$1,SMALL(Dong1,ROWS($1:65)),))</f>
        <v>41616</v>
      </c>
      <c r="B78" s="119">
        <f ca="1">IF(ROWS($1:65)&gt;COUNT(Dong1),"",OFFSET(TH!E$1,SMALL(Dong1,ROWS($1:65)),))</f>
        <v>41616</v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>C27</v>
      </c>
      <c r="E78" s="224" t="str">
        <f ca="1">IF(ROWS($1:65)&gt;COUNT(Dong1),"",OFFSET(TH!F$1,SMALL(Dong1,ROWS($1:65)),))</f>
        <v>Chi phí tiếp khách</v>
      </c>
      <c r="F78" s="123" t="str">
        <f ca="1">IF(ROWS($1:65)&gt;COUNT(Dong1),"",IF(OFFSET(TH!M$1,SMALL(Dong1,ROWS($1:65)),)="1111",OFFSET(TH!L$1,SMALL(Dong1,ROWS($1:65)),),OFFSET(TH!M$1,SMALL(Dong1,ROWS($1:65)),)))</f>
        <v>642</v>
      </c>
      <c r="G78" s="124">
        <f ca="1">IF(ROWS($1:65)&gt;COUNT(Dong1),"",IF(OFFSET(TH!L$1,SMALL(Dong1,ROWS($1:65)),)="1111",OFFSET(TH!K$1,SMALL(Dong1,ROWS($1:65)),),0))</f>
        <v>0</v>
      </c>
      <c r="H78" s="122">
        <f ca="1">IF(ROWS($1:65)&gt;COUNT(Dong1),"",IF(OFFSET(TH!M$1,SMALL(Dong1,ROWS($1:65)),)="1111",OFFSET(TH!K$1,SMALL(Dong1,ROWS($1:65)),),0))</f>
        <v>1413637</v>
      </c>
      <c r="I78" s="120">
        <f t="shared" ca="1" si="1"/>
        <v>1591157354</v>
      </c>
      <c r="J78" s="125"/>
    </row>
    <row r="79" spans="1:10" ht="21.75" customHeight="1">
      <c r="A79" s="119">
        <f ca="1">IF(ROWS($1:66)&gt;COUNT(Dong1),"",OFFSET(TH!C$1,SMALL(Dong1,ROWS($1:66)),))</f>
        <v>41616</v>
      </c>
      <c r="B79" s="119">
        <f ca="1">IF(ROWS($1:66)&gt;COUNT(Dong1),"",OFFSET(TH!E$1,SMALL(Dong1,ROWS($1:66)),))</f>
        <v>41616</v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>C27</v>
      </c>
      <c r="E79" s="224" t="str">
        <f ca="1">IF(ROWS($1:66)&gt;COUNT(Dong1),"",OFFSET(TH!F$1,SMALL(Dong1,ROWS($1:66)),))</f>
        <v>VAT Chi phí tiếp khách</v>
      </c>
      <c r="F79" s="123" t="str">
        <f ca="1">IF(ROWS($1:66)&gt;COUNT(Dong1),"",IF(OFFSET(TH!M$1,SMALL(Dong1,ROWS($1:66)),)="1111",OFFSET(TH!L$1,SMALL(Dong1,ROWS($1:66)),),OFFSET(TH!M$1,SMALL(Dong1,ROWS($1:66)),)))</f>
        <v>1331</v>
      </c>
      <c r="G79" s="124">
        <f ca="1">IF(ROWS($1:66)&gt;COUNT(Dong1),"",IF(OFFSET(TH!L$1,SMALL(Dong1,ROWS($1:66)),)="1111",OFFSET(TH!K$1,SMALL(Dong1,ROWS($1:66)),),0))</f>
        <v>0</v>
      </c>
      <c r="H79" s="122">
        <f ca="1">IF(ROWS($1:66)&gt;COUNT(Dong1),"",IF(OFFSET(TH!M$1,SMALL(Dong1,ROWS($1:66)),)="1111",OFFSET(TH!K$1,SMALL(Dong1,ROWS($1:66)),),0))</f>
        <v>141363</v>
      </c>
      <c r="I79" s="120">
        <f t="shared" ca="1" si="1"/>
        <v>1591015991</v>
      </c>
      <c r="J79" s="125"/>
    </row>
    <row r="80" spans="1:10" ht="21.75" customHeight="1">
      <c r="A80" s="119">
        <f ca="1">IF(ROWS($1:67)&gt;COUNT(Dong1),"",OFFSET(TH!C$1,SMALL(Dong1,ROWS($1:67)),))</f>
        <v>41617</v>
      </c>
      <c r="B80" s="119">
        <f ca="1">IF(ROWS($1:67)&gt;COUNT(Dong1),"",OFFSET(TH!E$1,SMALL(Dong1,ROWS($1:67)),))</f>
        <v>41617</v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>C28</v>
      </c>
      <c r="E80" s="224" t="str">
        <f ca="1">IF(ROWS($1:67)&gt;COUNT(Dong1),"",OFFSET(TH!F$1,SMALL(Dong1,ROWS($1:67)),))</f>
        <v>Thanh toán tiền hàng</v>
      </c>
      <c r="F80" s="123" t="str">
        <f ca="1">IF(ROWS($1:67)&gt;COUNT(Dong1),"",IF(OFFSET(TH!M$1,SMALL(Dong1,ROWS($1:67)),)="1111",OFFSET(TH!L$1,SMALL(Dong1,ROWS($1:67)),),OFFSET(TH!M$1,SMALL(Dong1,ROWS($1:67)),)))</f>
        <v>331</v>
      </c>
      <c r="G80" s="124">
        <f ca="1">IF(ROWS($1:67)&gt;COUNT(Dong1),"",IF(OFFSET(TH!L$1,SMALL(Dong1,ROWS($1:67)),)="1111",OFFSET(TH!K$1,SMALL(Dong1,ROWS($1:67)),),0))</f>
        <v>0</v>
      </c>
      <c r="H80" s="122">
        <f ca="1">IF(ROWS($1:67)&gt;COUNT(Dong1),"",IF(OFFSET(TH!M$1,SMALL(Dong1,ROWS($1:67)),)="1111",OFFSET(TH!K$1,SMALL(Dong1,ROWS($1:67)),),0))</f>
        <v>19705400</v>
      </c>
      <c r="I80" s="120">
        <f t="shared" ca="1" si="1"/>
        <v>1571310591</v>
      </c>
      <c r="J80" s="125"/>
    </row>
    <row r="81" spans="1:10" ht="21.75" customHeight="1">
      <c r="A81" s="119">
        <f ca="1">IF(ROWS($1:68)&gt;COUNT(Dong1),"",OFFSET(TH!C$1,SMALL(Dong1,ROWS($1:68)),))</f>
        <v>41618</v>
      </c>
      <c r="B81" s="119">
        <f ca="1">IF(ROWS($1:68)&gt;COUNT(Dong1),"",OFFSET(TH!E$1,SMALL(Dong1,ROWS($1:68)),))</f>
        <v>41618</v>
      </c>
      <c r="C81" s="120" t="str">
        <f ca="1">IF(ROWS($1:68)&gt;COUNT(Dong1),"",IF(OFFSET(TH!L$1,SMALL(Dong1,ROWS($1:68)),)="1111",OFFSET(TH!D$1,SMALL(Dong1,ROWS($1:68)),),""))</f>
        <v>T27</v>
      </c>
      <c r="D81" s="121" t="str">
        <f ca="1">IF(ROWS($1:68)&gt;COUNT(Dong1),"",IF(OFFSET(TH!M$1,SMALL(Dong1,ROWS($1:68)),)="1111",OFFSET(TH!D$1,SMALL(Dong1,ROWS($1:68)),),""))</f>
        <v/>
      </c>
      <c r="E81" s="224" t="str">
        <f ca="1">IF(ROWS($1:68)&gt;COUNT(Dong1),"",OFFSET(TH!F$1,SMALL(Dong1,ROWS($1:68)),))</f>
        <v>Chi sec nhập quỹ tiền mặt</v>
      </c>
      <c r="F81" s="123" t="str">
        <f ca="1">IF(ROWS($1:68)&gt;COUNT(Dong1),"",IF(OFFSET(TH!M$1,SMALL(Dong1,ROWS($1:68)),)="1111",OFFSET(TH!L$1,SMALL(Dong1,ROWS($1:68)),),OFFSET(TH!M$1,SMALL(Dong1,ROWS($1:68)),)))</f>
        <v>1121</v>
      </c>
      <c r="G81" s="124">
        <f ca="1">IF(ROWS($1:68)&gt;COUNT(Dong1),"",IF(OFFSET(TH!L$1,SMALL(Dong1,ROWS($1:68)),)="1111",OFFSET(TH!K$1,SMALL(Dong1,ROWS($1:68)),),0))</f>
        <v>65800000</v>
      </c>
      <c r="H81" s="122">
        <f ca="1">IF(ROWS($1:68)&gt;COUNT(Dong1),"",IF(OFFSET(TH!M$1,SMALL(Dong1,ROWS($1:68)),)="1111",OFFSET(TH!K$1,SMALL(Dong1,ROWS($1:68)),),0))</f>
        <v>0</v>
      </c>
      <c r="I81" s="120">
        <f t="shared" ref="I81:I94" ca="1" si="2">IF(E81&lt;&gt;"",I80+G81-H81,0)</f>
        <v>1637110591</v>
      </c>
      <c r="J81" s="125"/>
    </row>
    <row r="82" spans="1:10" ht="21.75" customHeight="1">
      <c r="A82" s="119">
        <f ca="1">IF(ROWS($1:69)&gt;COUNT(Dong1),"",OFFSET(TH!C$1,SMALL(Dong1,ROWS($1:69)),))</f>
        <v>41621</v>
      </c>
      <c r="B82" s="119">
        <f ca="1">IF(ROWS($1:69)&gt;COUNT(Dong1),"",OFFSET(TH!E$1,SMALL(Dong1,ROWS($1:69)),))</f>
        <v>41621</v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>C29</v>
      </c>
      <c r="E82" s="224" t="str">
        <f ca="1">IF(ROWS($1:69)&gt;COUNT(Dong1),"",OFFSET(TH!F$1,SMALL(Dong1,ROWS($1:69)),))</f>
        <v>Thanh toán tiền hàng</v>
      </c>
      <c r="F82" s="123" t="str">
        <f ca="1">IF(ROWS($1:69)&gt;COUNT(Dong1),"",IF(OFFSET(TH!M$1,SMALL(Dong1,ROWS($1:69)),)="1111",OFFSET(TH!L$1,SMALL(Dong1,ROWS($1:69)),),OFFSET(TH!M$1,SMALL(Dong1,ROWS($1:69)),)))</f>
        <v>331</v>
      </c>
      <c r="G82" s="124">
        <f ca="1">IF(ROWS($1:69)&gt;COUNT(Dong1),"",IF(OFFSET(TH!L$1,SMALL(Dong1,ROWS($1:69)),)="1111",OFFSET(TH!K$1,SMALL(Dong1,ROWS($1:69)),),0))</f>
        <v>0</v>
      </c>
      <c r="H82" s="122">
        <f ca="1">IF(ROWS($1:69)&gt;COUNT(Dong1),"",IF(OFFSET(TH!M$1,SMALL(Dong1,ROWS($1:69)),)="1111",OFFSET(TH!K$1,SMALL(Dong1,ROWS($1:69)),),0))</f>
        <v>19940316</v>
      </c>
      <c r="I82" s="120">
        <f t="shared" ca="1" si="2"/>
        <v>1617170275</v>
      </c>
      <c r="J82" s="125"/>
    </row>
    <row r="83" spans="1:10" ht="21.75" customHeight="1">
      <c r="A83" s="119">
        <f ca="1">IF(ROWS($1:70)&gt;COUNT(Dong1),"",OFFSET(TH!C$1,SMALL(Dong1,ROWS($1:70)),))</f>
        <v>41624</v>
      </c>
      <c r="B83" s="119">
        <f ca="1">IF(ROWS($1:70)&gt;COUNT(Dong1),"",OFFSET(TH!E$1,SMALL(Dong1,ROWS($1:70)),))</f>
        <v>41624</v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>C30</v>
      </c>
      <c r="E83" s="224" t="str">
        <f ca="1">IF(ROWS($1:70)&gt;COUNT(Dong1),"",OFFSET(TH!F$1,SMALL(Dong1,ROWS($1:70)),))</f>
        <v>Thanh toán tiền hàng</v>
      </c>
      <c r="F83" s="123" t="str">
        <f ca="1">IF(ROWS($1:70)&gt;COUNT(Dong1),"",IF(OFFSET(TH!M$1,SMALL(Dong1,ROWS($1:70)),)="1111",OFFSET(TH!L$1,SMALL(Dong1,ROWS($1:70)),),OFFSET(TH!M$1,SMALL(Dong1,ROWS($1:70)),)))</f>
        <v>331</v>
      </c>
      <c r="G83" s="124">
        <f ca="1">IF(ROWS($1:70)&gt;COUNT(Dong1),"",IF(OFFSET(TH!L$1,SMALL(Dong1,ROWS($1:70)),)="1111",OFFSET(TH!K$1,SMALL(Dong1,ROWS($1:70)),),0))</f>
        <v>0</v>
      </c>
      <c r="H83" s="122">
        <f ca="1">IF(ROWS($1:70)&gt;COUNT(Dong1),"",IF(OFFSET(TH!M$1,SMALL(Dong1,ROWS($1:70)),)="1111",OFFSET(TH!K$1,SMALL(Dong1,ROWS($1:70)),),0))</f>
        <v>19896030</v>
      </c>
      <c r="I83" s="120">
        <f t="shared" ca="1" si="2"/>
        <v>1597274245</v>
      </c>
      <c r="J83" s="125"/>
    </row>
    <row r="84" spans="1:10" ht="21.75" customHeight="1">
      <c r="A84" s="119">
        <f ca="1">IF(ROWS($1:71)&gt;COUNT(Dong1),"",OFFSET(TH!C$1,SMALL(Dong1,ROWS($1:71)),))</f>
        <v>41625</v>
      </c>
      <c r="B84" s="119">
        <f ca="1">IF(ROWS($1:71)&gt;COUNT(Dong1),"",OFFSET(TH!E$1,SMALL(Dong1,ROWS($1:71)),))</f>
        <v>41625</v>
      </c>
      <c r="C84" s="120" t="str">
        <f ca="1">IF(ROWS($1:71)&gt;COUNT(Dong1),"",IF(OFFSET(TH!L$1,SMALL(Dong1,ROWS($1:71)),)="1111",OFFSET(TH!D$1,SMALL(Dong1,ROWS($1:71)),),""))</f>
        <v>T28</v>
      </c>
      <c r="D84" s="121" t="str">
        <f ca="1">IF(ROWS($1:71)&gt;COUNT(Dong1),"",IF(OFFSET(TH!M$1,SMALL(Dong1,ROWS($1:71)),)="1111",OFFSET(TH!D$1,SMALL(Dong1,ROWS($1:71)),),""))</f>
        <v/>
      </c>
      <c r="E84" s="224" t="str">
        <f ca="1">IF(ROWS($1:71)&gt;COUNT(Dong1),"",OFFSET(TH!F$1,SMALL(Dong1,ROWS($1:71)),))</f>
        <v>Chi sec nhập quỹ tiền mặt</v>
      </c>
      <c r="F84" s="123" t="str">
        <f ca="1">IF(ROWS($1:71)&gt;COUNT(Dong1),"",IF(OFFSET(TH!M$1,SMALL(Dong1,ROWS($1:71)),)="1111",OFFSET(TH!L$1,SMALL(Dong1,ROWS($1:71)),),OFFSET(TH!M$1,SMALL(Dong1,ROWS($1:71)),)))</f>
        <v>1121</v>
      </c>
      <c r="G84" s="124">
        <f ca="1">IF(ROWS($1:71)&gt;COUNT(Dong1),"",IF(OFFSET(TH!L$1,SMALL(Dong1,ROWS($1:71)),)="1111",OFFSET(TH!K$1,SMALL(Dong1,ROWS($1:71)),),0))</f>
        <v>42000000</v>
      </c>
      <c r="H84" s="122">
        <f ca="1">IF(ROWS($1:71)&gt;COUNT(Dong1),"",IF(OFFSET(TH!M$1,SMALL(Dong1,ROWS($1:71)),)="1111",OFFSET(TH!K$1,SMALL(Dong1,ROWS($1:71)),),0))</f>
        <v>0</v>
      </c>
      <c r="I84" s="120">
        <f t="shared" ca="1" si="2"/>
        <v>1639274245</v>
      </c>
      <c r="J84" s="125"/>
    </row>
    <row r="85" spans="1:10" ht="21.75" customHeight="1">
      <c r="A85" s="119">
        <f ca="1">IF(ROWS($1:72)&gt;COUNT(Dong1),"",OFFSET(TH!C$1,SMALL(Dong1,ROWS($1:72)),))</f>
        <v>41625</v>
      </c>
      <c r="B85" s="119">
        <f ca="1">IF(ROWS($1:72)&gt;COUNT(Dong1),"",OFFSET(TH!E$1,SMALL(Dong1,ROWS($1:72)),))</f>
        <v>41625</v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>C31</v>
      </c>
      <c r="E85" s="224" t="str">
        <f ca="1">IF(ROWS($1:72)&gt;COUNT(Dong1),"",OFFSET(TH!F$1,SMALL(Dong1,ROWS($1:72)),))</f>
        <v>Thanh toán tiền hàng</v>
      </c>
      <c r="F85" s="123" t="str">
        <f ca="1">IF(ROWS($1:72)&gt;COUNT(Dong1),"",IF(OFFSET(TH!M$1,SMALL(Dong1,ROWS($1:72)),)="1111",OFFSET(TH!L$1,SMALL(Dong1,ROWS($1:72)),),OFFSET(TH!M$1,SMALL(Dong1,ROWS($1:72)),)))</f>
        <v>331</v>
      </c>
      <c r="G85" s="124">
        <f ca="1">IF(ROWS($1:72)&gt;COUNT(Dong1),"",IF(OFFSET(TH!L$1,SMALL(Dong1,ROWS($1:72)),)="1111",OFFSET(TH!K$1,SMALL(Dong1,ROWS($1:72)),),0))</f>
        <v>0</v>
      </c>
      <c r="H85" s="122">
        <f ca="1">IF(ROWS($1:72)&gt;COUNT(Dong1),"",IF(OFFSET(TH!M$1,SMALL(Dong1,ROWS($1:72)),)="1111",OFFSET(TH!K$1,SMALL(Dong1,ROWS($1:72)),),0))</f>
        <v>1925000</v>
      </c>
      <c r="I85" s="120">
        <f t="shared" ca="1" si="2"/>
        <v>1637349245</v>
      </c>
      <c r="J85" s="125"/>
    </row>
    <row r="86" spans="1:10" ht="21.75" customHeight="1">
      <c r="A86" s="119">
        <f ca="1">IF(ROWS($1:73)&gt;COUNT(Dong1),"",OFFSET(TH!C$1,SMALL(Dong1,ROWS($1:73)),))</f>
        <v>41625</v>
      </c>
      <c r="B86" s="119">
        <f ca="1">IF(ROWS($1:73)&gt;COUNT(Dong1),"",OFFSET(TH!E$1,SMALL(Dong1,ROWS($1:73)),))</f>
        <v>41625</v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>C32</v>
      </c>
      <c r="E86" s="224" t="str">
        <f ca="1">IF(ROWS($1:73)&gt;COUNT(Dong1),"",OFFSET(TH!F$1,SMALL(Dong1,ROWS($1:73)),))</f>
        <v>Mực in</v>
      </c>
      <c r="F86" s="123" t="str">
        <f ca="1">IF(ROWS($1:73)&gt;COUNT(Dong1),"",IF(OFFSET(TH!M$1,SMALL(Dong1,ROWS($1:73)),)="1111",OFFSET(TH!L$1,SMALL(Dong1,ROWS($1:73)),),OFFSET(TH!M$1,SMALL(Dong1,ROWS($1:73)),)))</f>
        <v>154</v>
      </c>
      <c r="G86" s="124">
        <f ca="1">IF(ROWS($1:73)&gt;COUNT(Dong1),"",IF(OFFSET(TH!L$1,SMALL(Dong1,ROWS($1:73)),)="1111",OFFSET(TH!K$1,SMALL(Dong1,ROWS($1:73)),),0))</f>
        <v>0</v>
      </c>
      <c r="H86" s="122">
        <f ca="1">IF(ROWS($1:73)&gt;COUNT(Dong1),"",IF(OFFSET(TH!M$1,SMALL(Dong1,ROWS($1:73)),)="1111",OFFSET(TH!K$1,SMALL(Dong1,ROWS($1:73)),),0))</f>
        <v>2850000</v>
      </c>
      <c r="I86" s="120">
        <f t="shared" ca="1" si="2"/>
        <v>1634499245</v>
      </c>
      <c r="J86" s="125"/>
    </row>
    <row r="87" spans="1:10" ht="21.75" customHeight="1">
      <c r="A87" s="119">
        <f ca="1">IF(ROWS($1:74)&gt;COUNT(Dong1),"",OFFSET(TH!C$1,SMALL(Dong1,ROWS($1:74)),))</f>
        <v>41625</v>
      </c>
      <c r="B87" s="119">
        <f ca="1">IF(ROWS($1:74)&gt;COUNT(Dong1),"",OFFSET(TH!E$1,SMALL(Dong1,ROWS($1:74)),))</f>
        <v>41625</v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>C32</v>
      </c>
      <c r="E87" s="224" t="str">
        <f ca="1">IF(ROWS($1:74)&gt;COUNT(Dong1),"",OFFSET(TH!F$1,SMALL(Dong1,ROWS($1:74)),))</f>
        <v>VAT Mực in</v>
      </c>
      <c r="F87" s="123" t="str">
        <f ca="1">IF(ROWS($1:74)&gt;COUNT(Dong1),"",IF(OFFSET(TH!M$1,SMALL(Dong1,ROWS($1:74)),)="1111",OFFSET(TH!L$1,SMALL(Dong1,ROWS($1:74)),),OFFSET(TH!M$1,SMALL(Dong1,ROWS($1:74)),)))</f>
        <v>1331</v>
      </c>
      <c r="G87" s="124">
        <f ca="1">IF(ROWS($1:74)&gt;COUNT(Dong1),"",IF(OFFSET(TH!L$1,SMALL(Dong1,ROWS($1:74)),)="1111",OFFSET(TH!K$1,SMALL(Dong1,ROWS($1:74)),),0))</f>
        <v>0</v>
      </c>
      <c r="H87" s="122">
        <f ca="1">IF(ROWS($1:74)&gt;COUNT(Dong1),"",IF(OFFSET(TH!M$1,SMALL(Dong1,ROWS($1:74)),)="1111",OFFSET(TH!K$1,SMALL(Dong1,ROWS($1:74)),),0))</f>
        <v>285000</v>
      </c>
      <c r="I87" s="120">
        <f t="shared" ca="1" si="2"/>
        <v>1634214245</v>
      </c>
      <c r="J87" s="125"/>
    </row>
    <row r="88" spans="1:10" ht="21.75" customHeight="1">
      <c r="A88" s="119">
        <f ca="1">IF(ROWS($1:75)&gt;COUNT(Dong1),"",OFFSET(TH!C$1,SMALL(Dong1,ROWS($1:75)),))</f>
        <v>41626</v>
      </c>
      <c r="B88" s="119">
        <f ca="1">IF(ROWS($1:75)&gt;COUNT(Dong1),"",OFFSET(TH!E$1,SMALL(Dong1,ROWS($1:75)),))</f>
        <v>41626</v>
      </c>
      <c r="C88" s="120" t="str">
        <f ca="1">IF(ROWS($1:75)&gt;COUNT(Dong1),"",IF(OFFSET(TH!L$1,SMALL(Dong1,ROWS($1:75)),)="1111",OFFSET(TH!D$1,SMALL(Dong1,ROWS($1:75)),),""))</f>
        <v>T29</v>
      </c>
      <c r="D88" s="121" t="str">
        <f ca="1">IF(ROWS($1:75)&gt;COUNT(Dong1),"",IF(OFFSET(TH!M$1,SMALL(Dong1,ROWS($1:75)),)="1111",OFFSET(TH!D$1,SMALL(Dong1,ROWS($1:75)),),""))</f>
        <v/>
      </c>
      <c r="E88" s="224" t="str">
        <f ca="1">IF(ROWS($1:75)&gt;COUNT(Dong1),"",OFFSET(TH!F$1,SMALL(Dong1,ROWS($1:75)),))</f>
        <v>Thu tiền hàng</v>
      </c>
      <c r="F88" s="123" t="str">
        <f ca="1">IF(ROWS($1:75)&gt;COUNT(Dong1),"",IF(OFFSET(TH!M$1,SMALL(Dong1,ROWS($1:75)),)="1111",OFFSET(TH!L$1,SMALL(Dong1,ROWS($1:75)),),OFFSET(TH!M$1,SMALL(Dong1,ROWS($1:75)),)))</f>
        <v>131</v>
      </c>
      <c r="G88" s="124">
        <f ca="1">IF(ROWS($1:75)&gt;COUNT(Dong1),"",IF(OFFSET(TH!L$1,SMALL(Dong1,ROWS($1:75)),)="1111",OFFSET(TH!K$1,SMALL(Dong1,ROWS($1:75)),),0))</f>
        <v>17382750</v>
      </c>
      <c r="H88" s="122">
        <f ca="1">IF(ROWS($1:75)&gt;COUNT(Dong1),"",IF(OFFSET(TH!M$1,SMALL(Dong1,ROWS($1:75)),)="1111",OFFSET(TH!K$1,SMALL(Dong1,ROWS($1:75)),),0))</f>
        <v>0</v>
      </c>
      <c r="I88" s="120">
        <f t="shared" ca="1" si="2"/>
        <v>1651596995</v>
      </c>
      <c r="J88" s="125"/>
    </row>
    <row r="89" spans="1:10" ht="21.75" customHeight="1">
      <c r="A89" s="119">
        <f ca="1">IF(ROWS($1:76)&gt;COUNT(Dong1),"",OFFSET(TH!C$1,SMALL(Dong1,ROWS($1:76)),))</f>
        <v>41628</v>
      </c>
      <c r="B89" s="119">
        <f ca="1">IF(ROWS($1:76)&gt;COUNT(Dong1),"",OFFSET(TH!E$1,SMALL(Dong1,ROWS($1:76)),))</f>
        <v>41628</v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>C33</v>
      </c>
      <c r="E89" s="224" t="str">
        <f ca="1">IF(ROWS($1:76)&gt;COUNT(Dong1),"",OFFSET(TH!F$1,SMALL(Dong1,ROWS($1:76)),))</f>
        <v>Thanh toán tiền hàng</v>
      </c>
      <c r="F89" s="123" t="str">
        <f ca="1">IF(ROWS($1:76)&gt;COUNT(Dong1),"",IF(OFFSET(TH!M$1,SMALL(Dong1,ROWS($1:76)),)="1111",OFFSET(TH!L$1,SMALL(Dong1,ROWS($1:76)),),OFFSET(TH!M$1,SMALL(Dong1,ROWS($1:76)),)))</f>
        <v>331</v>
      </c>
      <c r="G89" s="124">
        <f ca="1">IF(ROWS($1:76)&gt;COUNT(Dong1),"",IF(OFFSET(TH!L$1,SMALL(Dong1,ROWS($1:76)),)="1111",OFFSET(TH!K$1,SMALL(Dong1,ROWS($1:76)),),0))</f>
        <v>0</v>
      </c>
      <c r="H89" s="122">
        <f ca="1">IF(ROWS($1:76)&gt;COUNT(Dong1),"",IF(OFFSET(TH!M$1,SMALL(Dong1,ROWS($1:76)),)="1111",OFFSET(TH!K$1,SMALL(Dong1,ROWS($1:76)),),0))</f>
        <v>19786536</v>
      </c>
      <c r="I89" s="120">
        <f t="shared" ca="1" si="2"/>
        <v>1631810459</v>
      </c>
      <c r="J89" s="125"/>
    </row>
    <row r="90" spans="1:10" ht="21.75" customHeight="1">
      <c r="A90" s="119">
        <f ca="1">IF(ROWS($1:77)&gt;COUNT(Dong1),"",OFFSET(TH!C$1,SMALL(Dong1,ROWS($1:77)),))</f>
        <v>41629</v>
      </c>
      <c r="B90" s="119">
        <f ca="1">IF(ROWS($1:77)&gt;COUNT(Dong1),"",OFFSET(TH!E$1,SMALL(Dong1,ROWS($1:77)),))</f>
        <v>41629</v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>C34</v>
      </c>
      <c r="E90" s="224" t="str">
        <f ca="1">IF(ROWS($1:77)&gt;COUNT(Dong1),"",OFFSET(TH!F$1,SMALL(Dong1,ROWS($1:77)),))</f>
        <v>Thanh toán tiền hàng</v>
      </c>
      <c r="F90" s="123" t="str">
        <f ca="1">IF(ROWS($1:77)&gt;COUNT(Dong1),"",IF(OFFSET(TH!M$1,SMALL(Dong1,ROWS($1:77)),)="1111",OFFSET(TH!L$1,SMALL(Dong1,ROWS($1:77)),),OFFSET(TH!M$1,SMALL(Dong1,ROWS($1:77)),)))</f>
        <v>331</v>
      </c>
      <c r="G90" s="124">
        <f ca="1">IF(ROWS($1:77)&gt;COUNT(Dong1),"",IF(OFFSET(TH!L$1,SMALL(Dong1,ROWS($1:77)),)="1111",OFFSET(TH!K$1,SMALL(Dong1,ROWS($1:77)),),0))</f>
        <v>0</v>
      </c>
      <c r="H90" s="122">
        <f ca="1">IF(ROWS($1:77)&gt;COUNT(Dong1),"",IF(OFFSET(TH!M$1,SMALL(Dong1,ROWS($1:77)),)="1111",OFFSET(TH!K$1,SMALL(Dong1,ROWS($1:77)),),0))</f>
        <v>18288600</v>
      </c>
      <c r="I90" s="120">
        <f t="shared" ca="1" si="2"/>
        <v>1613521859</v>
      </c>
      <c r="J90" s="125"/>
    </row>
    <row r="91" spans="1:10" ht="21.75" customHeight="1">
      <c r="A91" s="119">
        <f ca="1">IF(ROWS($1:78)&gt;COUNT(Dong1),"",OFFSET(TH!C$1,SMALL(Dong1,ROWS($1:78)),))</f>
        <v>41631</v>
      </c>
      <c r="B91" s="119">
        <f ca="1">IF(ROWS($1:78)&gt;COUNT(Dong1),"",OFFSET(TH!E$1,SMALL(Dong1,ROWS($1:78)),))</f>
        <v>41631</v>
      </c>
      <c r="C91" s="120" t="str">
        <f ca="1">IF(ROWS($1:78)&gt;COUNT(Dong1),"",IF(OFFSET(TH!L$1,SMALL(Dong1,ROWS($1:78)),)="1111",OFFSET(TH!D$1,SMALL(Dong1,ROWS($1:78)),),""))</f>
        <v>T30</v>
      </c>
      <c r="D91" s="121" t="str">
        <f ca="1">IF(ROWS($1:78)&gt;COUNT(Dong1),"",IF(OFFSET(TH!M$1,SMALL(Dong1,ROWS($1:78)),)="1111",OFFSET(TH!D$1,SMALL(Dong1,ROWS($1:78)),),""))</f>
        <v/>
      </c>
      <c r="E91" s="224" t="str">
        <f ca="1">IF(ROWS($1:78)&gt;COUNT(Dong1),"",OFFSET(TH!F$1,SMALL(Dong1,ROWS($1:78)),))</f>
        <v>Thu tiền hàng</v>
      </c>
      <c r="F91" s="123" t="str">
        <f ca="1">IF(ROWS($1:78)&gt;COUNT(Dong1),"",IF(OFFSET(TH!M$1,SMALL(Dong1,ROWS($1:78)),)="1111",OFFSET(TH!L$1,SMALL(Dong1,ROWS($1:78)),),OFFSET(TH!M$1,SMALL(Dong1,ROWS($1:78)),)))</f>
        <v>131</v>
      </c>
      <c r="G91" s="124">
        <f ca="1">IF(ROWS($1:78)&gt;COUNT(Dong1),"",IF(OFFSET(TH!L$1,SMALL(Dong1,ROWS($1:78)),)="1111",OFFSET(TH!K$1,SMALL(Dong1,ROWS($1:78)),),0))</f>
        <v>7818800</v>
      </c>
      <c r="H91" s="122">
        <f ca="1">IF(ROWS($1:78)&gt;COUNT(Dong1),"",IF(OFFSET(TH!M$1,SMALL(Dong1,ROWS($1:78)),)="1111",OFFSET(TH!K$1,SMALL(Dong1,ROWS($1:78)),),0))</f>
        <v>0</v>
      </c>
      <c r="I91" s="120">
        <f t="shared" ca="1" si="2"/>
        <v>1621340659</v>
      </c>
      <c r="J91" s="125"/>
    </row>
    <row r="92" spans="1:10" ht="21.75" customHeight="1">
      <c r="A92" s="119">
        <f ca="1">IF(ROWS($1:79)&gt;COUNT(Dong1),"",OFFSET(TH!C$1,SMALL(Dong1,ROWS($1:79)),))</f>
        <v>41635</v>
      </c>
      <c r="B92" s="119">
        <f ca="1">IF(ROWS($1:79)&gt;COUNT(Dong1),"",OFFSET(TH!E$1,SMALL(Dong1,ROWS($1:79)),))</f>
        <v>41635</v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>C35</v>
      </c>
      <c r="E92" s="224" t="str">
        <f ca="1">IF(ROWS($1:79)&gt;COUNT(Dong1),"",OFFSET(TH!F$1,SMALL(Dong1,ROWS($1:79)),))</f>
        <v>Thanh toán tiền hàng</v>
      </c>
      <c r="F92" s="123" t="str">
        <f ca="1">IF(ROWS($1:79)&gt;COUNT(Dong1),"",IF(OFFSET(TH!M$1,SMALL(Dong1,ROWS($1:79)),)="1111",OFFSET(TH!L$1,SMALL(Dong1,ROWS($1:79)),),OFFSET(TH!M$1,SMALL(Dong1,ROWS($1:79)),)))</f>
        <v>331</v>
      </c>
      <c r="G92" s="124">
        <f ca="1">IF(ROWS($1:79)&gt;COUNT(Dong1),"",IF(OFFSET(TH!L$1,SMALL(Dong1,ROWS($1:79)),)="1111",OFFSET(TH!K$1,SMALL(Dong1,ROWS($1:79)),),0))</f>
        <v>0</v>
      </c>
      <c r="H92" s="122">
        <f ca="1">IF(ROWS($1:79)&gt;COUNT(Dong1),"",IF(OFFSET(TH!M$1,SMALL(Dong1,ROWS($1:79)),)="1111",OFFSET(TH!K$1,SMALL(Dong1,ROWS($1:79)),),0))</f>
        <v>19867518</v>
      </c>
      <c r="I92" s="120">
        <f t="shared" ca="1" si="2"/>
        <v>1601473141</v>
      </c>
      <c r="J92" s="125"/>
    </row>
    <row r="93" spans="1:10" ht="21.75" customHeight="1">
      <c r="A93" s="119">
        <f ca="1">IF(ROWS($1:80)&gt;COUNT(Dong1),"",OFFSET(TH!C$1,SMALL(Dong1,ROWS($1:80)),))</f>
        <v>41635</v>
      </c>
      <c r="B93" s="119">
        <f ca="1">IF(ROWS($1:80)&gt;COUNT(Dong1),"",OFFSET(TH!E$1,SMALL(Dong1,ROWS($1:80)),))</f>
        <v>41635</v>
      </c>
      <c r="C93" s="120" t="str">
        <f ca="1">IF(ROWS($1:80)&gt;COUNT(Dong1),"",IF(OFFSET(TH!L$1,SMALL(Dong1,ROWS($1:80)),)="1111",OFFSET(TH!D$1,SMALL(Dong1,ROWS($1:80)),),""))</f>
        <v>T31</v>
      </c>
      <c r="D93" s="121" t="str">
        <f ca="1">IF(ROWS($1:80)&gt;COUNT(Dong1),"",IF(OFFSET(TH!M$1,SMALL(Dong1,ROWS($1:80)),)="1111",OFFSET(TH!D$1,SMALL(Dong1,ROWS($1:80)),),""))</f>
        <v/>
      </c>
      <c r="E93" s="224" t="str">
        <f ca="1">IF(ROWS($1:80)&gt;COUNT(Dong1),"",OFFSET(TH!F$1,SMALL(Dong1,ROWS($1:80)),))</f>
        <v>Thu tiền hàng</v>
      </c>
      <c r="F93" s="123" t="str">
        <f ca="1">IF(ROWS($1:80)&gt;COUNT(Dong1),"",IF(OFFSET(TH!M$1,SMALL(Dong1,ROWS($1:80)),)="1111",OFFSET(TH!L$1,SMALL(Dong1,ROWS($1:80)),),OFFSET(TH!M$1,SMALL(Dong1,ROWS($1:80)),)))</f>
        <v>131</v>
      </c>
      <c r="G93" s="124">
        <f ca="1">IF(ROWS($1:80)&gt;COUNT(Dong1),"",IF(OFFSET(TH!L$1,SMALL(Dong1,ROWS($1:80)),)="1111",OFFSET(TH!K$1,SMALL(Dong1,ROWS($1:80)),),0))</f>
        <v>13853400</v>
      </c>
      <c r="H93" s="122">
        <f ca="1">IF(ROWS($1:80)&gt;COUNT(Dong1),"",IF(OFFSET(TH!M$1,SMALL(Dong1,ROWS($1:80)),)="1111",OFFSET(TH!K$1,SMALL(Dong1,ROWS($1:80)),),0))</f>
        <v>0</v>
      </c>
      <c r="I93" s="120">
        <f t="shared" ca="1" si="2"/>
        <v>1615326541</v>
      </c>
      <c r="J93" s="125"/>
    </row>
    <row r="94" spans="1:10" ht="21.75" customHeight="1">
      <c r="A94" s="119">
        <f ca="1">IF(ROWS($1:81)&gt;COUNT(Dong1),"",OFFSET(TH!C$1,SMALL(Dong1,ROWS($1:81)),))</f>
        <v>41636</v>
      </c>
      <c r="B94" s="119">
        <f ca="1">IF(ROWS($1:81)&gt;COUNT(Dong1),"",OFFSET(TH!E$1,SMALL(Dong1,ROWS($1:81)),))</f>
        <v>41636</v>
      </c>
      <c r="C94" s="120" t="str">
        <f ca="1">IF(ROWS($1:81)&gt;COUNT(Dong1),"",IF(OFFSET(TH!L$1,SMALL(Dong1,ROWS($1:81)),)="1111",OFFSET(TH!D$1,SMALL(Dong1,ROWS($1:81)),),""))</f>
        <v>T32</v>
      </c>
      <c r="D94" s="121" t="str">
        <f ca="1">IF(ROWS($1:81)&gt;COUNT(Dong1),"",IF(OFFSET(TH!M$1,SMALL(Dong1,ROWS($1:81)),)="1111",OFFSET(TH!D$1,SMALL(Dong1,ROWS($1:81)),),""))</f>
        <v/>
      </c>
      <c r="E94" s="224" t="str">
        <f ca="1">IF(ROWS($1:81)&gt;COUNT(Dong1),"",OFFSET(TH!F$1,SMALL(Dong1,ROWS($1:81)),))</f>
        <v>Thu tiền hàng</v>
      </c>
      <c r="F94" s="123" t="str">
        <f ca="1">IF(ROWS($1:81)&gt;COUNT(Dong1),"",IF(OFFSET(TH!M$1,SMALL(Dong1,ROWS($1:81)),)="1111",OFFSET(TH!L$1,SMALL(Dong1,ROWS($1:81)),),OFFSET(TH!M$1,SMALL(Dong1,ROWS($1:81)),)))</f>
        <v>131</v>
      </c>
      <c r="G94" s="124">
        <f ca="1">IF(ROWS($1:81)&gt;COUNT(Dong1),"",IF(OFFSET(TH!L$1,SMALL(Dong1,ROWS($1:81)),)="1111",OFFSET(TH!K$1,SMALL(Dong1,ROWS($1:81)),),0))</f>
        <v>7314670</v>
      </c>
      <c r="H94" s="122">
        <f ca="1">IF(ROWS($1:81)&gt;COUNT(Dong1),"",IF(OFFSET(TH!M$1,SMALL(Dong1,ROWS($1:81)),)="1111",OFFSET(TH!K$1,SMALL(Dong1,ROWS($1:81)),),0))</f>
        <v>0</v>
      </c>
      <c r="I94" s="120">
        <f t="shared" ca="1" si="2"/>
        <v>1622641211</v>
      </c>
      <c r="J94" s="125"/>
    </row>
    <row r="95" spans="1:10" ht="21.75" customHeight="1">
      <c r="A95" s="119">
        <f ca="1">IF(ROWS($1:82)&gt;COUNT(Dong1),"",OFFSET(TH!C$1,SMALL(Dong1,ROWS($1:82)),))</f>
        <v>41639</v>
      </c>
      <c r="B95" s="119">
        <f ca="1">IF(ROWS($1:82)&gt;COUNT(Dong1),"",OFFSET(TH!E$1,SMALL(Dong1,ROWS($1:82)),))</f>
        <v>41639</v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>C36</v>
      </c>
      <c r="E95" s="224" t="str">
        <f ca="1">IF(ROWS($1:82)&gt;COUNT(Dong1),"",OFFSET(TH!F$1,SMALL(Dong1,ROWS($1:82)),))</f>
        <v>Thanh toán tiền lương tháng 12/2013</v>
      </c>
      <c r="F95" s="123" t="str">
        <f ca="1">IF(ROWS($1:82)&gt;COUNT(Dong1),"",IF(OFFSET(TH!M$1,SMALL(Dong1,ROWS($1:82)),)="1111",OFFSET(TH!L$1,SMALL(Dong1,ROWS($1:82)),),OFFSET(TH!M$1,SMALL(Dong1,ROWS($1:82)),)))</f>
        <v>3341</v>
      </c>
      <c r="G95" s="124">
        <f ca="1">IF(ROWS($1:82)&gt;COUNT(Dong1),"",IF(OFFSET(TH!L$1,SMALL(Dong1,ROWS($1:82)),)="1111",OFFSET(TH!K$1,SMALL(Dong1,ROWS($1:82)),),0))</f>
        <v>0</v>
      </c>
      <c r="H95" s="122">
        <f ca="1">IF(ROWS($1:82)&gt;COUNT(Dong1),"",IF(OFFSET(TH!M$1,SMALL(Dong1,ROWS($1:82)),)="1111",OFFSET(TH!K$1,SMALL(Dong1,ROWS($1:82)),),0))</f>
        <v>13450000</v>
      </c>
      <c r="I95" s="120">
        <f t="shared" ref="I95:I99" ca="1" si="3">IF(E95&lt;&gt;"",I94+G95-H95,0)</f>
        <v>1609191211</v>
      </c>
      <c r="J95" s="125"/>
    </row>
    <row r="96" spans="1:10" ht="21.75" customHeight="1">
      <c r="A96" s="119">
        <f ca="1">IF(ROWS($1:83)&gt;COUNT(Dong1),"",OFFSET(TH!C$1,SMALL(Dong1,ROWS($1:83)),))</f>
        <v>41639</v>
      </c>
      <c r="B96" s="119">
        <f ca="1">IF(ROWS($1:83)&gt;COUNT(Dong1),"",OFFSET(TH!E$1,SMALL(Dong1,ROWS($1:83)),))</f>
        <v>41639</v>
      </c>
      <c r="C96" s="120" t="str">
        <f ca="1">IF(ROWS($1:83)&gt;COUNT(Dong1),"",IF(OFFSET(TH!L$1,SMALL(Dong1,ROWS($1:83)),)="1111",OFFSET(TH!D$1,SMALL(Dong1,ROWS($1:83)),),""))</f>
        <v>T33</v>
      </c>
      <c r="D96" s="121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Chi sec nhập quỹ tiền mặt</v>
      </c>
      <c r="F96" s="123" t="str">
        <f ca="1">IF(ROWS($1:83)&gt;COUNT(Dong1),"",IF(OFFSET(TH!M$1,SMALL(Dong1,ROWS($1:83)),)="1111",OFFSET(TH!L$1,SMALL(Dong1,ROWS($1:83)),),OFFSET(TH!M$1,SMALL(Dong1,ROWS($1:83)),)))</f>
        <v>1121</v>
      </c>
      <c r="G96" s="124">
        <f ca="1">IF(ROWS($1:83)&gt;COUNT(Dong1),"",IF(OFFSET(TH!L$1,SMALL(Dong1,ROWS($1:83)),)="1111",OFFSET(TH!K$1,SMALL(Dong1,ROWS($1:83)),),0))</f>
        <v>32900000</v>
      </c>
      <c r="H96" s="122">
        <f ca="1">IF(ROWS($1:83)&gt;COUNT(Dong1),"",IF(OFFSET(TH!M$1,SMALL(Dong1,ROWS($1:83)),)="1111",OFFSET(TH!K$1,SMALL(Dong1,ROWS($1:83)),),0))</f>
        <v>0</v>
      </c>
      <c r="I96" s="120">
        <f t="shared" ca="1" si="3"/>
        <v>1642091211</v>
      </c>
      <c r="J96" s="125"/>
    </row>
    <row r="97" spans="1:12" ht="21.75" customHeight="1">
      <c r="A97" s="119">
        <f ca="1">IF(ROWS($1:84)&gt;COUNT(Dong1),"",OFFSET(TH!C$1,SMALL(Dong1,ROWS($1:84)),))</f>
        <v>41639</v>
      </c>
      <c r="B97" s="119">
        <f ca="1">IF(ROWS($1:84)&gt;COUNT(Dong1),"",OFFSET(TH!E$1,SMALL(Dong1,ROWS($1:84)),))</f>
        <v>41639</v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>C37</v>
      </c>
      <c r="E97" s="224" t="str">
        <f ca="1">IF(ROWS($1:84)&gt;COUNT(Dong1),"",OFFSET(TH!F$1,SMALL(Dong1,ROWS($1:84)),))</f>
        <v>Tiền điện</v>
      </c>
      <c r="F97" s="123" t="str">
        <f ca="1">IF(ROWS($1:84)&gt;COUNT(Dong1),"",IF(OFFSET(TH!M$1,SMALL(Dong1,ROWS($1:84)),)="1111",OFFSET(TH!L$1,SMALL(Dong1,ROWS($1:84)),),OFFSET(TH!M$1,SMALL(Dong1,ROWS($1:84)),)))</f>
        <v>642</v>
      </c>
      <c r="G97" s="124">
        <f ca="1">IF(ROWS($1:84)&gt;COUNT(Dong1),"",IF(OFFSET(TH!L$1,SMALL(Dong1,ROWS($1:84)),)="1111",OFFSET(TH!K$1,SMALL(Dong1,ROWS($1:84)),),0))</f>
        <v>0</v>
      </c>
      <c r="H97" s="122">
        <f ca="1">IF(ROWS($1:84)&gt;COUNT(Dong1),"",IF(OFFSET(TH!M$1,SMALL(Dong1,ROWS($1:84)),)="1111",OFFSET(TH!K$1,SMALL(Dong1,ROWS($1:84)),),0))</f>
        <v>1136048</v>
      </c>
      <c r="I97" s="120">
        <f t="shared" ca="1" si="3"/>
        <v>1640955163</v>
      </c>
      <c r="J97" s="125"/>
    </row>
    <row r="98" spans="1:12" ht="21.75" customHeight="1">
      <c r="A98" s="119">
        <f ca="1">IF(ROWS($1:85)&gt;COUNT(Dong1),"",OFFSET(TH!C$1,SMALL(Dong1,ROWS($1:85)),))</f>
        <v>41639</v>
      </c>
      <c r="B98" s="119">
        <f ca="1">IF(ROWS($1:85)&gt;COUNT(Dong1),"",OFFSET(TH!E$1,SMALL(Dong1,ROWS($1:85)),))</f>
        <v>41639</v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>C37</v>
      </c>
      <c r="E98" s="224" t="str">
        <f ca="1">IF(ROWS($1:85)&gt;COUNT(Dong1),"",OFFSET(TH!F$1,SMALL(Dong1,ROWS($1:85)),))</f>
        <v>VAT Tiền điện</v>
      </c>
      <c r="F98" s="123" t="str">
        <f ca="1">IF(ROWS($1:85)&gt;COUNT(Dong1),"",IF(OFFSET(TH!M$1,SMALL(Dong1,ROWS($1:85)),)="1111",OFFSET(TH!L$1,SMALL(Dong1,ROWS($1:85)),),OFFSET(TH!M$1,SMALL(Dong1,ROWS($1:85)),)))</f>
        <v>1331</v>
      </c>
      <c r="G98" s="124">
        <f ca="1">IF(ROWS($1:85)&gt;COUNT(Dong1),"",IF(OFFSET(TH!L$1,SMALL(Dong1,ROWS($1:85)),)="1111",OFFSET(TH!K$1,SMALL(Dong1,ROWS($1:85)),),0))</f>
        <v>0</v>
      </c>
      <c r="H98" s="122">
        <f ca="1">IF(ROWS($1:85)&gt;COUNT(Dong1),"",IF(OFFSET(TH!M$1,SMALL(Dong1,ROWS($1:85)),)="1111",OFFSET(TH!K$1,SMALL(Dong1,ROWS($1:85)),),0))</f>
        <v>113605</v>
      </c>
      <c r="I98" s="120">
        <f t="shared" ca="1" si="3"/>
        <v>1640841558</v>
      </c>
      <c r="J98" s="125"/>
    </row>
    <row r="99" spans="1:12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4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3"/>
        <v>0</v>
      </c>
      <c r="J99" s="125"/>
    </row>
    <row r="100" spans="1:12" s="115" customFormat="1" ht="21.75" customHeight="1">
      <c r="A100" s="126"/>
      <c r="B100" s="126"/>
      <c r="C100" s="126"/>
      <c r="D100" s="126"/>
      <c r="E100" s="126" t="s">
        <v>131</v>
      </c>
      <c r="F100" s="127" t="s">
        <v>19</v>
      </c>
      <c r="G100" s="126">
        <f ca="1">SUM(G14:G99)</f>
        <v>734627037</v>
      </c>
      <c r="H100" s="126">
        <f ca="1">SUM(H14:H99)</f>
        <v>397121740</v>
      </c>
      <c r="I100" s="127" t="s">
        <v>19</v>
      </c>
      <c r="J100" s="127" t="s">
        <v>19</v>
      </c>
    </row>
    <row r="101" spans="1:12" s="115" customFormat="1" ht="21.75" customHeight="1">
      <c r="A101" s="128"/>
      <c r="B101" s="128"/>
      <c r="C101" s="128"/>
      <c r="D101" s="128"/>
      <c r="E101" s="128" t="s">
        <v>132</v>
      </c>
      <c r="F101" s="129" t="s">
        <v>19</v>
      </c>
      <c r="G101" s="129" t="s">
        <v>19</v>
      </c>
      <c r="H101" s="129" t="s">
        <v>19</v>
      </c>
      <c r="I101" s="130">
        <f ca="1">I13+G100-H100</f>
        <v>1640841558</v>
      </c>
      <c r="J101" s="129" t="s">
        <v>19</v>
      </c>
    </row>
    <row r="102" spans="1:12">
      <c r="L102" s="246" t="s">
        <v>152</v>
      </c>
    </row>
    <row r="103" spans="1:12">
      <c r="A103" s="131" t="s">
        <v>153</v>
      </c>
      <c r="L103" s="246" t="s">
        <v>153</v>
      </c>
    </row>
    <row r="104" spans="1:12">
      <c r="A104" s="177" t="str">
        <f ca="1">"- Ngày mở sổ: "&amp;DAY($A$14)&amp;"/"&amp;MONTH($A$14)&amp;"/ " &amp;YEAR($A$14)</f>
        <v>- Ngày mở sổ: 2/10/ 2013</v>
      </c>
      <c r="L104" s="246" t="s">
        <v>133</v>
      </c>
    </row>
    <row r="105" spans="1:12">
      <c r="I105" s="187" t="str">
        <f ca="1">"Ngày "&amp;IF(OR($L$11=4,$L$11=6,$L$11=9,$L$11=11),"30",IF($L$11=2,"28","31"))&amp;" tháng "&amp;$O$11&amp;"  năm  "&amp;YEAR($A$14)</f>
        <v>Ngày 31 tháng 12  năm  2013</v>
      </c>
      <c r="L105" s="246" t="s">
        <v>150</v>
      </c>
    </row>
    <row r="106" spans="1:12" s="132" customFormat="1" ht="14.25">
      <c r="C106" s="132" t="s">
        <v>11</v>
      </c>
      <c r="E106" s="132" t="s">
        <v>12</v>
      </c>
      <c r="I106" s="132" t="s">
        <v>107</v>
      </c>
    </row>
    <row r="107" spans="1:12" s="133" customFormat="1">
      <c r="C107" s="133" t="s">
        <v>13</v>
      </c>
      <c r="E107" s="133" t="s">
        <v>13</v>
      </c>
      <c r="I107" s="133" t="s">
        <v>134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6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SX TM KIM DUNG PHÁT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69" t="str">
        <f>TH!A2</f>
        <v>Địa chỉ: 1A227/1 Ấp 1, Phạm Văn Hai, Bình Chánh, TPHCM</v>
      </c>
      <c r="C2" s="69"/>
      <c r="D2" s="59"/>
      <c r="E2" s="59"/>
      <c r="F2" s="59"/>
      <c r="G2" s="59"/>
      <c r="H2" s="61"/>
      <c r="I2" s="61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102</v>
      </c>
    </row>
    <row r="3" spans="1:23" ht="13.5" customHeight="1" thickBot="1">
      <c r="B3" s="69"/>
      <c r="C3" s="59"/>
      <c r="D3" s="59"/>
      <c r="E3" s="59"/>
      <c r="G3" s="59"/>
      <c r="I3" s="74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5"/>
      <c r="Q3" s="482"/>
      <c r="R3" s="192"/>
      <c r="S3" s="193" t="s">
        <v>347</v>
      </c>
      <c r="T3" s="192"/>
      <c r="U3" s="193" t="s">
        <v>103</v>
      </c>
      <c r="V3" s="72"/>
      <c r="W3" s="73" t="s">
        <v>103</v>
      </c>
    </row>
    <row r="4" spans="1:23" ht="22.5" thickBot="1">
      <c r="B4" s="69"/>
      <c r="C4" s="59"/>
      <c r="D4" s="59"/>
      <c r="E4" s="59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3"/>
      <c r="R4" s="80"/>
      <c r="S4" s="610">
        <v>4</v>
      </c>
      <c r="T4" s="80"/>
      <c r="U4" s="484" t="s">
        <v>4</v>
      </c>
      <c r="V4" s="106"/>
      <c r="W4" s="485">
        <v>1</v>
      </c>
    </row>
    <row r="5" spans="1:23">
      <c r="B5" s="69"/>
      <c r="C5" s="59"/>
      <c r="D5" s="59"/>
      <c r="E5" s="59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2013</v>
      </c>
      <c r="J5" s="76"/>
      <c r="K5" s="78"/>
      <c r="M5" s="78"/>
      <c r="N5" s="78"/>
      <c r="O5" s="78"/>
      <c r="P5" s="79"/>
      <c r="Q5" s="482"/>
      <c r="V5" s="68"/>
      <c r="W5" s="73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3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104</v>
      </c>
      <c r="M8" s="93" t="str">
        <f>IF($U$4="T","1111",IF($U$4="C",IF(ISNA(VLOOKUP($M$7,TM,13,0)),"",VLOOKUP($M$7,TM,12,0)),""))</f>
        <v>642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105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Cước dịch vụ viễn thông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0" t="s">
        <v>116</v>
      </c>
      <c r="D13" s="97">
        <f ca="1">SUMIF(TM,$M$7,TH)</f>
        <v>816017</v>
      </c>
      <c r="E13" s="60" t="s">
        <v>106</v>
      </c>
      <c r="F13" s="97"/>
      <c r="G13" s="97"/>
      <c r="P13" s="60"/>
    </row>
    <row r="14" spans="1:23">
      <c r="C14" s="60" t="str">
        <f ca="1">"Viết bằng chữ: " &amp;[3]!VND('IN-TC'!D13, TRUE)</f>
        <v>Viết bằng chữ: Tám trăm mười sáu ngàn, không trăm mười bảy đồng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2013</v>
      </c>
      <c r="N16" s="99"/>
      <c r="O16" s="99"/>
      <c r="P16" s="60"/>
    </row>
    <row r="17" spans="1:23">
      <c r="C17" s="100" t="s">
        <v>107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108</v>
      </c>
      <c r="K17" s="101"/>
      <c r="M17" s="102" t="str">
        <f>IF($U$4="T","Thủ quỹ","Người nhận tiền")</f>
        <v>Người nhận tiền</v>
      </c>
      <c r="N17" s="103"/>
      <c r="O17" s="103"/>
      <c r="P17" s="60"/>
    </row>
    <row r="18" spans="1:23">
      <c r="A18" s="101"/>
      <c r="B18" s="101"/>
      <c r="C18" s="104" t="s">
        <v>109</v>
      </c>
      <c r="E18" s="104" t="s">
        <v>110</v>
      </c>
      <c r="H18" s="104" t="s">
        <v>110</v>
      </c>
      <c r="I18" s="101"/>
      <c r="J18" s="104" t="s">
        <v>110</v>
      </c>
      <c r="L18" s="101"/>
      <c r="M18" s="104" t="s">
        <v>110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10"/>
      <c r="H24" s="210"/>
      <c r="J24" s="210"/>
      <c r="M24" s="210"/>
      <c r="P24" s="60"/>
    </row>
    <row r="25" spans="1:23">
      <c r="B25" s="60" t="s">
        <v>111</v>
      </c>
      <c r="P25" s="60"/>
    </row>
    <row r="26" spans="1:23">
      <c r="B26" s="95"/>
      <c r="C26" s="95" t="s">
        <v>112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0"/>
    </row>
    <row r="27" spans="1:23">
      <c r="B27" s="95"/>
      <c r="C27" s="95" t="s">
        <v>113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0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2" customWidth="1"/>
    <col min="2" max="2" width="6" style="173" customWidth="1"/>
    <col min="3" max="3" width="7.7109375" style="172" customWidth="1"/>
    <col min="4" max="4" width="38.7109375" style="171" customWidth="1"/>
    <col min="5" max="5" width="7.5703125" style="171" customWidth="1"/>
    <col min="6" max="6" width="14.28515625" style="171" customWidth="1"/>
    <col min="7" max="7" width="14.5703125" style="171" customWidth="1"/>
    <col min="8" max="8" width="14.7109375" style="434" customWidth="1"/>
    <col min="9" max="9" width="6.5703125" style="171" customWidth="1"/>
    <col min="10" max="10" width="2.85546875" style="171" customWidth="1"/>
    <col min="11" max="11" width="9.140625" style="171" customWidth="1"/>
    <col min="12" max="12" width="3.28515625" style="171" customWidth="1"/>
    <col min="13" max="13" width="8" style="171" customWidth="1"/>
    <col min="14" max="15" width="3.85546875" style="171" hidden="1" customWidth="1"/>
    <col min="16" max="16" width="1.7109375" style="171" customWidth="1"/>
    <col min="17" max="17" width="12.85546875" style="171" bestFit="1" customWidth="1"/>
    <col min="18" max="18" width="12.7109375" style="171" customWidth="1"/>
    <col min="19" max="19" width="15.140625" style="171" customWidth="1"/>
    <col min="20" max="20" width="12" style="171" bestFit="1" customWidth="1"/>
    <col min="21" max="16384" width="9.140625" style="171"/>
  </cols>
  <sheetData>
    <row r="1" spans="1:20" s="137" customFormat="1" ht="16.5" customHeight="1">
      <c r="A1" s="90" t="str">
        <f>TH!A1</f>
        <v>Đơn vị: CÔNG TY TNHH SX TM KIM DUNG PHÁT</v>
      </c>
      <c r="B1" s="138"/>
      <c r="C1" s="139"/>
      <c r="F1" s="225"/>
      <c r="G1" s="227" t="s">
        <v>151</v>
      </c>
      <c r="H1" s="589"/>
      <c r="I1" s="225"/>
      <c r="K1" s="804"/>
      <c r="L1" s="804"/>
    </row>
    <row r="2" spans="1:20" s="137" customFormat="1" ht="16.5" customHeight="1">
      <c r="A2" s="228" t="str">
        <f>TH!A2</f>
        <v>Địa chỉ: 1A227/1 Ấp 1, Phạm Văn Hai, Bình Chánh, TPHCM</v>
      </c>
      <c r="B2" s="174"/>
      <c r="C2" s="174"/>
      <c r="D2" s="174"/>
      <c r="F2" s="94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0"/>
      <c r="H2" s="940"/>
      <c r="I2" s="226"/>
      <c r="K2" s="805"/>
      <c r="L2" s="805"/>
    </row>
    <row r="3" spans="1:20" s="137" customFormat="1" ht="16.5" customHeight="1">
      <c r="A3" s="174"/>
      <c r="B3" s="174"/>
      <c r="C3" s="174"/>
      <c r="D3" s="174"/>
      <c r="F3" s="940"/>
      <c r="G3" s="940"/>
      <c r="H3" s="940"/>
      <c r="I3" s="226"/>
    </row>
    <row r="4" spans="1:20" s="137" customFormat="1" ht="19.5" customHeight="1">
      <c r="A4" s="943" t="s">
        <v>135</v>
      </c>
      <c r="B4" s="943"/>
      <c r="C4" s="943"/>
      <c r="D4" s="943"/>
      <c r="E4" s="943"/>
      <c r="F4" s="943"/>
      <c r="G4" s="943"/>
      <c r="H4" s="943"/>
      <c r="I4" s="943"/>
    </row>
    <row r="5" spans="1:20" s="137" customFormat="1" ht="15">
      <c r="A5" s="944" t="str">
        <f>"Nơi mở tài khoản giao dịch:  "&amp;IF($M$9="ACB"," Ngân Hàng ACB"," Ngân Hàng Eximbank - Chi Nhánh Chợ Lớn")</f>
        <v>Nơi mở tài khoản giao dịch:   Ngân Hàng ACB</v>
      </c>
      <c r="B5" s="944"/>
      <c r="C5" s="944"/>
      <c r="D5" s="944"/>
      <c r="E5" s="944"/>
      <c r="F5" s="944"/>
      <c r="G5" s="944"/>
      <c r="H5" s="944"/>
      <c r="I5" s="944"/>
    </row>
    <row r="6" spans="1:20" s="137" customFormat="1" ht="15">
      <c r="D6" s="253" t="s">
        <v>155</v>
      </c>
      <c r="E6" s="944" t="str">
        <f>IF($M$9="ACB","100983119","1004 148 5104 6511")</f>
        <v>100983119</v>
      </c>
      <c r="F6" s="944"/>
      <c r="G6" s="944"/>
      <c r="H6" s="590" t="s">
        <v>106</v>
      </c>
      <c r="I6" s="254" t="str">
        <f>IF(H6="VNĐ","1121",IF(H6="USD","1122",""))</f>
        <v>1121</v>
      </c>
      <c r="N6" s="935" t="s">
        <v>331</v>
      </c>
      <c r="O6" s="935"/>
      <c r="Q6" s="941" t="s">
        <v>273</v>
      </c>
      <c r="R6" s="941" t="s">
        <v>332</v>
      </c>
      <c r="S6" s="941" t="s">
        <v>333</v>
      </c>
    </row>
    <row r="7" spans="1:20" s="137" customFormat="1" ht="8.25" customHeight="1" thickBot="1">
      <c r="A7" s="140"/>
      <c r="B7" s="141"/>
      <c r="C7" s="140"/>
      <c r="D7" s="141"/>
      <c r="E7" s="141"/>
      <c r="F7" s="141"/>
      <c r="G7" s="141"/>
      <c r="H7" s="591"/>
      <c r="I7" s="141"/>
      <c r="Q7" s="942"/>
      <c r="R7" s="942"/>
      <c r="S7" s="942"/>
    </row>
    <row r="8" spans="1:20" s="142" customFormat="1" ht="22.5" customHeight="1" thickBot="1">
      <c r="A8" s="947" t="s">
        <v>136</v>
      </c>
      <c r="B8" s="949" t="s">
        <v>1</v>
      </c>
      <c r="C8" s="950"/>
      <c r="D8" s="945" t="s">
        <v>0</v>
      </c>
      <c r="E8" s="951" t="s">
        <v>14</v>
      </c>
      <c r="F8" s="953" t="s">
        <v>137</v>
      </c>
      <c r="G8" s="953"/>
      <c r="H8" s="950"/>
      <c r="I8" s="945" t="s">
        <v>125</v>
      </c>
      <c r="K8" s="135"/>
      <c r="L8" s="137"/>
      <c r="N8" s="598">
        <f>IF(K9="Quý I",1,IF(K9="Quý II",4,IF(K9="Quý III",7,IF(K9="Quý IV",10,""))))</f>
        <v>10</v>
      </c>
      <c r="O8" s="599">
        <f>IF(K9="Quý I",3,IF(K9="Quý II",6,IF(K9="Quý III",9,IF(K9="Quý IV",12,""))))</f>
        <v>12</v>
      </c>
      <c r="Q8" s="462" t="s">
        <v>274</v>
      </c>
      <c r="R8" s="463">
        <v>334933</v>
      </c>
      <c r="S8" s="463"/>
      <c r="T8" s="464">
        <f>SUM(R8:S8)</f>
        <v>334933</v>
      </c>
    </row>
    <row r="9" spans="1:20" s="142" customFormat="1" ht="22.5" customHeight="1" thickBot="1">
      <c r="A9" s="948"/>
      <c r="B9" s="143" t="s">
        <v>15</v>
      </c>
      <c r="C9" s="144" t="s">
        <v>138</v>
      </c>
      <c r="D9" s="946"/>
      <c r="E9" s="952"/>
      <c r="F9" s="247" t="s">
        <v>139</v>
      </c>
      <c r="G9" s="145" t="s">
        <v>140</v>
      </c>
      <c r="H9" s="592" t="s">
        <v>141</v>
      </c>
      <c r="I9" s="946"/>
      <c r="K9" s="175" t="s">
        <v>454</v>
      </c>
      <c r="L9" s="137"/>
      <c r="M9" s="461" t="s">
        <v>332</v>
      </c>
      <c r="Q9" s="148"/>
      <c r="R9" s="148"/>
      <c r="S9" s="148"/>
      <c r="T9" s="148"/>
    </row>
    <row r="10" spans="1:20" s="148" customFormat="1" ht="15">
      <c r="A10" s="146" t="s">
        <v>2</v>
      </c>
      <c r="B10" s="147" t="s">
        <v>3</v>
      </c>
      <c r="C10" s="146" t="s">
        <v>4</v>
      </c>
      <c r="D10" s="147" t="s">
        <v>5</v>
      </c>
      <c r="E10" s="147" t="s">
        <v>6</v>
      </c>
      <c r="F10" s="147">
        <v>1</v>
      </c>
      <c r="G10" s="147">
        <v>2</v>
      </c>
      <c r="H10" s="147">
        <v>3</v>
      </c>
      <c r="I10" s="147" t="s">
        <v>128</v>
      </c>
      <c r="L10" s="137"/>
      <c r="Q10" s="152"/>
      <c r="R10" s="152"/>
      <c r="S10" s="152"/>
      <c r="T10" s="152"/>
    </row>
    <row r="11" spans="1:20" s="152" customFormat="1" ht="18.75" customHeight="1">
      <c r="A11" s="149"/>
      <c r="B11" s="150"/>
      <c r="C11" s="149"/>
      <c r="D11" s="151" t="s">
        <v>7</v>
      </c>
      <c r="E11" s="151"/>
      <c r="F11" s="468"/>
      <c r="G11" s="468"/>
      <c r="H11" s="468">
        <f>IF($M$9="ACB",$R$8,$S$8)+SUMIF(_N112,"x",TH)-SUMIF(_C112,"x",TH)</f>
        <v>14933944</v>
      </c>
      <c r="I11" s="465"/>
      <c r="L11" s="137"/>
      <c r="Q11" s="142"/>
      <c r="R11" s="142"/>
      <c r="S11" s="142"/>
      <c r="T11" s="142"/>
    </row>
    <row r="12" spans="1:20" s="142" customFormat="1" ht="18.75" customHeight="1">
      <c r="A12" s="153">
        <f ca="1">IF(ROWS($1:1)&gt;COUNT(Dong2),"",OFFSET(TH!C$1,SMALL(Dong2,ROWS($1:1)),))</f>
        <v>41552</v>
      </c>
      <c r="B12" s="153" t="str">
        <f ca="1">IF(ROWS($1:1)&gt;COUNT(Dong2),"",OFFSET(TH!D$1,SMALL(Dong2,ROWS($1:1)),))</f>
        <v>T02</v>
      </c>
      <c r="C12" s="153">
        <f ca="1">IF(ROWS($1:1)&gt;COUNT(Dong2),"",OFFSET(TH!E$1,SMALL(Dong2,ROWS($1:1)),))</f>
        <v>41552</v>
      </c>
      <c r="D12" s="229" t="str">
        <f ca="1">IF(ROWS($1:1)&gt;COUNT(Dong2),"",OFFSET(TH!F$1,SMALL(Dong2,ROWS($1:1)),))</f>
        <v>Chi sec nhập quỹ tiền mặt</v>
      </c>
      <c r="E12" s="153" t="str">
        <f ca="1">IF(ROWS($1:1)&gt;COUNT(Dong2),"",IF(OFFSET(TH!M$1,SMALL(Dong2,ROWS($1:1)),)=$I$6,OFFSET(TH!L$1,SMALL(Dong2,ROWS($1:1)),),OFFSET(TH!M$1,SMALL(Dong2,ROWS($1:1)),)))</f>
        <v>1111</v>
      </c>
      <c r="F12" s="46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0">
        <f ca="1">IF(A12&lt;&gt;"",H11+F12-G12,0)</f>
        <v>133944</v>
      </c>
      <c r="I12" s="466"/>
      <c r="L12" s="137"/>
    </row>
    <row r="13" spans="1:20" s="142" customFormat="1" ht="18.75" customHeight="1">
      <c r="A13" s="153">
        <f ca="1">IF(ROWS($1:2)&gt;COUNT(Dong2),"",OFFSET(TH!C$1,SMALL(Dong2,ROWS($1:2)),))</f>
        <v>41554</v>
      </c>
      <c r="B13" s="153" t="str">
        <f ca="1">IF(ROWS($1:2)&gt;COUNT(Dong2),"",OFFSET(TH!D$1,SMALL(Dong2,ROWS($1:2)),))</f>
        <v>GBC</v>
      </c>
      <c r="C13" s="153">
        <f ca="1">IF(ROWS($1:2)&gt;COUNT(Dong2),"",OFFSET(TH!E$1,SMALL(Dong2,ROWS($1:2)),))</f>
        <v>41554</v>
      </c>
      <c r="D13" s="229" t="str">
        <f ca="1">IF(ROWS($1:2)&gt;COUNT(Dong2),"",OFFSET(TH!F$1,SMALL(Dong2,ROWS($1:2)),))</f>
        <v>Thu tiền hàng</v>
      </c>
      <c r="E13" s="153" t="str">
        <f ca="1">IF(ROWS($1:2)&gt;COUNT(Dong2),"",IF(OFFSET(TH!M$1,SMALL(Dong2,ROWS($1:2)),)=$I$6,OFFSET(TH!L$1,SMALL(Dong2,ROWS($1:2)),),OFFSET(TH!M$1,SMALL(Dong2,ROWS($1:2)),)))</f>
        <v>131</v>
      </c>
      <c r="F13" s="46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6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0">
        <f t="shared" ref="H13:H40" ca="1" si="0">IF(A13&lt;&gt;"",H12+F13-G13,0)</f>
        <v>19863544</v>
      </c>
      <c r="I13" s="466"/>
      <c r="L13" s="137"/>
    </row>
    <row r="14" spans="1:20" s="142" customFormat="1" ht="18.75" customHeight="1">
      <c r="A14" s="153">
        <f ca="1">IF(ROWS($1:3)&gt;COUNT(Dong2),"",OFFSET(TH!C$1,SMALL(Dong2,ROWS($1:3)),))</f>
        <v>41554</v>
      </c>
      <c r="B14" s="153" t="str">
        <f ca="1">IF(ROWS($1:3)&gt;COUNT(Dong2),"",OFFSET(TH!D$1,SMALL(Dong2,ROWS($1:3)),))</f>
        <v>GBC</v>
      </c>
      <c r="C14" s="153">
        <f ca="1">IF(ROWS($1:3)&gt;COUNT(Dong2),"",OFFSET(TH!E$1,SMALL(Dong2,ROWS($1:3)),))</f>
        <v>41554</v>
      </c>
      <c r="D14" s="229" t="str">
        <f ca="1">IF(ROWS($1:3)&gt;COUNT(Dong2),"",OFFSET(TH!F$1,SMALL(Dong2,ROWS($1:3)),))</f>
        <v>Thu tiền hàng</v>
      </c>
      <c r="E14" s="153" t="str">
        <f ca="1">IF(ROWS($1:3)&gt;COUNT(Dong2),"",IF(OFFSET(TH!M$1,SMALL(Dong2,ROWS($1:3)),)=$I$6,OFFSET(TH!L$1,SMALL(Dong2,ROWS($1:3)),),OFFSET(TH!M$1,SMALL(Dong2,ROWS($1:3)),)))</f>
        <v>131</v>
      </c>
      <c r="F14" s="46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6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0">
        <f t="shared" ca="1" si="0"/>
        <v>33822544</v>
      </c>
      <c r="I14" s="466"/>
      <c r="L14" s="137"/>
    </row>
    <row r="15" spans="1:20" s="142" customFormat="1" ht="18.75" customHeight="1">
      <c r="A15" s="153">
        <f ca="1">IF(ROWS($1:4)&gt;COUNT(Dong2),"",OFFSET(TH!C$1,SMALL(Dong2,ROWS($1:4)),))</f>
        <v>41554</v>
      </c>
      <c r="B15" s="153" t="str">
        <f ca="1">IF(ROWS($1:4)&gt;COUNT(Dong2),"",OFFSET(TH!D$1,SMALL(Dong2,ROWS($1:4)),))</f>
        <v>GBC</v>
      </c>
      <c r="C15" s="153">
        <f ca="1">IF(ROWS($1:4)&gt;COUNT(Dong2),"",OFFSET(TH!E$1,SMALL(Dong2,ROWS($1:4)),))</f>
        <v>41554</v>
      </c>
      <c r="D15" s="229" t="str">
        <f ca="1">IF(ROWS($1:4)&gt;COUNT(Dong2),"",OFFSET(TH!F$1,SMALL(Dong2,ROWS($1:4)),))</f>
        <v>Thu tiền hàng</v>
      </c>
      <c r="E15" s="153" t="str">
        <f ca="1">IF(ROWS($1:4)&gt;COUNT(Dong2),"",IF(OFFSET(TH!M$1,SMALL(Dong2,ROWS($1:4)),)=$I$6,OFFSET(TH!L$1,SMALL(Dong2,ROWS($1:4)),),OFFSET(TH!M$1,SMALL(Dong2,ROWS($1:4)),)))</f>
        <v>131</v>
      </c>
      <c r="F15" s="46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6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0">
        <f t="shared" ca="1" si="0"/>
        <v>52443674</v>
      </c>
      <c r="I15" s="466"/>
      <c r="L15" s="137"/>
    </row>
    <row r="16" spans="1:20" s="142" customFormat="1" ht="18.75" customHeight="1">
      <c r="A16" s="153">
        <f ca="1">IF(ROWS($1:5)&gt;COUNT(Dong2),"",OFFSET(TH!C$1,SMALL(Dong2,ROWS($1:5)),))</f>
        <v>41554</v>
      </c>
      <c r="B16" s="153" t="str">
        <f ca="1">IF(ROWS($1:5)&gt;COUNT(Dong2),"",OFFSET(TH!D$1,SMALL(Dong2,ROWS($1:5)),))</f>
        <v>T03</v>
      </c>
      <c r="C16" s="153">
        <f ca="1">IF(ROWS($1:5)&gt;COUNT(Dong2),"",OFFSET(TH!E$1,SMALL(Dong2,ROWS($1:5)),))</f>
        <v>41554</v>
      </c>
      <c r="D16" s="229" t="str">
        <f ca="1">IF(ROWS($1:5)&gt;COUNT(Dong2),"",OFFSET(TH!F$1,SMALL(Dong2,ROWS($1:5)),))</f>
        <v>Chi sec nhập quỹ tiền mặt</v>
      </c>
      <c r="E16" s="153" t="str">
        <f ca="1">IF(ROWS($1:5)&gt;COUNT(Dong2),"",IF(OFFSET(TH!M$1,SMALL(Dong2,ROWS($1:5)),)=$I$6,OFFSET(TH!L$1,SMALL(Dong2,ROWS($1:5)),),OFFSET(TH!M$1,SMALL(Dong2,ROWS($1:5)),)))</f>
        <v>1111</v>
      </c>
      <c r="F16" s="46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0">
        <f t="shared" ca="1" si="0"/>
        <v>18743674</v>
      </c>
      <c r="I16" s="466"/>
      <c r="L16" s="137"/>
    </row>
    <row r="17" spans="1:17" s="142" customFormat="1" ht="18.75" customHeight="1">
      <c r="A17" s="153">
        <f ca="1">IF(ROWS($1:6)&gt;COUNT(Dong2),"",OFFSET(TH!C$1,SMALL(Dong2,ROWS($1:6)),))</f>
        <v>41556</v>
      </c>
      <c r="B17" s="153" t="str">
        <f ca="1">IF(ROWS($1:6)&gt;COUNT(Dong2),"",OFFSET(TH!D$1,SMALL(Dong2,ROWS($1:6)),))</f>
        <v>T05</v>
      </c>
      <c r="C17" s="153">
        <f ca="1">IF(ROWS($1:6)&gt;COUNT(Dong2),"",OFFSET(TH!E$1,SMALL(Dong2,ROWS($1:6)),))</f>
        <v>41556</v>
      </c>
      <c r="D17" s="229" t="str">
        <f ca="1">IF(ROWS($1:6)&gt;COUNT(Dong2),"",OFFSET(TH!F$1,SMALL(Dong2,ROWS($1:6)),))</f>
        <v>Chi sec nhập quỹ tiền mặt</v>
      </c>
      <c r="E17" s="153" t="str">
        <f ca="1">IF(ROWS($1:6)&gt;COUNT(Dong2),"",IF(OFFSET(TH!M$1,SMALL(Dong2,ROWS($1:6)),)=$I$6,OFFSET(TH!L$1,SMALL(Dong2,ROWS($1:6)),),OFFSET(TH!M$1,SMALL(Dong2,ROWS($1:6)),)))</f>
        <v>1111</v>
      </c>
      <c r="F17" s="46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0">
        <f t="shared" ca="1" si="0"/>
        <v>243674</v>
      </c>
      <c r="I17" s="466"/>
      <c r="L17" s="137"/>
    </row>
    <row r="18" spans="1:17" s="142" customFormat="1" ht="18.75" customHeight="1">
      <c r="A18" s="153">
        <f ca="1">IF(ROWS($1:7)&gt;COUNT(Dong2),"",OFFSET(TH!C$1,SMALL(Dong2,ROWS($1:7)),))</f>
        <v>41557</v>
      </c>
      <c r="B18" s="153" t="str">
        <f ca="1">IF(ROWS($1:7)&gt;COUNT(Dong2),"",OFFSET(TH!D$1,SMALL(Dong2,ROWS($1:7)),))</f>
        <v>GBC</v>
      </c>
      <c r="C18" s="153">
        <f ca="1">IF(ROWS($1:7)&gt;COUNT(Dong2),"",OFFSET(TH!E$1,SMALL(Dong2,ROWS($1:7)),))</f>
        <v>41557</v>
      </c>
      <c r="D18" s="229" t="str">
        <f ca="1">IF(ROWS($1:7)&gt;COUNT(Dong2),"",OFFSET(TH!F$1,SMALL(Dong2,ROWS($1:7)),))</f>
        <v>Thu tiền hàng</v>
      </c>
      <c r="E18" s="153" t="str">
        <f ca="1">IF(ROWS($1:7)&gt;COUNT(Dong2),"",IF(OFFSET(TH!M$1,SMALL(Dong2,ROWS($1:7)),)=$I$6,OFFSET(TH!L$1,SMALL(Dong2,ROWS($1:7)),),OFFSET(TH!M$1,SMALL(Dong2,ROWS($1:7)),)))</f>
        <v>131</v>
      </c>
      <c r="F18" s="46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6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0">
        <f t="shared" ca="1" si="0"/>
        <v>7049924</v>
      </c>
      <c r="I18" s="466"/>
      <c r="L18" s="137"/>
    </row>
    <row r="19" spans="1:17" s="142" customFormat="1" ht="18.75" customHeight="1">
      <c r="A19" s="153">
        <f ca="1">IF(ROWS($1:8)&gt;COUNT(Dong2),"",OFFSET(TH!C$1,SMALL(Dong2,ROWS($1:8)),))</f>
        <v>41561</v>
      </c>
      <c r="B19" s="153" t="str">
        <f ca="1">IF(ROWS($1:8)&gt;COUNT(Dong2),"",OFFSET(TH!D$1,SMALL(Dong2,ROWS($1:8)),))</f>
        <v>GBC</v>
      </c>
      <c r="C19" s="153">
        <f ca="1">IF(ROWS($1:8)&gt;COUNT(Dong2),"",OFFSET(TH!E$1,SMALL(Dong2,ROWS($1:8)),))</f>
        <v>41561</v>
      </c>
      <c r="D19" s="229" t="str">
        <f ca="1">IF(ROWS($1:8)&gt;COUNT(Dong2),"",OFFSET(TH!F$1,SMALL(Dong2,ROWS($1:8)),))</f>
        <v>Thu tiền hàng</v>
      </c>
      <c r="E19" s="153" t="str">
        <f ca="1">IF(ROWS($1:8)&gt;COUNT(Dong2),"",IF(OFFSET(TH!M$1,SMALL(Dong2,ROWS($1:8)),)=$I$6,OFFSET(TH!L$1,SMALL(Dong2,ROWS($1:8)),),OFFSET(TH!M$1,SMALL(Dong2,ROWS($1:8)),)))</f>
        <v>131</v>
      </c>
      <c r="F19" s="46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6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0">
        <f t="shared" ca="1" si="0"/>
        <v>20905524</v>
      </c>
      <c r="I19" s="466"/>
      <c r="L19" s="137"/>
    </row>
    <row r="20" spans="1:17" s="142" customFormat="1" ht="18.75" customHeight="1">
      <c r="A20" s="153">
        <f ca="1">IF(ROWS($1:9)&gt;COUNT(Dong2),"",OFFSET(TH!C$1,SMALL(Dong2,ROWS($1:9)),))</f>
        <v>41562</v>
      </c>
      <c r="B20" s="153" t="str">
        <f ca="1">IF(ROWS($1:9)&gt;COUNT(Dong2),"",OFFSET(TH!D$1,SMALL(Dong2,ROWS($1:9)),))</f>
        <v>GBC</v>
      </c>
      <c r="C20" s="153">
        <f ca="1">IF(ROWS($1:9)&gt;COUNT(Dong2),"",OFFSET(TH!E$1,SMALL(Dong2,ROWS($1:9)),))</f>
        <v>41562</v>
      </c>
      <c r="D20" s="229" t="str">
        <f ca="1">IF(ROWS($1:9)&gt;COUNT(Dong2),"",OFFSET(TH!F$1,SMALL(Dong2,ROWS($1:9)),))</f>
        <v>Thu tiền hàng</v>
      </c>
      <c r="E20" s="153" t="str">
        <f ca="1">IF(ROWS($1:9)&gt;COUNT(Dong2),"",IF(OFFSET(TH!M$1,SMALL(Dong2,ROWS($1:9)),)=$I$6,OFFSET(TH!L$1,SMALL(Dong2,ROWS($1:9)),),OFFSET(TH!M$1,SMALL(Dong2,ROWS($1:9)),)))</f>
        <v>131</v>
      </c>
      <c r="F20" s="46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6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0">
        <f t="shared" ca="1" si="0"/>
        <v>30905524</v>
      </c>
      <c r="I20" s="466"/>
      <c r="L20" s="137"/>
    </row>
    <row r="21" spans="1:17" s="142" customFormat="1" ht="18.75" customHeight="1">
      <c r="A21" s="153">
        <f ca="1">IF(ROWS($1:10)&gt;COUNT(Dong2),"",OFFSET(TH!C$1,SMALL(Dong2,ROWS($1:10)),))</f>
        <v>41562</v>
      </c>
      <c r="B21" s="153" t="str">
        <f ca="1">IF(ROWS($1:10)&gt;COUNT(Dong2),"",OFFSET(TH!D$1,SMALL(Dong2,ROWS($1:10)),))</f>
        <v>T06</v>
      </c>
      <c r="C21" s="153">
        <f ca="1">IF(ROWS($1:10)&gt;COUNT(Dong2),"",OFFSET(TH!E$1,SMALL(Dong2,ROWS($1:10)),))</f>
        <v>41562</v>
      </c>
      <c r="D21" s="229" t="str">
        <f ca="1">IF(ROWS($1:10)&gt;COUNT(Dong2),"",OFFSET(TH!F$1,SMALL(Dong2,ROWS($1:10)),))</f>
        <v>Chi sec nhập quỹ tiền mặt</v>
      </c>
      <c r="E21" s="153" t="str">
        <f ca="1">IF(ROWS($1:10)&gt;COUNT(Dong2),"",IF(OFFSET(TH!M$1,SMALL(Dong2,ROWS($1:10)),)=$I$6,OFFSET(TH!L$1,SMALL(Dong2,ROWS($1:10)),),OFFSET(TH!M$1,SMALL(Dong2,ROWS($1:10)),)))</f>
        <v>1111</v>
      </c>
      <c r="F21" s="46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0">
        <f t="shared" ca="1" si="0"/>
        <v>105524</v>
      </c>
      <c r="I21" s="466"/>
      <c r="L21" s="137"/>
      <c r="Q21" s="464"/>
    </row>
    <row r="22" spans="1:17" s="142" customFormat="1" ht="18.75" customHeight="1">
      <c r="A22" s="153">
        <f ca="1">IF(ROWS($1:11)&gt;COUNT(Dong2),"",OFFSET(TH!C$1,SMALL(Dong2,ROWS($1:11)),))</f>
        <v>41570</v>
      </c>
      <c r="B22" s="153" t="str">
        <f ca="1">IF(ROWS($1:11)&gt;COUNT(Dong2),"",OFFSET(TH!D$1,SMALL(Dong2,ROWS($1:11)),))</f>
        <v>GBC</v>
      </c>
      <c r="C22" s="153">
        <f ca="1">IF(ROWS($1:11)&gt;COUNT(Dong2),"",OFFSET(TH!E$1,SMALL(Dong2,ROWS($1:11)),))</f>
        <v>41570</v>
      </c>
      <c r="D22" s="229" t="str">
        <f ca="1">IF(ROWS($1:11)&gt;COUNT(Dong2),"",OFFSET(TH!F$1,SMALL(Dong2,ROWS($1:11)),))</f>
        <v>Thu tiền hàng</v>
      </c>
      <c r="E22" s="153" t="str">
        <f ca="1">IF(ROWS($1:11)&gt;COUNT(Dong2),"",IF(OFFSET(TH!M$1,SMALL(Dong2,ROWS($1:11)),)=$I$6,OFFSET(TH!L$1,SMALL(Dong2,ROWS($1:11)),),OFFSET(TH!M$1,SMALL(Dong2,ROWS($1:11)),)))</f>
        <v>131</v>
      </c>
      <c r="F22" s="46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6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0">
        <f t="shared" ca="1" si="0"/>
        <v>5191330</v>
      </c>
      <c r="I22" s="466"/>
      <c r="L22" s="137"/>
    </row>
    <row r="23" spans="1:17" s="142" customFormat="1" ht="18.75" customHeight="1">
      <c r="A23" s="153">
        <f ca="1">IF(ROWS($1:12)&gt;COUNT(Dong2),"",OFFSET(TH!C$1,SMALL(Dong2,ROWS($1:12)),))</f>
        <v>41572</v>
      </c>
      <c r="B23" s="153" t="str">
        <f ca="1">IF(ROWS($1:12)&gt;COUNT(Dong2),"",OFFSET(TH!D$1,SMALL(Dong2,ROWS($1:12)),))</f>
        <v>GBC</v>
      </c>
      <c r="C23" s="153">
        <f ca="1">IF(ROWS($1:12)&gt;COUNT(Dong2),"",OFFSET(TH!E$1,SMALL(Dong2,ROWS($1:12)),))</f>
        <v>41572</v>
      </c>
      <c r="D23" s="229" t="str">
        <f ca="1">IF(ROWS($1:12)&gt;COUNT(Dong2),"",OFFSET(TH!F$1,SMALL(Dong2,ROWS($1:12)),))</f>
        <v>Lãi tiền gửi</v>
      </c>
      <c r="E23" s="153" t="str">
        <f ca="1">IF(ROWS($1:12)&gt;COUNT(Dong2),"",IF(OFFSET(TH!M$1,SMALL(Dong2,ROWS($1:12)),)=$I$6,OFFSET(TH!L$1,SMALL(Dong2,ROWS($1:12)),),OFFSET(TH!M$1,SMALL(Dong2,ROWS($1:12)),)))</f>
        <v>515</v>
      </c>
      <c r="F23" s="46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6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0">
        <f t="shared" ca="1" si="0"/>
        <v>5197225</v>
      </c>
      <c r="I23" s="466"/>
      <c r="L23" s="137"/>
      <c r="Q23" s="588"/>
    </row>
    <row r="24" spans="1:17" s="142" customFormat="1" ht="18.75" customHeight="1">
      <c r="A24" s="153">
        <f ca="1">IF(ROWS($1:13)&gt;COUNT(Dong2),"",OFFSET(TH!C$1,SMALL(Dong2,ROWS($1:13)),))</f>
        <v>41575</v>
      </c>
      <c r="B24" s="153" t="str">
        <f ca="1">IF(ROWS($1:13)&gt;COUNT(Dong2),"",OFFSET(TH!D$1,SMALL(Dong2,ROWS($1:13)),))</f>
        <v>GBC</v>
      </c>
      <c r="C24" s="153">
        <f ca="1">IF(ROWS($1:13)&gt;COUNT(Dong2),"",OFFSET(TH!E$1,SMALL(Dong2,ROWS($1:13)),))</f>
        <v>41575</v>
      </c>
      <c r="D24" s="229" t="str">
        <f ca="1">IF(ROWS($1:13)&gt;COUNT(Dong2),"",OFFSET(TH!F$1,SMALL(Dong2,ROWS($1:13)),))</f>
        <v>Thu tiền hàng</v>
      </c>
      <c r="E24" s="153" t="str">
        <f ca="1">IF(ROWS($1:13)&gt;COUNT(Dong2),"",IF(OFFSET(TH!M$1,SMALL(Dong2,ROWS($1:13)),)=$I$6,OFFSET(TH!L$1,SMALL(Dong2,ROWS($1:13)),),OFFSET(TH!M$1,SMALL(Dong2,ROWS($1:13)),)))</f>
        <v>131</v>
      </c>
      <c r="F24" s="46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6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0">
        <f t="shared" ca="1" si="0"/>
        <v>15685725</v>
      </c>
      <c r="I24" s="466"/>
      <c r="L24" s="137"/>
    </row>
    <row r="25" spans="1:17" s="142" customFormat="1" ht="18.75" customHeight="1">
      <c r="A25" s="153">
        <f ca="1">IF(ROWS($1:14)&gt;COUNT(Dong2),"",OFFSET(TH!C$1,SMALL(Dong2,ROWS($1:14)),))</f>
        <v>41575</v>
      </c>
      <c r="B25" s="153" t="str">
        <f ca="1">IF(ROWS($1:14)&gt;COUNT(Dong2),"",OFFSET(TH!D$1,SMALL(Dong2,ROWS($1:14)),))</f>
        <v>GBC</v>
      </c>
      <c r="C25" s="153">
        <f ca="1">IF(ROWS($1:14)&gt;COUNT(Dong2),"",OFFSET(TH!E$1,SMALL(Dong2,ROWS($1:14)),))</f>
        <v>41575</v>
      </c>
      <c r="D25" s="229" t="str">
        <f ca="1">IF(ROWS($1:14)&gt;COUNT(Dong2),"",OFFSET(TH!F$1,SMALL(Dong2,ROWS($1:14)),))</f>
        <v>Thu tiền hàng</v>
      </c>
      <c r="E25" s="153" t="str">
        <f ca="1">IF(ROWS($1:14)&gt;COUNT(Dong2),"",IF(OFFSET(TH!M$1,SMALL(Dong2,ROWS($1:14)),)=$I$6,OFFSET(TH!L$1,SMALL(Dong2,ROWS($1:14)),),OFFSET(TH!M$1,SMALL(Dong2,ROWS($1:14)),)))</f>
        <v>131</v>
      </c>
      <c r="F25" s="46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6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0">
        <f t="shared" ca="1" si="0"/>
        <v>29644725</v>
      </c>
      <c r="I25" s="466"/>
      <c r="L25" s="137"/>
    </row>
    <row r="26" spans="1:17" s="142" customFormat="1" ht="18.75" customHeight="1">
      <c r="A26" s="153">
        <f ca="1">IF(ROWS($1:15)&gt;COUNT(Dong2),"",OFFSET(TH!C$1,SMALL(Dong2,ROWS($1:15)),))</f>
        <v>41575</v>
      </c>
      <c r="B26" s="153" t="str">
        <f ca="1">IF(ROWS($1:15)&gt;COUNT(Dong2),"",OFFSET(TH!D$1,SMALL(Dong2,ROWS($1:15)),))</f>
        <v>GBC</v>
      </c>
      <c r="C26" s="153">
        <f ca="1">IF(ROWS($1:15)&gt;COUNT(Dong2),"",OFFSET(TH!E$1,SMALL(Dong2,ROWS($1:15)),))</f>
        <v>41575</v>
      </c>
      <c r="D26" s="229" t="str">
        <f ca="1">IF(ROWS($1:15)&gt;COUNT(Dong2),"",OFFSET(TH!F$1,SMALL(Dong2,ROWS($1:15)),))</f>
        <v>Thu tiền hàng</v>
      </c>
      <c r="E26" s="153" t="str">
        <f ca="1">IF(ROWS($1:15)&gt;COUNT(Dong2),"",IF(OFFSET(TH!M$1,SMALL(Dong2,ROWS($1:15)),)=$I$6,OFFSET(TH!L$1,SMALL(Dong2,ROWS($1:15)),),OFFSET(TH!M$1,SMALL(Dong2,ROWS($1:15)),)))</f>
        <v>131</v>
      </c>
      <c r="F26" s="46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6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0">
        <f t="shared" ca="1" si="0"/>
        <v>45352725</v>
      </c>
      <c r="I26" s="466"/>
      <c r="L26" s="137"/>
    </row>
    <row r="27" spans="1:17" s="142" customFormat="1" ht="18.75" customHeight="1">
      <c r="A27" s="153">
        <f ca="1">IF(ROWS($1:16)&gt;COUNT(Dong2),"",OFFSET(TH!C$1,SMALL(Dong2,ROWS($1:16)),))</f>
        <v>41576</v>
      </c>
      <c r="B27" s="153" t="str">
        <f ca="1">IF(ROWS($1:16)&gt;COUNT(Dong2),"",OFFSET(TH!D$1,SMALL(Dong2,ROWS($1:16)),))</f>
        <v>T10</v>
      </c>
      <c r="C27" s="153">
        <f ca="1">IF(ROWS($1:16)&gt;COUNT(Dong2),"",OFFSET(TH!E$1,SMALL(Dong2,ROWS($1:16)),))</f>
        <v>41576</v>
      </c>
      <c r="D27" s="229" t="str">
        <f ca="1">IF(ROWS($1:16)&gt;COUNT(Dong2),"",OFFSET(TH!F$1,SMALL(Dong2,ROWS($1:16)),))</f>
        <v>Chi sec nhập quỹ tiền mặt</v>
      </c>
      <c r="E27" s="153" t="str">
        <f ca="1">IF(ROWS($1:16)&gt;COUNT(Dong2),"",IF(OFFSET(TH!M$1,SMALL(Dong2,ROWS($1:16)),)=$I$6,OFFSET(TH!L$1,SMALL(Dong2,ROWS($1:16)),),OFFSET(TH!M$1,SMALL(Dong2,ROWS($1:16)),)))</f>
        <v>1111</v>
      </c>
      <c r="F27" s="46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0">
        <f t="shared" ca="1" si="0"/>
        <v>152725</v>
      </c>
      <c r="I27" s="466"/>
      <c r="L27" s="137"/>
    </row>
    <row r="28" spans="1:17" s="142" customFormat="1" ht="18.75" customHeight="1">
      <c r="A28" s="153">
        <f ca="1">IF(ROWS($1:17)&gt;COUNT(Dong2),"",OFFSET(TH!C$1,SMALL(Dong2,ROWS($1:17)),))</f>
        <v>41577</v>
      </c>
      <c r="B28" s="153" t="str">
        <f ca="1">IF(ROWS($1:17)&gt;COUNT(Dong2),"",OFFSET(TH!D$1,SMALL(Dong2,ROWS($1:17)),))</f>
        <v>GBC</v>
      </c>
      <c r="C28" s="153">
        <f ca="1">IF(ROWS($1:17)&gt;COUNT(Dong2),"",OFFSET(TH!E$1,SMALL(Dong2,ROWS($1:17)),))</f>
        <v>41577</v>
      </c>
      <c r="D28" s="229" t="str">
        <f ca="1">IF(ROWS($1:17)&gt;COUNT(Dong2),"",OFFSET(TH!F$1,SMALL(Dong2,ROWS($1:17)),))</f>
        <v>Thu tiền hàng</v>
      </c>
      <c r="E28" s="153" t="str">
        <f ca="1">IF(ROWS($1:17)&gt;COUNT(Dong2),"",IF(OFFSET(TH!M$1,SMALL(Dong2,ROWS($1:17)),)=$I$6,OFFSET(TH!L$1,SMALL(Dong2,ROWS($1:17)),),OFFSET(TH!M$1,SMALL(Dong2,ROWS($1:17)),)))</f>
        <v>131</v>
      </c>
      <c r="F28" s="46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6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0">
        <f t="shared" ca="1" si="0"/>
        <v>34410245</v>
      </c>
      <c r="I28" s="466"/>
      <c r="L28" s="137"/>
    </row>
    <row r="29" spans="1:17" s="142" customFormat="1" ht="18.75" customHeight="1">
      <c r="A29" s="153">
        <f ca="1">IF(ROWS($1:18)&gt;COUNT(Dong2),"",OFFSET(TH!C$1,SMALL(Dong2,ROWS($1:18)),))</f>
        <v>41579</v>
      </c>
      <c r="B29" s="153" t="str">
        <f ca="1">IF(ROWS($1:18)&gt;COUNT(Dong2),"",OFFSET(TH!D$1,SMALL(Dong2,ROWS($1:18)),))</f>
        <v>GBC</v>
      </c>
      <c r="C29" s="153">
        <f ca="1">IF(ROWS($1:18)&gt;COUNT(Dong2),"",OFFSET(TH!E$1,SMALL(Dong2,ROWS($1:18)),))</f>
        <v>41579</v>
      </c>
      <c r="D29" s="229" t="str">
        <f ca="1">IF(ROWS($1:18)&gt;COUNT(Dong2),"",OFFSET(TH!F$1,SMALL(Dong2,ROWS($1:18)),))</f>
        <v>Thu tiền hàng</v>
      </c>
      <c r="E29" s="153" t="str">
        <f ca="1">IF(ROWS($1:18)&gt;COUNT(Dong2),"",IF(OFFSET(TH!M$1,SMALL(Dong2,ROWS($1:18)),)=$I$6,OFFSET(TH!L$1,SMALL(Dong2,ROWS($1:18)),),OFFSET(TH!M$1,SMALL(Dong2,ROWS($1:18)),)))</f>
        <v>131</v>
      </c>
      <c r="F29" s="46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6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0">
        <f t="shared" ca="1" si="0"/>
        <v>49266955</v>
      </c>
      <c r="I29" s="466"/>
      <c r="L29" s="137"/>
    </row>
    <row r="30" spans="1:17" s="142" customFormat="1" ht="18.75" customHeight="1">
      <c r="A30" s="153">
        <f ca="1">IF(ROWS($1:19)&gt;COUNT(Dong2),"",OFFSET(TH!C$1,SMALL(Dong2,ROWS($1:19)),))</f>
        <v>41580</v>
      </c>
      <c r="B30" s="153" t="str">
        <f ca="1">IF(ROWS($1:19)&gt;COUNT(Dong2),"",OFFSET(TH!D$1,SMALL(Dong2,ROWS($1:19)),))</f>
        <v>T13</v>
      </c>
      <c r="C30" s="153">
        <f ca="1">IF(ROWS($1:19)&gt;COUNT(Dong2),"",OFFSET(TH!E$1,SMALL(Dong2,ROWS($1:19)),))</f>
        <v>41580</v>
      </c>
      <c r="D30" s="229" t="str">
        <f ca="1">IF(ROWS($1:19)&gt;COUNT(Dong2),"",OFFSET(TH!F$1,SMALL(Dong2,ROWS($1:19)),))</f>
        <v>Chi sec nhập quỹ tiền mặt</v>
      </c>
      <c r="E30" s="153" t="str">
        <f ca="1">IF(ROWS($1:19)&gt;COUNT(Dong2),"",IF(OFFSET(TH!M$1,SMALL(Dong2,ROWS($1:19)),)=$I$6,OFFSET(TH!L$1,SMALL(Dong2,ROWS($1:19)),),OFFSET(TH!M$1,SMALL(Dong2,ROWS($1:19)),)))</f>
        <v>1111</v>
      </c>
      <c r="F30" s="46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0">
        <f t="shared" ca="1" si="0"/>
        <v>266955</v>
      </c>
      <c r="I30" s="466"/>
      <c r="L30" s="137"/>
    </row>
    <row r="31" spans="1:17" s="142" customFormat="1" ht="18.75" customHeight="1">
      <c r="A31" s="153">
        <f ca="1">IF(ROWS($1:20)&gt;COUNT(Dong2),"",OFFSET(TH!C$1,SMALL(Dong2,ROWS($1:20)),))</f>
        <v>41582</v>
      </c>
      <c r="B31" s="153" t="str">
        <f ca="1">IF(ROWS($1:20)&gt;COUNT(Dong2),"",OFFSET(TH!D$1,SMALL(Dong2,ROWS($1:20)),))</f>
        <v>GBC</v>
      </c>
      <c r="C31" s="153">
        <f ca="1">IF(ROWS($1:20)&gt;COUNT(Dong2),"",OFFSET(TH!E$1,SMALL(Dong2,ROWS($1:20)),))</f>
        <v>41582</v>
      </c>
      <c r="D31" s="229" t="str">
        <f ca="1">IF(ROWS($1:20)&gt;COUNT(Dong2),"",OFFSET(TH!F$1,SMALL(Dong2,ROWS($1:20)),))</f>
        <v>Thu tiền hàng</v>
      </c>
      <c r="E31" s="153" t="str">
        <f ca="1">IF(ROWS($1:20)&gt;COUNT(Dong2),"",IF(OFFSET(TH!M$1,SMALL(Dong2,ROWS($1:20)),)=$I$6,OFFSET(TH!L$1,SMALL(Dong2,ROWS($1:20)),),OFFSET(TH!M$1,SMALL(Dong2,ROWS($1:20)),)))</f>
        <v>131</v>
      </c>
      <c r="F31" s="46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6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0">
        <f t="shared" ca="1" si="0"/>
        <v>17938005</v>
      </c>
      <c r="I31" s="466"/>
      <c r="L31" s="137"/>
    </row>
    <row r="32" spans="1:17" s="142" customFormat="1" ht="18.75" customHeight="1">
      <c r="A32" s="153">
        <f ca="1">IF(ROWS($1:21)&gt;COUNT(Dong2),"",OFFSET(TH!C$1,SMALL(Dong2,ROWS($1:21)),))</f>
        <v>41583</v>
      </c>
      <c r="B32" s="153" t="str">
        <f ca="1">IF(ROWS($1:21)&gt;COUNT(Dong2),"",OFFSET(TH!D$1,SMALL(Dong2,ROWS($1:21)),))</f>
        <v>GBC</v>
      </c>
      <c r="C32" s="153">
        <f ca="1">IF(ROWS($1:21)&gt;COUNT(Dong2),"",OFFSET(TH!E$1,SMALL(Dong2,ROWS($1:21)),))</f>
        <v>41583</v>
      </c>
      <c r="D32" s="229" t="str">
        <f ca="1">IF(ROWS($1:21)&gt;COUNT(Dong2),"",OFFSET(TH!F$1,SMALL(Dong2,ROWS($1:21)),))</f>
        <v>Thu tiền hàng</v>
      </c>
      <c r="E32" s="153" t="str">
        <f ca="1">IF(ROWS($1:21)&gt;COUNT(Dong2),"",IF(OFFSET(TH!M$1,SMALL(Dong2,ROWS($1:21)),)=$I$6,OFFSET(TH!L$1,SMALL(Dong2,ROWS($1:21)),),OFFSET(TH!M$1,SMALL(Dong2,ROWS($1:21)),)))</f>
        <v>131</v>
      </c>
      <c r="F32" s="46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6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0">
        <f t="shared" ca="1" si="0"/>
        <v>27542391</v>
      </c>
      <c r="I32" s="466"/>
      <c r="L32" s="137"/>
    </row>
    <row r="33" spans="1:12" s="142" customFormat="1" ht="18.75" customHeight="1">
      <c r="A33" s="153">
        <f ca="1">IF(ROWS($1:22)&gt;COUNT(Dong2),"",OFFSET(TH!C$1,SMALL(Dong2,ROWS($1:22)),))</f>
        <v>41583</v>
      </c>
      <c r="B33" s="153" t="str">
        <f ca="1">IF(ROWS($1:22)&gt;COUNT(Dong2),"",OFFSET(TH!D$1,SMALL(Dong2,ROWS($1:22)),))</f>
        <v>T15</v>
      </c>
      <c r="C33" s="153">
        <f ca="1">IF(ROWS($1:22)&gt;COUNT(Dong2),"",OFFSET(TH!E$1,SMALL(Dong2,ROWS($1:22)),))</f>
        <v>41583</v>
      </c>
      <c r="D33" s="229" t="str">
        <f ca="1">IF(ROWS($1:22)&gt;COUNT(Dong2),"",OFFSET(TH!F$1,SMALL(Dong2,ROWS($1:22)),))</f>
        <v>Chi sec nhập quỹ tiền mặt</v>
      </c>
      <c r="E33" s="153" t="str">
        <f ca="1">IF(ROWS($1:22)&gt;COUNT(Dong2),"",IF(OFFSET(TH!M$1,SMALL(Dong2,ROWS($1:22)),)=$I$6,OFFSET(TH!L$1,SMALL(Dong2,ROWS($1:22)),),OFFSET(TH!M$1,SMALL(Dong2,ROWS($1:22)),)))</f>
        <v>1111</v>
      </c>
      <c r="F33" s="46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0">
        <f t="shared" ca="1" si="0"/>
        <v>42391</v>
      </c>
      <c r="I33" s="466"/>
      <c r="L33" s="137"/>
    </row>
    <row r="34" spans="1:12" s="142" customFormat="1" ht="18.75" customHeight="1">
      <c r="A34" s="153">
        <f ca="1">IF(ROWS($1:23)&gt;COUNT(Dong2),"",OFFSET(TH!C$1,SMALL(Dong2,ROWS($1:23)),))</f>
        <v>41585</v>
      </c>
      <c r="B34" s="153" t="str">
        <f ca="1">IF(ROWS($1:23)&gt;COUNT(Dong2),"",OFFSET(TH!D$1,SMALL(Dong2,ROWS($1:23)),))</f>
        <v>GBC</v>
      </c>
      <c r="C34" s="153">
        <f ca="1">IF(ROWS($1:23)&gt;COUNT(Dong2),"",OFFSET(TH!E$1,SMALL(Dong2,ROWS($1:23)),))</f>
        <v>41585</v>
      </c>
      <c r="D34" s="229" t="str">
        <f ca="1">IF(ROWS($1:23)&gt;COUNT(Dong2),"",OFFSET(TH!F$1,SMALL(Dong2,ROWS($1:23)),))</f>
        <v>Thu tiền hàng</v>
      </c>
      <c r="E34" s="153" t="str">
        <f ca="1">IF(ROWS($1:23)&gt;COUNT(Dong2),"",IF(OFFSET(TH!M$1,SMALL(Dong2,ROWS($1:23)),)=$I$6,OFFSET(TH!L$1,SMALL(Dong2,ROWS($1:23)),),OFFSET(TH!M$1,SMALL(Dong2,ROWS($1:23)),)))</f>
        <v>131</v>
      </c>
      <c r="F34" s="46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6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0">
        <f t="shared" ca="1" si="0"/>
        <v>15288127</v>
      </c>
      <c r="I34" s="466"/>
      <c r="L34" s="137"/>
    </row>
    <row r="35" spans="1:12" s="142" customFormat="1" ht="18.75" customHeight="1">
      <c r="A35" s="153">
        <f ca="1">IF(ROWS($1:24)&gt;COUNT(Dong2),"",OFFSET(TH!C$1,SMALL(Dong2,ROWS($1:24)),))</f>
        <v>41585</v>
      </c>
      <c r="B35" s="153" t="str">
        <f ca="1">IF(ROWS($1:24)&gt;COUNT(Dong2),"",OFFSET(TH!D$1,SMALL(Dong2,ROWS($1:24)),))</f>
        <v>GBC</v>
      </c>
      <c r="C35" s="153">
        <f ca="1">IF(ROWS($1:24)&gt;COUNT(Dong2),"",OFFSET(TH!E$1,SMALL(Dong2,ROWS($1:24)),))</f>
        <v>41585</v>
      </c>
      <c r="D35" s="229" t="str">
        <f ca="1">IF(ROWS($1:24)&gt;COUNT(Dong2),"",OFFSET(TH!F$1,SMALL(Dong2,ROWS($1:24)),))</f>
        <v>Thu tiền hàng</v>
      </c>
      <c r="E35" s="153" t="str">
        <f ca="1">IF(ROWS($1:24)&gt;COUNT(Dong2),"",IF(OFFSET(TH!M$1,SMALL(Dong2,ROWS($1:24)),)=$I$6,OFFSET(TH!L$1,SMALL(Dong2,ROWS($1:24)),),OFFSET(TH!M$1,SMALL(Dong2,ROWS($1:24)),)))</f>
        <v>131</v>
      </c>
      <c r="F35" s="46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6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0">
        <f t="shared" ca="1" si="0"/>
        <v>33850627</v>
      </c>
      <c r="I35" s="466"/>
      <c r="L35" s="137"/>
    </row>
    <row r="36" spans="1:12" s="142" customFormat="1" ht="18.75" customHeight="1">
      <c r="A36" s="153">
        <f ca="1">IF(ROWS($1:25)&gt;COUNT(Dong2),"",OFFSET(TH!C$1,SMALL(Dong2,ROWS($1:25)),))</f>
        <v>41585</v>
      </c>
      <c r="B36" s="153" t="str">
        <f ca="1">IF(ROWS($1:25)&gt;COUNT(Dong2),"",OFFSET(TH!D$1,SMALL(Dong2,ROWS($1:25)),))</f>
        <v>GBC</v>
      </c>
      <c r="C36" s="153">
        <f ca="1">IF(ROWS($1:25)&gt;COUNT(Dong2),"",OFFSET(TH!E$1,SMALL(Dong2,ROWS($1:25)),))</f>
        <v>41585</v>
      </c>
      <c r="D36" s="229" t="str">
        <f ca="1">IF(ROWS($1:25)&gt;COUNT(Dong2),"",OFFSET(TH!F$1,SMALL(Dong2,ROWS($1:25)),))</f>
        <v>Thu tiền hàng</v>
      </c>
      <c r="E36" s="153" t="str">
        <f ca="1">IF(ROWS($1:25)&gt;COUNT(Dong2),"",IF(OFFSET(TH!M$1,SMALL(Dong2,ROWS($1:25)),)=$I$6,OFFSET(TH!L$1,SMALL(Dong2,ROWS($1:25)),),OFFSET(TH!M$1,SMALL(Dong2,ROWS($1:25)),)))</f>
        <v>131</v>
      </c>
      <c r="F36" s="46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6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0">
        <f t="shared" ca="1" si="0"/>
        <v>49388127</v>
      </c>
      <c r="I36" s="466"/>
      <c r="L36" s="137"/>
    </row>
    <row r="37" spans="1:12" s="142" customFormat="1" ht="18.75" customHeight="1">
      <c r="A37" s="153">
        <f ca="1">IF(ROWS($1:26)&gt;COUNT(Dong2),"",OFFSET(TH!C$1,SMALL(Dong2,ROWS($1:26)),))</f>
        <v>41586</v>
      </c>
      <c r="B37" s="153" t="str">
        <f ca="1">IF(ROWS($1:26)&gt;COUNT(Dong2),"",OFFSET(TH!D$1,SMALL(Dong2,ROWS($1:26)),))</f>
        <v>GBC</v>
      </c>
      <c r="C37" s="153">
        <f ca="1">IF(ROWS($1:26)&gt;COUNT(Dong2),"",OFFSET(TH!E$1,SMALL(Dong2,ROWS($1:26)),))</f>
        <v>41586</v>
      </c>
      <c r="D37" s="229" t="str">
        <f ca="1">IF(ROWS($1:26)&gt;COUNT(Dong2),"",OFFSET(TH!F$1,SMALL(Dong2,ROWS($1:26)),))</f>
        <v>Thu tiền hàng</v>
      </c>
      <c r="E37" s="153" t="str">
        <f ca="1">IF(ROWS($1:26)&gt;COUNT(Dong2),"",IF(OFFSET(TH!M$1,SMALL(Dong2,ROWS($1:26)),)=$I$6,OFFSET(TH!L$1,SMALL(Dong2,ROWS($1:26)),),OFFSET(TH!M$1,SMALL(Dong2,ROWS($1:26)),)))</f>
        <v>131</v>
      </c>
      <c r="F37" s="46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6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0">
        <f t="shared" ca="1" si="0"/>
        <v>58493685</v>
      </c>
      <c r="I37" s="466"/>
      <c r="L37" s="137"/>
    </row>
    <row r="38" spans="1:12" s="142" customFormat="1" ht="18.75" customHeight="1">
      <c r="A38" s="153">
        <f ca="1">IF(ROWS($1:27)&gt;COUNT(Dong2),"",OFFSET(TH!C$1,SMALL(Dong2,ROWS($1:27)),))</f>
        <v>41586</v>
      </c>
      <c r="B38" s="153" t="str">
        <f ca="1">IF(ROWS($1:27)&gt;COUNT(Dong2),"",OFFSET(TH!D$1,SMALL(Dong2,ROWS($1:27)),))</f>
        <v>T16</v>
      </c>
      <c r="C38" s="153">
        <f ca="1">IF(ROWS($1:27)&gt;COUNT(Dong2),"",OFFSET(TH!E$1,SMALL(Dong2,ROWS($1:27)),))</f>
        <v>41586</v>
      </c>
      <c r="D38" s="229" t="str">
        <f ca="1">IF(ROWS($1:27)&gt;COUNT(Dong2),"",OFFSET(TH!F$1,SMALL(Dong2,ROWS($1:27)),))</f>
        <v>Chi sec nhập quỹ tiền mặt</v>
      </c>
      <c r="E38" s="153" t="str">
        <f ca="1">IF(ROWS($1:27)&gt;COUNT(Dong2),"",IF(OFFSET(TH!M$1,SMALL(Dong2,ROWS($1:27)),)=$I$6,OFFSET(TH!L$1,SMALL(Dong2,ROWS($1:27)),),OFFSET(TH!M$1,SMALL(Dong2,ROWS($1:27)),)))</f>
        <v>1111</v>
      </c>
      <c r="F38" s="46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0">
        <f t="shared" ca="1" si="0"/>
        <v>93685</v>
      </c>
      <c r="I38" s="466"/>
      <c r="L38" s="137"/>
    </row>
    <row r="39" spans="1:12" s="142" customFormat="1" ht="18.75" customHeight="1">
      <c r="A39" s="153">
        <f ca="1">IF(ROWS($1:28)&gt;COUNT(Dong2),"",OFFSET(TH!C$1,SMALL(Dong2,ROWS($1:28)),))</f>
        <v>41592</v>
      </c>
      <c r="B39" s="153" t="str">
        <f ca="1">IF(ROWS($1:28)&gt;COUNT(Dong2),"",OFFSET(TH!D$1,SMALL(Dong2,ROWS($1:28)),))</f>
        <v>GBC</v>
      </c>
      <c r="C39" s="153">
        <f ca="1">IF(ROWS($1:28)&gt;COUNT(Dong2),"",OFFSET(TH!E$1,SMALL(Dong2,ROWS($1:28)),))</f>
        <v>41592</v>
      </c>
      <c r="D39" s="229" t="str">
        <f ca="1">IF(ROWS($1:28)&gt;COUNT(Dong2),"",OFFSET(TH!F$1,SMALL(Dong2,ROWS($1:28)),))</f>
        <v>Thu tiền hàng</v>
      </c>
      <c r="E39" s="153" t="str">
        <f ca="1">IF(ROWS($1:28)&gt;COUNT(Dong2),"",IF(OFFSET(TH!M$1,SMALL(Dong2,ROWS($1:28)),)=$I$6,OFFSET(TH!L$1,SMALL(Dong2,ROWS($1:28)),),OFFSET(TH!M$1,SMALL(Dong2,ROWS($1:28)),)))</f>
        <v>131</v>
      </c>
      <c r="F39" s="46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6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0">
        <f t="shared" ca="1" si="0"/>
        <v>14297809</v>
      </c>
      <c r="I39" s="466"/>
      <c r="L39" s="137"/>
    </row>
    <row r="40" spans="1:12" s="142" customFormat="1" ht="18.75" customHeight="1">
      <c r="A40" s="153">
        <f ca="1">IF(ROWS($1:29)&gt;COUNT(Dong2),"",OFFSET(TH!C$1,SMALL(Dong2,ROWS($1:29)),))</f>
        <v>41598</v>
      </c>
      <c r="B40" s="153" t="str">
        <f ca="1">IF(ROWS($1:29)&gt;COUNT(Dong2),"",OFFSET(TH!D$1,SMALL(Dong2,ROWS($1:29)),))</f>
        <v>T20</v>
      </c>
      <c r="C40" s="153">
        <f ca="1">IF(ROWS($1:29)&gt;COUNT(Dong2),"",OFFSET(TH!E$1,SMALL(Dong2,ROWS($1:29)),))</f>
        <v>41598</v>
      </c>
      <c r="D40" s="229" t="str">
        <f ca="1">IF(ROWS($1:29)&gt;COUNT(Dong2),"",OFFSET(TH!F$1,SMALL(Dong2,ROWS($1:29)),))</f>
        <v>Chi sec nhập quỹ tiền mặt</v>
      </c>
      <c r="E40" s="153" t="str">
        <f ca="1">IF(ROWS($1:29)&gt;COUNT(Dong2),"",IF(OFFSET(TH!M$1,SMALL(Dong2,ROWS($1:29)),)=$I$6,OFFSET(TH!L$1,SMALL(Dong2,ROWS($1:29)),),OFFSET(TH!M$1,SMALL(Dong2,ROWS($1:29)),)))</f>
        <v>1111</v>
      </c>
      <c r="F40" s="46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0">
        <f t="shared" ca="1" si="0"/>
        <v>97809</v>
      </c>
      <c r="I40" s="466"/>
    </row>
    <row r="41" spans="1:12" s="142" customFormat="1" ht="18.75" customHeight="1">
      <c r="A41" s="153">
        <f ca="1">IF(ROWS($1:30)&gt;COUNT(Dong2),"",OFFSET(TH!C$1,SMALL(Dong2,ROWS($1:30)),))</f>
        <v>41603</v>
      </c>
      <c r="B41" s="153" t="str">
        <f ca="1">IF(ROWS($1:30)&gt;COUNT(Dong2),"",OFFSET(TH!D$1,SMALL(Dong2,ROWS($1:30)),))</f>
        <v>GBC</v>
      </c>
      <c r="C41" s="153">
        <f ca="1">IF(ROWS($1:30)&gt;COUNT(Dong2),"",OFFSET(TH!E$1,SMALL(Dong2,ROWS($1:30)),))</f>
        <v>41603</v>
      </c>
      <c r="D41" s="229" t="str">
        <f ca="1">IF(ROWS($1:30)&gt;COUNT(Dong2),"",OFFSET(TH!F$1,SMALL(Dong2,ROWS($1:30)),))</f>
        <v>Lãi tiền gửi</v>
      </c>
      <c r="E41" s="153" t="str">
        <f ca="1">IF(ROWS($1:30)&gt;COUNT(Dong2),"",IF(OFFSET(TH!M$1,SMALL(Dong2,ROWS($1:30)),)=$I$6,OFFSET(TH!L$1,SMALL(Dong2,ROWS($1:30)),),OFFSET(TH!M$1,SMALL(Dong2,ROWS($1:30)),)))</f>
        <v>515</v>
      </c>
      <c r="F41" s="46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6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0">
        <f t="shared" ref="H41:H43" ca="1" si="1">IF(A41&lt;&gt;"",H40+F41-G41,0)</f>
        <v>108707</v>
      </c>
      <c r="I41" s="466"/>
    </row>
    <row r="42" spans="1:12" s="142" customFormat="1" ht="18.75" customHeight="1">
      <c r="A42" s="153">
        <f ca="1">IF(ROWS($1:31)&gt;COUNT(Dong2),"",OFFSET(TH!C$1,SMALL(Dong2,ROWS($1:31)),))</f>
        <v>41604</v>
      </c>
      <c r="B42" s="153" t="str">
        <f ca="1">IF(ROWS($1:31)&gt;COUNT(Dong2),"",OFFSET(TH!D$1,SMALL(Dong2,ROWS($1:31)),))</f>
        <v>GBC</v>
      </c>
      <c r="C42" s="153">
        <f ca="1">IF(ROWS($1:31)&gt;COUNT(Dong2),"",OFFSET(TH!E$1,SMALL(Dong2,ROWS($1:31)),))</f>
        <v>41604</v>
      </c>
      <c r="D42" s="229" t="str">
        <f ca="1">IF(ROWS($1:31)&gt;COUNT(Dong2),"",OFFSET(TH!F$1,SMALL(Dong2,ROWS($1:31)),))</f>
        <v>Thu tiền hàng</v>
      </c>
      <c r="E42" s="153" t="str">
        <f ca="1">IF(ROWS($1:31)&gt;COUNT(Dong2),"",IF(OFFSET(TH!M$1,SMALL(Dong2,ROWS($1:31)),)=$I$6,OFFSET(TH!L$1,SMALL(Dong2,ROWS($1:31)),),OFFSET(TH!M$1,SMALL(Dong2,ROWS($1:31)),)))</f>
        <v>131</v>
      </c>
      <c r="F42" s="46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6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0">
        <f t="shared" ca="1" si="1"/>
        <v>11218487</v>
      </c>
      <c r="I42" s="466"/>
    </row>
    <row r="43" spans="1:12" s="142" customFormat="1" ht="18.75" customHeight="1">
      <c r="A43" s="153">
        <f ca="1">IF(ROWS($1:32)&gt;COUNT(Dong2),"",OFFSET(TH!C$1,SMALL(Dong2,ROWS($1:32)),))</f>
        <v>41606</v>
      </c>
      <c r="B43" s="153" t="str">
        <f ca="1">IF(ROWS($1:32)&gt;COUNT(Dong2),"",OFFSET(TH!D$1,SMALL(Dong2,ROWS($1:32)),))</f>
        <v>GBC</v>
      </c>
      <c r="C43" s="153">
        <f ca="1">IF(ROWS($1:32)&gt;COUNT(Dong2),"",OFFSET(TH!E$1,SMALL(Dong2,ROWS($1:32)),))</f>
        <v>41606</v>
      </c>
      <c r="D43" s="229" t="str">
        <f ca="1">IF(ROWS($1:32)&gt;COUNT(Dong2),"",OFFSET(TH!F$1,SMALL(Dong2,ROWS($1:32)),))</f>
        <v>Thu tiền hàng</v>
      </c>
      <c r="E43" s="153" t="str">
        <f ca="1">IF(ROWS($1:32)&gt;COUNT(Dong2),"",IF(OFFSET(TH!M$1,SMALL(Dong2,ROWS($1:32)),)=$I$6,OFFSET(TH!L$1,SMALL(Dong2,ROWS($1:32)),),OFFSET(TH!M$1,SMALL(Dong2,ROWS($1:32)),)))</f>
        <v>131</v>
      </c>
      <c r="F43" s="46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6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0">
        <f t="shared" ca="1" si="1"/>
        <v>39089957</v>
      </c>
      <c r="I43" s="466"/>
    </row>
    <row r="44" spans="1:12" s="142" customFormat="1" ht="18.75" customHeight="1">
      <c r="A44" s="153">
        <f ca="1">IF(ROWS($1:33)&gt;COUNT(Dong2),"",OFFSET(TH!C$1,SMALL(Dong2,ROWS($1:33)),))</f>
        <v>41607</v>
      </c>
      <c r="B44" s="153" t="str">
        <f ca="1">IF(ROWS($1:33)&gt;COUNT(Dong2),"",OFFSET(TH!D$1,SMALL(Dong2,ROWS($1:33)),))</f>
        <v>T25</v>
      </c>
      <c r="C44" s="153">
        <f ca="1">IF(ROWS($1:33)&gt;COUNT(Dong2),"",OFFSET(TH!E$1,SMALL(Dong2,ROWS($1:33)),))</f>
        <v>41607</v>
      </c>
      <c r="D44" s="229" t="str">
        <f ca="1">IF(ROWS($1:33)&gt;COUNT(Dong2),"",OFFSET(TH!F$1,SMALL(Dong2,ROWS($1:33)),))</f>
        <v>Chi sec nhập quỹ tiền mặt</v>
      </c>
      <c r="E44" s="153" t="str">
        <f ca="1">IF(ROWS($1:33)&gt;COUNT(Dong2),"",IF(OFFSET(TH!M$1,SMALL(Dong2,ROWS($1:33)),)=$I$6,OFFSET(TH!L$1,SMALL(Dong2,ROWS($1:33)),),OFFSET(TH!M$1,SMALL(Dong2,ROWS($1:33)),)))</f>
        <v>1111</v>
      </c>
      <c r="F44" s="46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0">
        <f t="shared" ref="H44" ca="1" si="2">IF(A44&lt;&gt;"",H43+F44-G44,0)</f>
        <v>89957</v>
      </c>
      <c r="I44" s="466"/>
    </row>
    <row r="45" spans="1:12" s="142" customFormat="1" ht="18.75" customHeight="1">
      <c r="A45" s="153">
        <f ca="1">IF(ROWS($1:34)&gt;COUNT(Dong2),"",OFFSET(TH!C$1,SMALL(Dong2,ROWS($1:34)),))</f>
        <v>41613</v>
      </c>
      <c r="B45" s="153" t="str">
        <f ca="1">IF(ROWS($1:34)&gt;COUNT(Dong2),"",OFFSET(TH!D$1,SMALL(Dong2,ROWS($1:34)),))</f>
        <v>GBC</v>
      </c>
      <c r="C45" s="153">
        <f ca="1">IF(ROWS($1:34)&gt;COUNT(Dong2),"",OFFSET(TH!E$1,SMALL(Dong2,ROWS($1:34)),))</f>
        <v>41613</v>
      </c>
      <c r="D45" s="229" t="str">
        <f ca="1">IF(ROWS($1:34)&gt;COUNT(Dong2),"",OFFSET(TH!F$1,SMALL(Dong2,ROWS($1:34)),))</f>
        <v>Thu tiền hàng</v>
      </c>
      <c r="E45" s="153" t="str">
        <f ca="1">IF(ROWS($1:34)&gt;COUNT(Dong2),"",IF(OFFSET(TH!M$1,SMALL(Dong2,ROWS($1:34)),)=$I$6,OFFSET(TH!L$1,SMALL(Dong2,ROWS($1:34)),),OFFSET(TH!M$1,SMALL(Dong2,ROWS($1:34)),)))</f>
        <v>131</v>
      </c>
      <c r="F45" s="46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6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0">
        <f t="shared" ref="H45:H54" ca="1" si="3">IF(A45&lt;&gt;"",H44+F45-G45,0)</f>
        <v>6247592</v>
      </c>
      <c r="I45" s="466"/>
    </row>
    <row r="46" spans="1:12" s="142" customFormat="1" ht="18.75" customHeight="1">
      <c r="A46" s="153">
        <f ca="1">IF(ROWS($1:35)&gt;COUNT(Dong2),"",OFFSET(TH!C$1,SMALL(Dong2,ROWS($1:35)),))</f>
        <v>41613</v>
      </c>
      <c r="B46" s="153" t="str">
        <f ca="1">IF(ROWS($1:35)&gt;COUNT(Dong2),"",OFFSET(TH!D$1,SMALL(Dong2,ROWS($1:35)),))</f>
        <v>GBC</v>
      </c>
      <c r="C46" s="153">
        <f ca="1">IF(ROWS($1:35)&gt;COUNT(Dong2),"",OFFSET(TH!E$1,SMALL(Dong2,ROWS($1:35)),))</f>
        <v>41613</v>
      </c>
      <c r="D46" s="229" t="str">
        <f ca="1">IF(ROWS($1:35)&gt;COUNT(Dong2),"",OFFSET(TH!F$1,SMALL(Dong2,ROWS($1:35)),))</f>
        <v>Thu tiền hàng</v>
      </c>
      <c r="E46" s="153" t="str">
        <f ca="1">IF(ROWS($1:35)&gt;COUNT(Dong2),"",IF(OFFSET(TH!M$1,SMALL(Dong2,ROWS($1:35)),)=$I$6,OFFSET(TH!L$1,SMALL(Dong2,ROWS($1:35)),),OFFSET(TH!M$1,SMALL(Dong2,ROWS($1:35)),)))</f>
        <v>131</v>
      </c>
      <c r="F46" s="46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6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0">
        <f t="shared" ca="1" si="3"/>
        <v>27261992</v>
      </c>
      <c r="I46" s="466"/>
    </row>
    <row r="47" spans="1:12" s="142" customFormat="1" ht="18.75" customHeight="1">
      <c r="A47" s="153">
        <f ca="1">IF(ROWS($1:36)&gt;COUNT(Dong2),"",OFFSET(TH!C$1,SMALL(Dong2,ROWS($1:36)),))</f>
        <v>41614</v>
      </c>
      <c r="B47" s="153" t="str">
        <f ca="1">IF(ROWS($1:36)&gt;COUNT(Dong2),"",OFFSET(TH!D$1,SMALL(Dong2,ROWS($1:36)),))</f>
        <v>GBC</v>
      </c>
      <c r="C47" s="153">
        <f ca="1">IF(ROWS($1:36)&gt;COUNT(Dong2),"",OFFSET(TH!E$1,SMALL(Dong2,ROWS($1:36)),))</f>
        <v>41614</v>
      </c>
      <c r="D47" s="229" t="str">
        <f ca="1">IF(ROWS($1:36)&gt;COUNT(Dong2),"",OFFSET(TH!F$1,SMALL(Dong2,ROWS($1:36)),))</f>
        <v>Thu tiền hàng</v>
      </c>
      <c r="E47" s="153" t="str">
        <f ca="1">IF(ROWS($1:36)&gt;COUNT(Dong2),"",IF(OFFSET(TH!M$1,SMALL(Dong2,ROWS($1:36)),)=$I$6,OFFSET(TH!L$1,SMALL(Dong2,ROWS($1:36)),),OFFSET(TH!M$1,SMALL(Dong2,ROWS($1:36)),)))</f>
        <v>131</v>
      </c>
      <c r="F47" s="46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6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0">
        <f t="shared" ca="1" si="3"/>
        <v>50913862</v>
      </c>
      <c r="I47" s="466"/>
    </row>
    <row r="48" spans="1:12" s="142" customFormat="1" ht="18.75" customHeight="1">
      <c r="A48" s="153">
        <f ca="1">IF(ROWS($1:37)&gt;COUNT(Dong2),"",OFFSET(TH!C$1,SMALL(Dong2,ROWS($1:37)),))</f>
        <v>41617</v>
      </c>
      <c r="B48" s="153" t="str">
        <f ca="1">IF(ROWS($1:37)&gt;COUNT(Dong2),"",OFFSET(TH!D$1,SMALL(Dong2,ROWS($1:37)),))</f>
        <v>GBC</v>
      </c>
      <c r="C48" s="153">
        <f ca="1">IF(ROWS($1:37)&gt;COUNT(Dong2),"",OFFSET(TH!E$1,SMALL(Dong2,ROWS($1:37)),))</f>
        <v>41617</v>
      </c>
      <c r="D48" s="229" t="str">
        <f ca="1">IF(ROWS($1:37)&gt;COUNT(Dong2),"",OFFSET(TH!F$1,SMALL(Dong2,ROWS($1:37)),))</f>
        <v>Thu tiền hàng</v>
      </c>
      <c r="E48" s="153" t="str">
        <f ca="1">IF(ROWS($1:37)&gt;COUNT(Dong2),"",IF(OFFSET(TH!M$1,SMALL(Dong2,ROWS($1:37)),)=$I$6,OFFSET(TH!L$1,SMALL(Dong2,ROWS($1:37)),),OFFSET(TH!M$1,SMALL(Dong2,ROWS($1:37)),)))</f>
        <v>131</v>
      </c>
      <c r="F48" s="46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6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0">
        <f t="shared" ca="1" si="3"/>
        <v>65944713</v>
      </c>
      <c r="I48" s="466"/>
    </row>
    <row r="49" spans="1:9" s="142" customFormat="1" ht="18.75" customHeight="1">
      <c r="A49" s="153">
        <f ca="1">IF(ROWS($1:38)&gt;COUNT(Dong2),"",OFFSET(TH!C$1,SMALL(Dong2,ROWS($1:38)),))</f>
        <v>41618</v>
      </c>
      <c r="B49" s="153" t="str">
        <f ca="1">IF(ROWS($1:38)&gt;COUNT(Dong2),"",OFFSET(TH!D$1,SMALL(Dong2,ROWS($1:38)),))</f>
        <v>GBN</v>
      </c>
      <c r="C49" s="153">
        <f ca="1">IF(ROWS($1:38)&gt;COUNT(Dong2),"",OFFSET(TH!E$1,SMALL(Dong2,ROWS($1:38)),))</f>
        <v>41618</v>
      </c>
      <c r="D49" s="229" t="str">
        <f ca="1">IF(ROWS($1:38)&gt;COUNT(Dong2),"",OFFSET(TH!F$1,SMALL(Dong2,ROWS($1:38)),))</f>
        <v>Phí bán 3 cuốn sec</v>
      </c>
      <c r="E49" s="153" t="str">
        <f ca="1">IF(ROWS($1:38)&gt;COUNT(Dong2),"",IF(OFFSET(TH!M$1,SMALL(Dong2,ROWS($1:38)),)=$I$6,OFFSET(TH!L$1,SMALL(Dong2,ROWS($1:38)),),OFFSET(TH!M$1,SMALL(Dong2,ROWS($1:38)),)))</f>
        <v>642</v>
      </c>
      <c r="F49" s="46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0">
        <f t="shared" ca="1" si="3"/>
        <v>65899713</v>
      </c>
      <c r="I49" s="466"/>
    </row>
    <row r="50" spans="1:9" s="142" customFormat="1" ht="18.75" customHeight="1">
      <c r="A50" s="153">
        <f ca="1">IF(ROWS($1:39)&gt;COUNT(Dong2),"",OFFSET(TH!C$1,SMALL(Dong2,ROWS($1:39)),))</f>
        <v>41618</v>
      </c>
      <c r="B50" s="153" t="str">
        <f ca="1">IF(ROWS($1:39)&gt;COUNT(Dong2),"",OFFSET(TH!D$1,SMALL(Dong2,ROWS($1:39)),))</f>
        <v>T27</v>
      </c>
      <c r="C50" s="153">
        <f ca="1">IF(ROWS($1:39)&gt;COUNT(Dong2),"",OFFSET(TH!E$1,SMALL(Dong2,ROWS($1:39)),))</f>
        <v>41618</v>
      </c>
      <c r="D50" s="229" t="str">
        <f ca="1">IF(ROWS($1:39)&gt;COUNT(Dong2),"",OFFSET(TH!F$1,SMALL(Dong2,ROWS($1:39)),))</f>
        <v>Chi sec nhập quỹ tiền mặt</v>
      </c>
      <c r="E50" s="153" t="str">
        <f ca="1">IF(ROWS($1:39)&gt;COUNT(Dong2),"",IF(OFFSET(TH!M$1,SMALL(Dong2,ROWS($1:39)),)=$I$6,OFFSET(TH!L$1,SMALL(Dong2,ROWS($1:39)),),OFFSET(TH!M$1,SMALL(Dong2,ROWS($1:39)),)))</f>
        <v>1111</v>
      </c>
      <c r="F50" s="46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0">
        <f t="shared" ca="1" si="3"/>
        <v>99713</v>
      </c>
      <c r="I50" s="466"/>
    </row>
    <row r="51" spans="1:9" s="142" customFormat="1" ht="18.75" customHeight="1">
      <c r="A51" s="153">
        <f ca="1">IF(ROWS($1:40)&gt;COUNT(Dong2),"",OFFSET(TH!C$1,SMALL(Dong2,ROWS($1:40)),))</f>
        <v>41620</v>
      </c>
      <c r="B51" s="153" t="str">
        <f ca="1">IF(ROWS($1:40)&gt;COUNT(Dong2),"",OFFSET(TH!D$1,SMALL(Dong2,ROWS($1:40)),))</f>
        <v>GBC</v>
      </c>
      <c r="C51" s="153">
        <f ca="1">IF(ROWS($1:40)&gt;COUNT(Dong2),"",OFFSET(TH!E$1,SMALL(Dong2,ROWS($1:40)),))</f>
        <v>41620</v>
      </c>
      <c r="D51" s="229" t="str">
        <f ca="1">IF(ROWS($1:40)&gt;COUNT(Dong2),"",OFFSET(TH!F$1,SMALL(Dong2,ROWS($1:40)),))</f>
        <v>Thu tiền hàng</v>
      </c>
      <c r="E51" s="153" t="str">
        <f ca="1">IF(ROWS($1:40)&gt;COUNT(Dong2),"",IF(OFFSET(TH!M$1,SMALL(Dong2,ROWS($1:40)),)=$I$6,OFFSET(TH!L$1,SMALL(Dong2,ROWS($1:40)),),OFFSET(TH!M$1,SMALL(Dong2,ROWS($1:40)),)))</f>
        <v>131</v>
      </c>
      <c r="F51" s="46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6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0">
        <f t="shared" ca="1" si="3"/>
        <v>13758853</v>
      </c>
      <c r="I51" s="466"/>
    </row>
    <row r="52" spans="1:9" s="142" customFormat="1" ht="18.75" customHeight="1">
      <c r="A52" s="153">
        <f ca="1">IF(ROWS($1:41)&gt;COUNT(Dong2),"",OFFSET(TH!C$1,SMALL(Dong2,ROWS($1:41)),))</f>
        <v>41624</v>
      </c>
      <c r="B52" s="153" t="str">
        <f ca="1">IF(ROWS($1:41)&gt;COUNT(Dong2),"",OFFSET(TH!D$1,SMALL(Dong2,ROWS($1:41)),))</f>
        <v>GBC</v>
      </c>
      <c r="C52" s="153">
        <f ca="1">IF(ROWS($1:41)&gt;COUNT(Dong2),"",OFFSET(TH!E$1,SMALL(Dong2,ROWS($1:41)),))</f>
        <v>41624</v>
      </c>
      <c r="D52" s="229" t="str">
        <f ca="1">IF(ROWS($1:41)&gt;COUNT(Dong2),"",OFFSET(TH!F$1,SMALL(Dong2,ROWS($1:41)),))</f>
        <v>Thu tiền hàng</v>
      </c>
      <c r="E52" s="153" t="str">
        <f ca="1">IF(ROWS($1:41)&gt;COUNT(Dong2),"",IF(OFFSET(TH!M$1,SMALL(Dong2,ROWS($1:41)),)=$I$6,OFFSET(TH!L$1,SMALL(Dong2,ROWS($1:41)),),OFFSET(TH!M$1,SMALL(Dong2,ROWS($1:41)),)))</f>
        <v>131</v>
      </c>
      <c r="F52" s="46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6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0">
        <f t="shared" ca="1" si="3"/>
        <v>27172253</v>
      </c>
      <c r="I52" s="466"/>
    </row>
    <row r="53" spans="1:9" s="142" customFormat="1" ht="18.75" customHeight="1">
      <c r="A53" s="153">
        <f ca="1">IF(ROWS($1:42)&gt;COUNT(Dong2),"",OFFSET(TH!C$1,SMALL(Dong2,ROWS($1:42)),))</f>
        <v>41625</v>
      </c>
      <c r="B53" s="153" t="str">
        <f ca="1">IF(ROWS($1:42)&gt;COUNT(Dong2),"",OFFSET(TH!D$1,SMALL(Dong2,ROWS($1:42)),))</f>
        <v>GBC</v>
      </c>
      <c r="C53" s="153">
        <f ca="1">IF(ROWS($1:42)&gt;COUNT(Dong2),"",OFFSET(TH!E$1,SMALL(Dong2,ROWS($1:42)),))</f>
        <v>41625</v>
      </c>
      <c r="D53" s="229" t="str">
        <f ca="1">IF(ROWS($1:42)&gt;COUNT(Dong2),"",OFFSET(TH!F$1,SMALL(Dong2,ROWS($1:42)),))</f>
        <v>Thu tiền hàng</v>
      </c>
      <c r="E53" s="153" t="str">
        <f ca="1">IF(ROWS($1:42)&gt;COUNT(Dong2),"",IF(OFFSET(TH!M$1,SMALL(Dong2,ROWS($1:42)),)=$I$6,OFFSET(TH!L$1,SMALL(Dong2,ROWS($1:42)),),OFFSET(TH!M$1,SMALL(Dong2,ROWS($1:42)),)))</f>
        <v>131</v>
      </c>
      <c r="F53" s="46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6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0">
        <f t="shared" ca="1" si="3"/>
        <v>42191433</v>
      </c>
      <c r="I53" s="466"/>
    </row>
    <row r="54" spans="1:9" s="142" customFormat="1" ht="18.75" customHeight="1">
      <c r="A54" s="153">
        <f ca="1">IF(ROWS($1:43)&gt;COUNT(Dong2),"",OFFSET(TH!C$1,SMALL(Dong2,ROWS($1:43)),))</f>
        <v>41625</v>
      </c>
      <c r="B54" s="153" t="str">
        <f ca="1">IF(ROWS($1:43)&gt;COUNT(Dong2),"",OFFSET(TH!D$1,SMALL(Dong2,ROWS($1:43)),))</f>
        <v>T28</v>
      </c>
      <c r="C54" s="153">
        <f ca="1">IF(ROWS($1:43)&gt;COUNT(Dong2),"",OFFSET(TH!E$1,SMALL(Dong2,ROWS($1:43)),))</f>
        <v>41625</v>
      </c>
      <c r="D54" s="229" t="str">
        <f ca="1">IF(ROWS($1:43)&gt;COUNT(Dong2),"",OFFSET(TH!F$1,SMALL(Dong2,ROWS($1:43)),))</f>
        <v>Chi sec nhập quỹ tiền mặt</v>
      </c>
      <c r="E54" s="153" t="str">
        <f ca="1">IF(ROWS($1:43)&gt;COUNT(Dong2),"",IF(OFFSET(TH!M$1,SMALL(Dong2,ROWS($1:43)),)=$I$6,OFFSET(TH!L$1,SMALL(Dong2,ROWS($1:43)),),OFFSET(TH!M$1,SMALL(Dong2,ROWS($1:43)),)))</f>
        <v>1111</v>
      </c>
      <c r="F54" s="46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0">
        <f t="shared" ca="1" si="3"/>
        <v>191433</v>
      </c>
      <c r="I54" s="466"/>
    </row>
    <row r="55" spans="1:9" s="142" customFormat="1" ht="18.75" customHeight="1">
      <c r="A55" s="153">
        <f ca="1">IF(ROWS($1:44)&gt;COUNT(Dong2),"",OFFSET(TH!C$1,SMALL(Dong2,ROWS($1:44)),))</f>
        <v>41632</v>
      </c>
      <c r="B55" s="153" t="str">
        <f ca="1">IF(ROWS($1:44)&gt;COUNT(Dong2),"",OFFSET(TH!D$1,SMALL(Dong2,ROWS($1:44)),))</f>
        <v>GBC</v>
      </c>
      <c r="C55" s="153">
        <f ca="1">IF(ROWS($1:44)&gt;COUNT(Dong2),"",OFFSET(TH!E$1,SMALL(Dong2,ROWS($1:44)),))</f>
        <v>41632</v>
      </c>
      <c r="D55" s="229" t="str">
        <f ca="1">IF(ROWS($1:44)&gt;COUNT(Dong2),"",OFFSET(TH!F$1,SMALL(Dong2,ROWS($1:44)),))</f>
        <v>Thu tiền hàng</v>
      </c>
      <c r="E55" s="153" t="str">
        <f ca="1">IF(ROWS($1:44)&gt;COUNT(Dong2),"",IF(OFFSET(TH!M$1,SMALL(Dong2,ROWS($1:44)),)=$I$6,OFFSET(TH!L$1,SMALL(Dong2,ROWS($1:44)),),OFFSET(TH!M$1,SMALL(Dong2,ROWS($1:44)),)))</f>
        <v>131</v>
      </c>
      <c r="F55" s="46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6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0">
        <f t="shared" ref="H55:H68" ca="1" si="4">IF(A55&lt;&gt;"",H54+F55-G55,0)</f>
        <v>23576553</v>
      </c>
      <c r="I55" s="466"/>
    </row>
    <row r="56" spans="1:9" s="142" customFormat="1" ht="18.75" customHeight="1">
      <c r="A56" s="153">
        <f ca="1">IF(ROWS($1:45)&gt;COUNT(Dong2),"",OFFSET(TH!C$1,SMALL(Dong2,ROWS($1:45)),))</f>
        <v>41633</v>
      </c>
      <c r="B56" s="153" t="str">
        <f ca="1">IF(ROWS($1:45)&gt;COUNT(Dong2),"",OFFSET(TH!D$1,SMALL(Dong2,ROWS($1:45)),))</f>
        <v>GBC</v>
      </c>
      <c r="C56" s="153">
        <f ca="1">IF(ROWS($1:45)&gt;COUNT(Dong2),"",OFFSET(TH!E$1,SMALL(Dong2,ROWS($1:45)),))</f>
        <v>41633</v>
      </c>
      <c r="D56" s="229" t="str">
        <f ca="1">IF(ROWS($1:45)&gt;COUNT(Dong2),"",OFFSET(TH!F$1,SMALL(Dong2,ROWS($1:45)),))</f>
        <v>Lãi tiền gửi</v>
      </c>
      <c r="E56" s="153" t="str">
        <f ca="1">IF(ROWS($1:45)&gt;COUNT(Dong2),"",IF(OFFSET(TH!M$1,SMALL(Dong2,ROWS($1:45)),)=$I$6,OFFSET(TH!L$1,SMALL(Dong2,ROWS($1:45)),),OFFSET(TH!M$1,SMALL(Dong2,ROWS($1:45)),)))</f>
        <v>515</v>
      </c>
      <c r="F56" s="46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6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0">
        <f t="shared" ca="1" si="4"/>
        <v>23591115</v>
      </c>
      <c r="I56" s="466"/>
    </row>
    <row r="57" spans="1:9" s="142" customFormat="1" ht="18.75" customHeight="1">
      <c r="A57" s="153">
        <f ca="1">IF(ROWS($1:46)&gt;COUNT(Dong2),"",OFFSET(TH!C$1,SMALL(Dong2,ROWS($1:46)),))</f>
        <v>41635</v>
      </c>
      <c r="B57" s="153" t="str">
        <f ca="1">IF(ROWS($1:46)&gt;COUNT(Dong2),"",OFFSET(TH!D$1,SMALL(Dong2,ROWS($1:46)),))</f>
        <v>GBN</v>
      </c>
      <c r="C57" s="153">
        <f ca="1">IF(ROWS($1:46)&gt;COUNT(Dong2),"",OFFSET(TH!E$1,SMALL(Dong2,ROWS($1:46)),))</f>
        <v>41635</v>
      </c>
      <c r="D57" s="229" t="str">
        <f ca="1">IF(ROWS($1:46)&gt;COUNT(Dong2),"",OFFSET(TH!F$1,SMALL(Dong2,ROWS($1:46)),))</f>
        <v>Thu tiền hàng</v>
      </c>
      <c r="E57" s="153" t="str">
        <f ca="1">IF(ROWS($1:46)&gt;COUNT(Dong2),"",IF(OFFSET(TH!M$1,SMALL(Dong2,ROWS($1:46)),)=$I$6,OFFSET(TH!L$1,SMALL(Dong2,ROWS($1:46)),),OFFSET(TH!M$1,SMALL(Dong2,ROWS($1:46)),)))</f>
        <v>131</v>
      </c>
      <c r="F57" s="46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6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0">
        <f t="shared" ca="1" si="4"/>
        <v>33012835</v>
      </c>
      <c r="I57" s="466"/>
    </row>
    <row r="58" spans="1:9" s="142" customFormat="1" ht="18.75" customHeight="1">
      <c r="A58" s="153">
        <f ca="1">IF(ROWS($1:47)&gt;COUNT(Dong2),"",OFFSET(TH!C$1,SMALL(Dong2,ROWS($1:47)),))</f>
        <v>41639</v>
      </c>
      <c r="B58" s="153" t="str">
        <f ca="1">IF(ROWS($1:47)&gt;COUNT(Dong2),"",OFFSET(TH!D$1,SMALL(Dong2,ROWS($1:47)),))</f>
        <v>T33</v>
      </c>
      <c r="C58" s="153">
        <f ca="1">IF(ROWS($1:47)&gt;COUNT(Dong2),"",OFFSET(TH!E$1,SMALL(Dong2,ROWS($1:47)),))</f>
        <v>41639</v>
      </c>
      <c r="D58" s="229" t="str">
        <f ca="1">IF(ROWS($1:47)&gt;COUNT(Dong2),"",OFFSET(TH!F$1,SMALL(Dong2,ROWS($1:47)),))</f>
        <v>Chi sec nhập quỹ tiền mặt</v>
      </c>
      <c r="E58" s="153" t="str">
        <f ca="1">IF(ROWS($1:47)&gt;COUNT(Dong2),"",IF(OFFSET(TH!M$1,SMALL(Dong2,ROWS($1:47)),)=$I$6,OFFSET(TH!L$1,SMALL(Dong2,ROWS($1:47)),),OFFSET(TH!M$1,SMALL(Dong2,ROWS($1:47)),)))</f>
        <v>1111</v>
      </c>
      <c r="F58" s="46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0">
        <f t="shared" ca="1" si="4"/>
        <v>112835</v>
      </c>
      <c r="I58" s="466"/>
    </row>
    <row r="59" spans="1:9" s="142" customFormat="1" ht="18.75" customHeight="1">
      <c r="A59" s="153" t="str">
        <f ca="1">IF(ROWS($1:48)&gt;COUNT(Dong2),"",OFFSET(TH!C$1,SMALL(Dong2,ROWS($1:48)),))</f>
        <v/>
      </c>
      <c r="B59" s="153" t="str">
        <f ca="1">IF(ROWS($1:48)&gt;COUNT(Dong2),"",OFFSET(TH!D$1,SMALL(Dong2,ROWS($1:48)),))</f>
        <v/>
      </c>
      <c r="C59" s="153" t="str">
        <f ca="1">IF(ROWS($1:48)&gt;COUNT(Dong2),"",OFFSET(TH!E$1,SMALL(Dong2,ROWS($1:48)),))</f>
        <v/>
      </c>
      <c r="D59" s="229" t="str">
        <f ca="1">IF(ROWS($1:48)&gt;COUNT(Dong2),"",OFFSET(TH!F$1,SMALL(Dong2,ROWS($1:48)),))</f>
        <v/>
      </c>
      <c r="E59" s="153" t="str">
        <f ca="1">IF(ROWS($1:48)&gt;COUNT(Dong2),"",IF(OFFSET(TH!M$1,SMALL(Dong2,ROWS($1:48)),)=$I$6,OFFSET(TH!L$1,SMALL(Dong2,ROWS($1:48)),),OFFSET(TH!M$1,SMALL(Dong2,ROWS($1:48)),)))</f>
        <v/>
      </c>
      <c r="F59" s="469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9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0">
        <f t="shared" ca="1" si="4"/>
        <v>0</v>
      </c>
      <c r="I59" s="466"/>
    </row>
    <row r="60" spans="1:9" s="142" customFormat="1" ht="18.75" customHeight="1">
      <c r="A60" s="153" t="str">
        <f ca="1">IF(ROWS($1:49)&gt;COUNT(Dong2),"",OFFSET(TH!C$1,SMALL(Dong2,ROWS($1:49)),))</f>
        <v/>
      </c>
      <c r="B60" s="153" t="str">
        <f ca="1">IF(ROWS($1:49)&gt;COUNT(Dong2),"",OFFSET(TH!D$1,SMALL(Dong2,ROWS($1:49)),))</f>
        <v/>
      </c>
      <c r="C60" s="153" t="str">
        <f ca="1">IF(ROWS($1:49)&gt;COUNT(Dong2),"",OFFSET(TH!E$1,SMALL(Dong2,ROWS($1:49)),))</f>
        <v/>
      </c>
      <c r="D60" s="229" t="str">
        <f ca="1">IF(ROWS($1:49)&gt;COUNT(Dong2),"",OFFSET(TH!F$1,SMALL(Dong2,ROWS($1:49)),))</f>
        <v/>
      </c>
      <c r="E60" s="153" t="str">
        <f ca="1">IF(ROWS($1:49)&gt;COUNT(Dong2),"",IF(OFFSET(TH!M$1,SMALL(Dong2,ROWS($1:49)),)=$I$6,OFFSET(TH!L$1,SMALL(Dong2,ROWS($1:49)),),OFFSET(TH!M$1,SMALL(Dong2,ROWS($1:49)),)))</f>
        <v/>
      </c>
      <c r="F60" s="469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9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0">
        <f t="shared" ca="1" si="4"/>
        <v>0</v>
      </c>
      <c r="I60" s="466"/>
    </row>
    <row r="61" spans="1:9" s="142" customFormat="1" ht="18.75" customHeight="1">
      <c r="A61" s="153" t="str">
        <f ca="1">IF(ROWS($1:50)&gt;COUNT(Dong2),"",OFFSET(TH!C$1,SMALL(Dong2,ROWS($1:50)),))</f>
        <v/>
      </c>
      <c r="B61" s="153" t="str">
        <f ca="1">IF(ROWS($1:50)&gt;COUNT(Dong2),"",OFFSET(TH!D$1,SMALL(Dong2,ROWS($1:50)),))</f>
        <v/>
      </c>
      <c r="C61" s="153" t="str">
        <f ca="1">IF(ROWS($1:50)&gt;COUNT(Dong2),"",OFFSET(TH!E$1,SMALL(Dong2,ROWS($1:50)),))</f>
        <v/>
      </c>
      <c r="D61" s="229" t="str">
        <f ca="1">IF(ROWS($1:50)&gt;COUNT(Dong2),"",OFFSET(TH!F$1,SMALL(Dong2,ROWS($1:50)),))</f>
        <v/>
      </c>
      <c r="E61" s="153" t="str">
        <f ca="1">IF(ROWS($1:50)&gt;COUNT(Dong2),"",IF(OFFSET(TH!M$1,SMALL(Dong2,ROWS($1:50)),)=$I$6,OFFSET(TH!L$1,SMALL(Dong2,ROWS($1:50)),),OFFSET(TH!M$1,SMALL(Dong2,ROWS($1:50)),)))</f>
        <v/>
      </c>
      <c r="F61" s="469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9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0">
        <f t="shared" ca="1" si="4"/>
        <v>0</v>
      </c>
      <c r="I61" s="466"/>
    </row>
    <row r="62" spans="1:9" s="142" customFormat="1" ht="18.75" customHeight="1">
      <c r="A62" s="153" t="str">
        <f ca="1">IF(ROWS($1:51)&gt;COUNT(Dong2),"",OFFSET(TH!C$1,SMALL(Dong2,ROWS($1:51)),))</f>
        <v/>
      </c>
      <c r="B62" s="153" t="str">
        <f ca="1">IF(ROWS($1:51)&gt;COUNT(Dong2),"",OFFSET(TH!D$1,SMALL(Dong2,ROWS($1:51)),))</f>
        <v/>
      </c>
      <c r="C62" s="153" t="str">
        <f ca="1">IF(ROWS($1:51)&gt;COUNT(Dong2),"",OFFSET(TH!E$1,SMALL(Dong2,ROWS($1:51)),))</f>
        <v/>
      </c>
      <c r="D62" s="229" t="str">
        <f ca="1">IF(ROWS($1:51)&gt;COUNT(Dong2),"",OFFSET(TH!F$1,SMALL(Dong2,ROWS($1:51)),))</f>
        <v/>
      </c>
      <c r="E62" s="153" t="str">
        <f ca="1">IF(ROWS($1:51)&gt;COUNT(Dong2),"",IF(OFFSET(TH!M$1,SMALL(Dong2,ROWS($1:51)),)=$I$6,OFFSET(TH!L$1,SMALL(Dong2,ROWS($1:51)),),OFFSET(TH!M$1,SMALL(Dong2,ROWS($1:51)),)))</f>
        <v/>
      </c>
      <c r="F62" s="469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9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0">
        <f t="shared" ca="1" si="4"/>
        <v>0</v>
      </c>
      <c r="I62" s="466"/>
    </row>
    <row r="63" spans="1:9" s="142" customFormat="1" ht="18.75" customHeight="1">
      <c r="A63" s="153" t="str">
        <f ca="1">IF(ROWS($1:52)&gt;COUNT(Dong2),"",OFFSET(TH!C$1,SMALL(Dong2,ROWS($1:52)),))</f>
        <v/>
      </c>
      <c r="B63" s="153" t="str">
        <f ca="1">IF(ROWS($1:52)&gt;COUNT(Dong2),"",OFFSET(TH!D$1,SMALL(Dong2,ROWS($1:52)),))</f>
        <v/>
      </c>
      <c r="C63" s="153" t="str">
        <f ca="1">IF(ROWS($1:52)&gt;COUNT(Dong2),"",OFFSET(TH!E$1,SMALL(Dong2,ROWS($1:52)),))</f>
        <v/>
      </c>
      <c r="D63" s="229" t="str">
        <f ca="1">IF(ROWS($1:52)&gt;COUNT(Dong2),"",OFFSET(TH!F$1,SMALL(Dong2,ROWS($1:52)),))</f>
        <v/>
      </c>
      <c r="E63" s="153" t="str">
        <f ca="1">IF(ROWS($1:52)&gt;COUNT(Dong2),"",IF(OFFSET(TH!M$1,SMALL(Dong2,ROWS($1:52)),)=$I$6,OFFSET(TH!L$1,SMALL(Dong2,ROWS($1:52)),),OFFSET(TH!M$1,SMALL(Dong2,ROWS($1:52)),)))</f>
        <v/>
      </c>
      <c r="F63" s="469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9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0">
        <f t="shared" ca="1" si="4"/>
        <v>0</v>
      </c>
      <c r="I63" s="466"/>
    </row>
    <row r="64" spans="1:9" s="142" customFormat="1" ht="18.75" customHeight="1">
      <c r="A64" s="153" t="str">
        <f ca="1">IF(ROWS($1:53)&gt;COUNT(Dong2),"",OFFSET(TH!C$1,SMALL(Dong2,ROWS($1:53)),))</f>
        <v/>
      </c>
      <c r="B64" s="153" t="str">
        <f ca="1">IF(ROWS($1:53)&gt;COUNT(Dong2),"",OFFSET(TH!D$1,SMALL(Dong2,ROWS($1:53)),))</f>
        <v/>
      </c>
      <c r="C64" s="153" t="str">
        <f ca="1">IF(ROWS($1:53)&gt;COUNT(Dong2),"",OFFSET(TH!E$1,SMALL(Dong2,ROWS($1:53)),))</f>
        <v/>
      </c>
      <c r="D64" s="229" t="str">
        <f ca="1">IF(ROWS($1:53)&gt;COUNT(Dong2),"",OFFSET(TH!F$1,SMALL(Dong2,ROWS($1:53)),))</f>
        <v/>
      </c>
      <c r="E64" s="153" t="str">
        <f ca="1">IF(ROWS($1:53)&gt;COUNT(Dong2),"",IF(OFFSET(TH!M$1,SMALL(Dong2,ROWS($1:53)),)=$I$6,OFFSET(TH!L$1,SMALL(Dong2,ROWS($1:53)),),OFFSET(TH!M$1,SMALL(Dong2,ROWS($1:53)),)))</f>
        <v/>
      </c>
      <c r="F64" s="469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9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0">
        <f t="shared" ca="1" si="4"/>
        <v>0</v>
      </c>
      <c r="I64" s="466"/>
    </row>
    <row r="65" spans="1:20" s="142" customFormat="1" ht="18.75" customHeight="1">
      <c r="A65" s="153" t="str">
        <f ca="1">IF(ROWS($1:54)&gt;COUNT(Dong2),"",OFFSET(TH!C$1,SMALL(Dong2,ROWS($1:54)),))</f>
        <v/>
      </c>
      <c r="B65" s="153" t="str">
        <f ca="1">IF(ROWS($1:54)&gt;COUNT(Dong2),"",OFFSET(TH!D$1,SMALL(Dong2,ROWS($1:54)),))</f>
        <v/>
      </c>
      <c r="C65" s="153" t="str">
        <f ca="1">IF(ROWS($1:54)&gt;COUNT(Dong2),"",OFFSET(TH!E$1,SMALL(Dong2,ROWS($1:54)),))</f>
        <v/>
      </c>
      <c r="D65" s="229" t="str">
        <f ca="1">IF(ROWS($1:54)&gt;COUNT(Dong2),"",OFFSET(TH!F$1,SMALL(Dong2,ROWS($1:54)),))</f>
        <v/>
      </c>
      <c r="E65" s="153" t="str">
        <f ca="1">IF(ROWS($1:54)&gt;COUNT(Dong2),"",IF(OFFSET(TH!M$1,SMALL(Dong2,ROWS($1:54)),)=$I$6,OFFSET(TH!L$1,SMALL(Dong2,ROWS($1:54)),),OFFSET(TH!M$1,SMALL(Dong2,ROWS($1:54)),)))</f>
        <v/>
      </c>
      <c r="F65" s="469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9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0">
        <f t="shared" ca="1" si="4"/>
        <v>0</v>
      </c>
      <c r="I65" s="466"/>
    </row>
    <row r="66" spans="1:20" s="142" customFormat="1" ht="18.75" customHeight="1">
      <c r="A66" s="153" t="str">
        <f ca="1">IF(ROWS($1:55)&gt;COUNT(Dong2),"",OFFSET(TH!C$1,SMALL(Dong2,ROWS($1:55)),))</f>
        <v/>
      </c>
      <c r="B66" s="153" t="str">
        <f ca="1">IF(ROWS($1:55)&gt;COUNT(Dong2),"",OFFSET(TH!D$1,SMALL(Dong2,ROWS($1:55)),))</f>
        <v/>
      </c>
      <c r="C66" s="153" t="str">
        <f ca="1">IF(ROWS($1:55)&gt;COUNT(Dong2),"",OFFSET(TH!E$1,SMALL(Dong2,ROWS($1:55)),))</f>
        <v/>
      </c>
      <c r="D66" s="229" t="str">
        <f ca="1">IF(ROWS($1:55)&gt;COUNT(Dong2),"",OFFSET(TH!F$1,SMALL(Dong2,ROWS($1:55)),))</f>
        <v/>
      </c>
      <c r="E66" s="153" t="str">
        <f ca="1">IF(ROWS($1:55)&gt;COUNT(Dong2),"",IF(OFFSET(TH!M$1,SMALL(Dong2,ROWS($1:55)),)=$I$6,OFFSET(TH!L$1,SMALL(Dong2,ROWS($1:55)),),OFFSET(TH!M$1,SMALL(Dong2,ROWS($1:55)),)))</f>
        <v/>
      </c>
      <c r="F66" s="469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9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0">
        <f t="shared" ca="1" si="4"/>
        <v>0</v>
      </c>
      <c r="I66" s="466"/>
    </row>
    <row r="67" spans="1:20" s="142" customFormat="1" ht="18.75" customHeight="1">
      <c r="A67" s="153" t="str">
        <f ca="1">IF(ROWS($1:56)&gt;COUNT(Dong2),"",OFFSET(TH!C$1,SMALL(Dong2,ROWS($1:56)),))</f>
        <v/>
      </c>
      <c r="B67" s="153" t="str">
        <f ca="1">IF(ROWS($1:56)&gt;COUNT(Dong2),"",OFFSET(TH!D$1,SMALL(Dong2,ROWS($1:56)),))</f>
        <v/>
      </c>
      <c r="C67" s="153" t="str">
        <f ca="1">IF(ROWS($1:56)&gt;COUNT(Dong2),"",OFFSET(TH!E$1,SMALL(Dong2,ROWS($1:56)),))</f>
        <v/>
      </c>
      <c r="D67" s="229" t="str">
        <f ca="1">IF(ROWS($1:56)&gt;COUNT(Dong2),"",OFFSET(TH!F$1,SMALL(Dong2,ROWS($1:56)),))</f>
        <v/>
      </c>
      <c r="E67" s="153" t="str">
        <f ca="1">IF(ROWS($1:56)&gt;COUNT(Dong2),"",IF(OFFSET(TH!M$1,SMALL(Dong2,ROWS($1:56)),)=$I$6,OFFSET(TH!L$1,SMALL(Dong2,ROWS($1:56)),),OFFSET(TH!M$1,SMALL(Dong2,ROWS($1:56)),)))</f>
        <v/>
      </c>
      <c r="F67" s="469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9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0">
        <f t="shared" ca="1" si="4"/>
        <v>0</v>
      </c>
      <c r="I67" s="466"/>
    </row>
    <row r="68" spans="1:20" s="142" customFormat="1" ht="18.75" customHeight="1">
      <c r="A68" s="153" t="str">
        <f ca="1">IF(ROWS($1:57)&gt;COUNT(Dong2),"",OFFSET(TH!C$1,SMALL(Dong2,ROWS($1:57)),))</f>
        <v/>
      </c>
      <c r="B68" s="153" t="str">
        <f ca="1">IF(ROWS($1:57)&gt;COUNT(Dong2),"",OFFSET(TH!D$1,SMALL(Dong2,ROWS($1:57)),))</f>
        <v/>
      </c>
      <c r="C68" s="153" t="str">
        <f ca="1">IF(ROWS($1:57)&gt;COUNT(Dong2),"",OFFSET(TH!E$1,SMALL(Dong2,ROWS($1:57)),))</f>
        <v/>
      </c>
      <c r="D68" s="229" t="str">
        <f ca="1">IF(ROWS($1:57)&gt;COUNT(Dong2),"",OFFSET(TH!F$1,SMALL(Dong2,ROWS($1:57)),))</f>
        <v/>
      </c>
      <c r="E68" s="153" t="str">
        <f ca="1">IF(ROWS($1:57)&gt;COUNT(Dong2),"",IF(OFFSET(TH!M$1,SMALL(Dong2,ROWS($1:57)),)=$I$6,OFFSET(TH!L$1,SMALL(Dong2,ROWS($1:57)),),OFFSET(TH!M$1,SMALL(Dong2,ROWS($1:57)),)))</f>
        <v/>
      </c>
      <c r="F68" s="469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9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0">
        <f t="shared" ca="1" si="4"/>
        <v>0</v>
      </c>
      <c r="I68" s="466"/>
    </row>
    <row r="69" spans="1:20" s="142" customFormat="1" ht="18.75" customHeight="1">
      <c r="A69" s="153"/>
      <c r="B69" s="153"/>
      <c r="C69" s="153"/>
      <c r="D69" s="229"/>
      <c r="E69" s="153"/>
      <c r="F69" s="469"/>
      <c r="G69" s="469"/>
      <c r="H69" s="600"/>
      <c r="I69" s="466"/>
      <c r="Q69" s="152"/>
      <c r="R69" s="152"/>
      <c r="S69" s="152"/>
      <c r="T69" s="152"/>
    </row>
    <row r="70" spans="1:20" s="152" customFormat="1" ht="18.75" customHeight="1">
      <c r="A70" s="154"/>
      <c r="B70" s="155"/>
      <c r="C70" s="154"/>
      <c r="D70" s="151" t="s">
        <v>131</v>
      </c>
      <c r="E70" s="156"/>
      <c r="F70" s="468">
        <f ca="1">SUM(F12:F69)</f>
        <v>457023891</v>
      </c>
      <c r="G70" s="468">
        <f ca="1">SUM(G12:G69)</f>
        <v>471845000</v>
      </c>
      <c r="H70" s="468">
        <f ca="1">H11+F70-G70</f>
        <v>112835</v>
      </c>
      <c r="I70" s="467"/>
    </row>
    <row r="71" spans="1:20" s="152" customFormat="1" ht="18.75" customHeight="1">
      <c r="A71" s="154"/>
      <c r="B71" s="155"/>
      <c r="C71" s="154"/>
      <c r="D71" s="151" t="s">
        <v>10</v>
      </c>
      <c r="E71" s="156"/>
      <c r="F71" s="157"/>
      <c r="G71" s="157"/>
      <c r="H71" s="468">
        <f ca="1">H70</f>
        <v>112835</v>
      </c>
      <c r="I71" s="156"/>
    </row>
    <row r="72" spans="1:20" s="152" customFormat="1" ht="22.5" customHeight="1">
      <c r="A72" s="246" t="s">
        <v>152</v>
      </c>
      <c r="B72" s="158"/>
      <c r="F72" s="159"/>
      <c r="H72" s="593"/>
      <c r="I72" s="160"/>
    </row>
    <row r="73" spans="1:20" s="152" customFormat="1" ht="12.75">
      <c r="A73" s="177" t="str">
        <f ca="1">"- Ngày mở sổ: "&amp;DAY($A$12)&amp;"/"&amp;MONTH($A$12)&amp;"/ " &amp;YEAR($A$12)</f>
        <v>- Ngày mở sổ: 5/10/ 2013</v>
      </c>
      <c r="B73" s="161"/>
      <c r="F73" s="159"/>
      <c r="H73" s="593"/>
      <c r="I73" s="160"/>
    </row>
    <row r="74" spans="1:20" s="152" customFormat="1" ht="12.75">
      <c r="A74" s="162"/>
      <c r="B74" s="163"/>
      <c r="C74" s="164"/>
      <c r="F74" s="159"/>
      <c r="G74" s="187" t="str">
        <f ca="1">"Ngày "&amp;IF(OR($K$9=4,$K$9=6,$K$9=9,$K$9=11),"30",IF($K$9=2,"28","31"))&amp;"  tháng  "&amp;$O$8&amp;"  năm   "&amp;YEAR($A$12)</f>
        <v>Ngày 31  tháng  12  năm   2013</v>
      </c>
      <c r="H74" s="593"/>
    </row>
    <row r="75" spans="1:20" s="152" customFormat="1" ht="17.25" customHeight="1">
      <c r="B75" s="165" t="s">
        <v>11</v>
      </c>
      <c r="D75" s="165" t="s">
        <v>12</v>
      </c>
      <c r="F75" s="166"/>
      <c r="G75" s="214" t="s">
        <v>107</v>
      </c>
      <c r="H75" s="594"/>
      <c r="I75" s="230"/>
      <c r="J75" s="167"/>
      <c r="K75" s="162"/>
      <c r="L75" s="162"/>
    </row>
    <row r="76" spans="1:20" s="152" customFormat="1">
      <c r="B76" s="215" t="s">
        <v>13</v>
      </c>
      <c r="D76" s="168" t="s">
        <v>13</v>
      </c>
      <c r="F76" s="169"/>
      <c r="G76" s="216" t="s">
        <v>134</v>
      </c>
      <c r="H76" s="593"/>
      <c r="K76" s="170"/>
      <c r="L76" s="170"/>
      <c r="Q76" s="171"/>
      <c r="R76" s="171"/>
      <c r="S76" s="171"/>
      <c r="T76" s="171"/>
    </row>
  </sheetData>
  <autoFilter ref="A10:K7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D35" sqref="D35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346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791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4">
        <f t="shared" ref="G6:G41" si="1">ROUND(MAX(C6+E6-D6-F6,0),2)</f>
        <v>0</v>
      </c>
      <c r="H6" s="54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517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4">
        <f t="shared" si="1"/>
        <v>0</v>
      </c>
      <c r="H7" s="54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761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4">
        <f t="shared" si="1"/>
        <v>0</v>
      </c>
      <c r="H8" s="54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757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4">
        <f t="shared" si="1"/>
        <v>0</v>
      </c>
      <c r="H9" s="54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0" t="s">
        <v>975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4">
        <f t="shared" si="1"/>
        <v>0</v>
      </c>
      <c r="H10" s="54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477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765">
        <f t="shared" si="1"/>
        <v>0</v>
      </c>
      <c r="H11" s="76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507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765">
        <f t="shared" si="1"/>
        <v>0</v>
      </c>
      <c r="H12" s="765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427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765">
        <f t="shared" si="1"/>
        <v>0</v>
      </c>
      <c r="H13" s="765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489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765">
        <f t="shared" si="1"/>
        <v>0</v>
      </c>
      <c r="H14" s="765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426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765">
        <f t="shared" si="1"/>
        <v>0</v>
      </c>
      <c r="H15" s="765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796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765">
        <f t="shared" si="1"/>
        <v>0</v>
      </c>
      <c r="H16" s="765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511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765">
        <f t="shared" si="1"/>
        <v>0</v>
      </c>
      <c r="H17" s="765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468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765">
        <f t="shared" si="1"/>
        <v>0</v>
      </c>
      <c r="H18" s="765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510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765">
        <f t="shared" si="1"/>
        <v>52097485</v>
      </c>
      <c r="H19" s="765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0" t="s">
        <v>992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765">
        <f t="shared" si="1"/>
        <v>0</v>
      </c>
      <c r="H20" s="765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506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765">
        <f t="shared" si="1"/>
        <v>52472475</v>
      </c>
      <c r="H21" s="765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846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765">
        <f t="shared" si="1"/>
        <v>0</v>
      </c>
      <c r="H22" s="765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919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765">
        <f t="shared" si="1"/>
        <v>0</v>
      </c>
      <c r="H23" s="765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713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765">
        <f t="shared" si="1"/>
        <v>0</v>
      </c>
      <c r="H24" s="765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770" t="s">
        <v>503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765">
        <f t="shared" si="1"/>
        <v>0</v>
      </c>
      <c r="H25" s="765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0" t="s">
        <v>774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765">
        <f t="shared" si="1"/>
        <v>0</v>
      </c>
      <c r="H26" s="765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472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765">
        <f t="shared" si="1"/>
        <v>0</v>
      </c>
      <c r="H27" s="765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816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765">
        <f t="shared" si="1"/>
        <v>0</v>
      </c>
      <c r="H28" s="765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874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765">
        <f t="shared" si="1"/>
        <v>0</v>
      </c>
      <c r="H29" s="765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760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765">
        <f t="shared" si="1"/>
        <v>0</v>
      </c>
      <c r="H30" s="765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470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765">
        <f t="shared" si="1"/>
        <v>0</v>
      </c>
      <c r="H31" s="765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0" t="s">
        <v>1078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765">
        <f t="shared" si="1"/>
        <v>0</v>
      </c>
      <c r="H32" s="765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0" t="s">
        <v>710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765">
        <f t="shared" si="1"/>
        <v>11896500</v>
      </c>
      <c r="H33" s="765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1079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765">
        <f t="shared" si="1"/>
        <v>0</v>
      </c>
      <c r="H34" s="765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499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765">
        <f t="shared" si="1"/>
        <v>0</v>
      </c>
      <c r="H35" s="765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1077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765">
        <f t="shared" si="1"/>
        <v>0</v>
      </c>
      <c r="H36" s="765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07" t="s">
        <v>883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765">
        <f t="shared" si="1"/>
        <v>0</v>
      </c>
      <c r="H37" s="765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549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765">
        <f t="shared" si="1"/>
        <v>0</v>
      </c>
      <c r="H38" s="765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0" t="s">
        <v>740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765">
        <f t="shared" si="1"/>
        <v>0</v>
      </c>
      <c r="H39" s="765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0" t="s">
        <v>744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765">
        <f t="shared" si="1"/>
        <v>0</v>
      </c>
      <c r="H40" s="765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0" t="s">
        <v>696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765">
        <f t="shared" si="1"/>
        <v>0</v>
      </c>
      <c r="H41" s="765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4"/>
      <c r="H42" s="54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  <c r="G44" s="15">
        <v>116466460</v>
      </c>
    </row>
    <row r="45" spans="1:9">
      <c r="E45" s="15"/>
      <c r="F45" s="15"/>
    </row>
    <row r="47" spans="1:9">
      <c r="E47" s="15"/>
      <c r="F47" s="954" t="s">
        <v>461</v>
      </c>
      <c r="G47" s="954"/>
      <c r="H47" s="954"/>
    </row>
    <row r="48" spans="1:9">
      <c r="F48" s="954" t="s">
        <v>107</v>
      </c>
      <c r="G48" s="954"/>
      <c r="H48" s="954"/>
    </row>
    <row r="49" spans="5:8">
      <c r="E49" s="180"/>
      <c r="F49" s="954" t="s">
        <v>134</v>
      </c>
      <c r="G49" s="954"/>
      <c r="H49" s="954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8" customFormat="1" ht="14.25" customHeight="1">
      <c r="A1" s="612" t="str">
        <f>TH!A1</f>
        <v>Đơn vị: CÔNG TY TNHH SX TM KIM DUNG PHÁT</v>
      </c>
      <c r="B1" s="603"/>
      <c r="C1" s="603"/>
      <c r="G1" s="2"/>
      <c r="H1" s="964" t="s">
        <v>46</v>
      </c>
      <c r="I1" s="964"/>
      <c r="J1" s="964"/>
    </row>
    <row r="2" spans="1:10" s="458" customFormat="1" ht="14.25" customHeight="1">
      <c r="A2" s="611" t="str">
        <f>TH!A2</f>
        <v>Địa chỉ: 1A227/1 Ấp 1, Phạm Văn Hai, Bình Chánh, TPHCM</v>
      </c>
      <c r="B2" s="603"/>
      <c r="C2" s="603"/>
      <c r="G2" s="17"/>
      <c r="H2" s="96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5"/>
      <c r="J2" s="965"/>
    </row>
    <row r="3" spans="1:10" s="458" customFormat="1" ht="14.25" customHeight="1">
      <c r="A3" s="605"/>
      <c r="B3" s="603"/>
      <c r="C3" s="603"/>
      <c r="G3" s="17"/>
      <c r="H3" s="965"/>
      <c r="I3" s="965"/>
      <c r="J3" s="965"/>
    </row>
    <row r="4" spans="1:10" s="5" customFormat="1" ht="28.5" customHeight="1">
      <c r="A4" s="966" t="s">
        <v>26</v>
      </c>
      <c r="B4" s="966"/>
      <c r="C4" s="966"/>
      <c r="D4" s="966"/>
      <c r="E4" s="966"/>
      <c r="F4" s="966"/>
      <c r="G4" s="966"/>
      <c r="H4" s="966"/>
      <c r="I4" s="966"/>
      <c r="J4" s="966"/>
    </row>
    <row r="5" spans="1:10" s="18" customFormat="1" ht="14.25" customHeight="1">
      <c r="E5" s="601" t="s">
        <v>27</v>
      </c>
    </row>
    <row r="6" spans="1:10" s="18" customFormat="1" ht="14.25" customHeight="1">
      <c r="E6" s="601" t="s">
        <v>349</v>
      </c>
    </row>
    <row r="7" spans="1:10" s="18" customFormat="1" ht="14.25" customHeight="1">
      <c r="D7" s="20" t="s">
        <v>45</v>
      </c>
      <c r="E7" s="967" t="s">
        <v>757</v>
      </c>
      <c r="F7" s="967"/>
      <c r="G7" s="967"/>
      <c r="H7" s="967"/>
    </row>
    <row r="8" spans="1:10" s="18" customFormat="1" ht="14.25" customHeight="1">
      <c r="E8" s="601" t="s">
        <v>29</v>
      </c>
    </row>
    <row r="9" spans="1:10" s="18" customFormat="1" ht="6.75" customHeight="1">
      <c r="B9" s="601"/>
      <c r="C9" s="968"/>
      <c r="D9" s="968"/>
      <c r="E9" s="968"/>
      <c r="F9" s="968"/>
      <c r="G9" s="968"/>
      <c r="H9" s="968"/>
      <c r="I9" s="968"/>
      <c r="J9" s="968"/>
    </row>
    <row r="10" spans="1:10" s="18" customFormat="1" ht="14.25" customHeight="1">
      <c r="A10" s="932" t="s">
        <v>20</v>
      </c>
      <c r="B10" s="969" t="s">
        <v>1</v>
      </c>
      <c r="C10" s="969"/>
      <c r="D10" s="932" t="s">
        <v>0</v>
      </c>
      <c r="E10" s="932" t="s">
        <v>14</v>
      </c>
      <c r="F10" s="932" t="s">
        <v>30</v>
      </c>
      <c r="G10" s="962" t="s">
        <v>21</v>
      </c>
      <c r="H10" s="963"/>
      <c r="I10" s="962" t="s">
        <v>31</v>
      </c>
      <c r="J10" s="963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7" t="s">
        <v>2</v>
      </c>
      <c r="B12" s="608" t="s">
        <v>3</v>
      </c>
      <c r="C12" s="607" t="s">
        <v>4</v>
      </c>
      <c r="D12" s="607" t="s">
        <v>5</v>
      </c>
      <c r="E12" s="607" t="s">
        <v>6</v>
      </c>
      <c r="F12" s="607">
        <v>1</v>
      </c>
      <c r="G12" s="607">
        <v>2</v>
      </c>
      <c r="H12" s="607">
        <v>3</v>
      </c>
      <c r="I12" s="607">
        <v>4</v>
      </c>
      <c r="J12" s="607">
        <v>5</v>
      </c>
    </row>
    <row r="13" spans="1:10" s="18" customFormat="1" ht="18" customHeight="1">
      <c r="A13" s="607"/>
      <c r="B13" s="607"/>
      <c r="C13" s="607"/>
      <c r="D13" s="23" t="s">
        <v>7</v>
      </c>
      <c r="E13" s="607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3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7">
        <f ca="1">IF(ROWS($1:1)&gt;COUNT(Dong14),"",IF(OFFSET(TH!L$1,SMALL(Dong14,ROWS($1:1)),)="131",OFFSET(TH!K$1,SMALL(Dong14,ROWS($1:1)),),0))</f>
        <v>8435700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3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7">
        <f ca="1">IF(ROWS($1:2)&gt;COUNT(Dong14),"",IF(OFFSET(TH!L$1,SMALL(Dong14,ROWS($1:2)),)="131",OFFSET(TH!K$1,SMALL(Dong14,ROWS($1:2)),),0))</f>
        <v>843570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41375</v>
      </c>
      <c r="B16" s="9" t="str">
        <f ca="1">IF(ROWS($1:3)&gt;COUNT(Dong14),"",OFFSET(TH!D$1,SMALL(Dong14,ROWS($1:3)),))</f>
        <v>TP/X08</v>
      </c>
      <c r="C16" s="9">
        <f ca="1">IF(ROWS($1:3)&gt;COUNT(Dong14),"",OFFSET(TH!E$1,SMALL(Dong14,ROWS($1:3)),))</f>
        <v>41375</v>
      </c>
      <c r="D16" s="223" t="str">
        <f ca="1">IF(ROWS($1:3)&gt;COUNT(Dong14),"",OFFSET(TH!F$1,SMALL(Dong14,ROWS($1:3)),))</f>
        <v>Thùng (41.5x31.5x33.5)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7">
        <f ca="1">IF(ROWS($1:3)&gt;COUNT(Dong14),"",IF(OFFSET(TH!L$1,SMALL(Dong14,ROWS($1:3)),)="131",OFFSET(TH!K$1,SMALL(Dong14,ROWS($1:3)),),0))</f>
        <v>1835460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11114730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3" t="str">
        <f ca="1">IF(ROWS($1:4)&gt;COUNT(Dong14),"",OFFSET(TH!F$1,SMALL(Dong14,ROWS($1:4)),))</f>
        <v>Tấm lót (40x30)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7">
        <f ca="1">IF(ROWS($1:4)&gt;COUNT(Dong14),"",IF(OFFSET(TH!L$1,SMALL(Dong14,ROWS($1:4)),)="131",OFFSET(TH!K$1,SMALL(Dong14,ROWS($1:4)),),0))</f>
        <v>308000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11422730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3" t="str">
        <f ca="1">IF(ROWS($1:5)&gt;COUNT(Dong14),"",OFFSET(TH!F$1,SMALL(Dong14,ROWS($1:5)),))</f>
        <v>Thùng (46x23x15.3)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7">
        <f ca="1">IF(ROWS($1:5)&gt;COUNT(Dong14),"",IF(OFFSET(TH!L$1,SMALL(Dong14,ROWS($1:5)),)="131",OFFSET(TH!K$1,SMALL(Dong14,ROWS($1:5)),),0))</f>
        <v>5400450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16823180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3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7">
        <f ca="1">IF(ROWS($1:6)&gt;COUNT(Dong14),"",IF(OFFSET(TH!L$1,SMALL(Dong14,ROWS($1:6)),)="131",OFFSET(TH!K$1,SMALL(Dong14,ROWS($1:6)),),0))</f>
        <v>754391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17577571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41375</v>
      </c>
      <c r="D20" s="223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7">
        <f ca="1">IF(ROWS($1:7)&gt;COUNT(Dong14),"",IF(OFFSET(TH!L$1,SMALL(Dong14,ROWS($1:7)),)="131",OFFSET(TH!K$1,SMALL(Dong14,ROWS($1:7)),),0))</f>
        <v>0</v>
      </c>
      <c r="H20" s="57">
        <f ca="1">IF(ROWS($1:7)&gt;COUNT(Dong14),"",IF(OFFSET(TH!M$1,SMALL(Dong14,ROWS($1:7)),)="131",OFFSET(TH!K$1,SMALL(Dong14,ROWS($1:7)),),0))</f>
        <v>17577571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41388</v>
      </c>
      <c r="B21" s="9" t="str">
        <f ca="1">IF(ROWS($1:8)&gt;COUNT(Dong14),"",OFFSET(TH!D$1,SMALL(Dong14,ROWS($1:8)),))</f>
        <v>TP/X14</v>
      </c>
      <c r="C21" s="9">
        <f ca="1">IF(ROWS($1:8)&gt;COUNT(Dong14),"",OFFSET(TH!E$1,SMALL(Dong14,ROWS($1:8)),))</f>
        <v>41388</v>
      </c>
      <c r="D21" s="223" t="str">
        <f ca="1">IF(ROWS($1:8)&gt;COUNT(Dong14),"",OFFSET(TH!F$1,SMALL(Dong14,ROWS($1:8)),))</f>
        <v>Thùng (36.5x32.5x33.5)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7">
        <f ca="1">IF(ROWS($1:8)&gt;COUNT(Dong14),"",IF(OFFSET(TH!L$1,SMALL(Dong14,ROWS($1:8)),)="131",OFFSET(TH!K$1,SMALL(Dong14,ROWS($1:8)),),0))</f>
        <v>1661000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1661000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3" t="str">
        <f ca="1">IF(ROWS($1:9)&gt;COUNT(Dong14),"",OFFSET(TH!F$1,SMALL(Dong14,ROWS($1:9)),))</f>
        <v>Thùng (44.5x25x33.5)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7">
        <f ca="1">IF(ROWS($1:9)&gt;COUNT(Dong14),"",IF(OFFSET(TH!L$1,SMALL(Dong14,ROWS($1:9)),)="131",OFFSET(TH!K$1,SMALL(Dong14,ROWS($1:9)),),0))</f>
        <v>1502820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3163820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3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7">
        <f ca="1">IF(ROWS($1:10)&gt;COUNT(Dong14),"",IF(OFFSET(TH!L$1,SMALL(Dong14,ROWS($1:10)),)="131",OFFSET(TH!K$1,SMALL(Dong14,ROWS($1:10)),),0))</f>
        <v>316382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3480202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41418</v>
      </c>
      <c r="B24" s="9" t="str">
        <f ca="1">IF(ROWS($1:11)&gt;COUNT(Dong14),"",OFFSET(TH!D$1,SMALL(Dong14,ROWS($1:11)),))</f>
        <v>TP/X26</v>
      </c>
      <c r="C24" s="9">
        <f ca="1">IF(ROWS($1:11)&gt;COUNT(Dong14),"",OFFSET(TH!E$1,SMALL(Dong14,ROWS($1:11)),))</f>
        <v>41418</v>
      </c>
      <c r="D24" s="223" t="str">
        <f ca="1">IF(ROWS($1:11)&gt;COUNT(Dong14),"",OFFSET(TH!F$1,SMALL(Dong14,ROWS($1:11)),))</f>
        <v>Thùng (26x23x15.3)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7">
        <f ca="1">IF(ROWS($1:11)&gt;COUNT(Dong14),"",IF(OFFSET(TH!L$1,SMALL(Dong14,ROWS($1:11)),)="131",OFFSET(TH!K$1,SMALL(Dong14,ROWS($1:11)),),0))</f>
        <v>6204000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9684202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41418</v>
      </c>
      <c r="B25" s="9" t="str">
        <f ca="1">IF(ROWS($1:12)&gt;COUNT(Dong14),"",OFFSET(TH!D$1,SMALL(Dong14,ROWS($1:12)),))</f>
        <v>TP/X26</v>
      </c>
      <c r="C25" s="9">
        <f ca="1">IF(ROWS($1:12)&gt;COUNT(Dong14),"",OFFSET(TH!E$1,SMALL(Dong14,ROWS($1:12)),))</f>
        <v>41418</v>
      </c>
      <c r="D25" s="223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7">
        <f ca="1">IF(ROWS($1:12)&gt;COUNT(Dong14),"",IF(OFFSET(TH!L$1,SMALL(Dong14,ROWS($1:12)),)="131",OFFSET(TH!K$1,SMALL(Dong14,ROWS($1:12)),),0))</f>
        <v>620400</v>
      </c>
      <c r="H25" s="57">
        <f ca="1">IF(ROWS($1:12)&gt;COUNT(Dong14),"",IF(OFFSET(TH!M$1,SMALL(Dong14,ROWS($1:12)),)="131",OFFSET(TH!K$1,SMALL(Dong14,ROWS($1:12)),),0))</f>
        <v>0</v>
      </c>
      <c r="I25" s="25">
        <f t="shared" ca="1" si="0"/>
        <v>10304602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41429</v>
      </c>
      <c r="B26" s="9" t="str">
        <f ca="1">IF(ROWS($1:13)&gt;COUNT(Dong14),"",OFFSET(TH!D$1,SMALL(Dong14,ROWS($1:13)),))</f>
        <v>TP/X27</v>
      </c>
      <c r="C26" s="9">
        <f ca="1">IF(ROWS($1:13)&gt;COUNT(Dong14),"",OFFSET(TH!E$1,SMALL(Dong14,ROWS($1:13)),))</f>
        <v>41429</v>
      </c>
      <c r="D26" s="223" t="str">
        <f ca="1">IF(ROWS($1:13)&gt;COUNT(Dong14),"",OFFSET(TH!F$1,SMALL(Dong14,ROWS($1:13)),))</f>
        <v>Thùng (36.5x32.5x33.5)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7">
        <f ca="1">IF(ROWS($1:13)&gt;COUNT(Dong14),"",IF(OFFSET(TH!L$1,SMALL(Dong14,ROWS($1:13)),)="131",OFFSET(TH!K$1,SMALL(Dong14,ROWS($1:13)),),0))</f>
        <v>4469600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14774202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41429</v>
      </c>
      <c r="B27" s="9" t="str">
        <f ca="1">IF(ROWS($1:14)&gt;COUNT(Dong14),"",OFFSET(TH!D$1,SMALL(Dong14,ROWS($1:14)),))</f>
        <v>TP/X27</v>
      </c>
      <c r="C27" s="9">
        <f ca="1">IF(ROWS($1:14)&gt;COUNT(Dong14),"",OFFSET(TH!E$1,SMALL(Dong14,ROWS($1:14)),))</f>
        <v>41429</v>
      </c>
      <c r="D27" s="223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7">
        <f ca="1">IF(ROWS($1:14)&gt;COUNT(Dong14),"",IF(OFFSET(TH!L$1,SMALL(Dong14,ROWS($1:14)),)="131",OFFSET(TH!K$1,SMALL(Dong14,ROWS($1:14)),),0))</f>
        <v>446960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15221162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41429</v>
      </c>
      <c r="B28" s="9" t="str">
        <f ca="1">IF(ROWS($1:15)&gt;COUNT(Dong14),"",OFFSET(TH!D$1,SMALL(Dong14,ROWS($1:15)),))</f>
        <v>T18</v>
      </c>
      <c r="C28" s="9">
        <f ca="1">IF(ROWS($1:15)&gt;COUNT(Dong14),"",OFFSET(TH!E$1,SMALL(Dong14,ROWS($1:15)),))</f>
        <v>41429</v>
      </c>
      <c r="D28" s="223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7">
        <f ca="1">IF(ROWS($1:15)&gt;COUNT(Dong14),"",IF(OFFSET(TH!L$1,SMALL(Dong14,ROWS($1:15)),)="131",OFFSET(TH!K$1,SMALL(Dong14,ROWS($1:15)),),0))</f>
        <v>0</v>
      </c>
      <c r="H28" s="57">
        <f ca="1">IF(ROWS($1:15)&gt;COUNT(Dong14),"",IF(OFFSET(TH!M$1,SMALL(Dong14,ROWS($1:15)),)="131",OFFSET(TH!K$1,SMALL(Dong14,ROWS($1:15)),),0))</f>
        <v>15221162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41446</v>
      </c>
      <c r="B29" s="9" t="str">
        <f ca="1">IF(ROWS($1:16)&gt;COUNT(Dong14),"",OFFSET(TH!D$1,SMALL(Dong14,ROWS($1:16)),))</f>
        <v>TP/X40</v>
      </c>
      <c r="C29" s="9">
        <f ca="1">IF(ROWS($1:16)&gt;COUNT(Dong14),"",OFFSET(TH!E$1,SMALL(Dong14,ROWS($1:16)),))</f>
        <v>41446</v>
      </c>
      <c r="D29" s="223" t="str">
        <f ca="1">IF(ROWS($1:16)&gt;COUNT(Dong14),"",OFFSET(TH!F$1,SMALL(Dong14,ROWS($1:16)),))</f>
        <v>Thùng (46x23x15.3)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7">
        <f ca="1">IF(ROWS($1:16)&gt;COUNT(Dong14),"",IF(OFFSET(TH!L$1,SMALL(Dong14,ROWS($1:16)),)="131",OFFSET(TH!K$1,SMALL(Dong14,ROWS($1:16)),),0))</f>
        <v>5623800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5623800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41446</v>
      </c>
      <c r="B30" s="9" t="str">
        <f ca="1">IF(ROWS($1:17)&gt;COUNT(Dong14),"",OFFSET(TH!D$1,SMALL(Dong14,ROWS($1:17)),))</f>
        <v>TP/X40</v>
      </c>
      <c r="C30" s="9">
        <f ca="1">IF(ROWS($1:17)&gt;COUNT(Dong14),"",OFFSET(TH!E$1,SMALL(Dong14,ROWS($1:17)),))</f>
        <v>41446</v>
      </c>
      <c r="D30" s="223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7">
        <f ca="1">IF(ROWS($1:17)&gt;COUNT(Dong14),"",IF(OFFSET(TH!L$1,SMALL(Dong14,ROWS($1:17)),)="131",OFFSET(TH!K$1,SMALL(Dong14,ROWS($1:17)),),0))</f>
        <v>562380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6186180</v>
      </c>
      <c r="J30" s="25">
        <f t="shared" ca="1" si="1"/>
        <v>0</v>
      </c>
    </row>
    <row r="31" spans="1:10" s="18" customFormat="1" ht="18" customHeight="1">
      <c r="A31" s="217"/>
      <c r="B31" s="217"/>
      <c r="C31" s="217"/>
      <c r="D31" s="218"/>
      <c r="E31" s="219"/>
      <c r="F31" s="219"/>
      <c r="G31" s="220"/>
      <c r="H31" s="220"/>
      <c r="I31" s="221"/>
      <c r="J31" s="221"/>
    </row>
    <row r="32" spans="1:10" s="18" customFormat="1" ht="18" customHeight="1">
      <c r="A32" s="24"/>
      <c r="B32" s="607"/>
      <c r="C32" s="26"/>
      <c r="D32" s="23" t="s">
        <v>33</v>
      </c>
      <c r="E32" s="607" t="s">
        <v>19</v>
      </c>
      <c r="F32" s="607" t="s">
        <v>19</v>
      </c>
      <c r="G32" s="27">
        <f ca="1">SUM(G14:G30)</f>
        <v>38984913</v>
      </c>
      <c r="H32" s="27">
        <f ca="1">SUM(H14:H30)</f>
        <v>32798733</v>
      </c>
      <c r="I32" s="27" t="s">
        <v>19</v>
      </c>
      <c r="J32" s="27" t="s">
        <v>19</v>
      </c>
    </row>
    <row r="33" spans="1:11" s="18" customFormat="1" ht="18" customHeight="1">
      <c r="A33" s="24"/>
      <c r="B33" s="607"/>
      <c r="C33" s="607"/>
      <c r="D33" s="23" t="s">
        <v>10</v>
      </c>
      <c r="E33" s="607" t="s">
        <v>19</v>
      </c>
      <c r="F33" s="607" t="s">
        <v>19</v>
      </c>
      <c r="G33" s="27" t="s">
        <v>19</v>
      </c>
      <c r="H33" s="27" t="s">
        <v>19</v>
      </c>
      <c r="I33" s="27">
        <f ca="1">MAX(I13+G32-H32-J13,0)</f>
        <v>6186180</v>
      </c>
      <c r="J33" s="27">
        <f ca="1">MAX(J13+H32-G32-I13,0)</f>
        <v>0</v>
      </c>
    </row>
    <row r="34" spans="1:11" s="18" customFormat="1" ht="6" customHeight="1">
      <c r="B34" s="601"/>
      <c r="C34" s="601"/>
      <c r="E34" s="601"/>
    </row>
    <row r="35" spans="1:11" s="18" customFormat="1" ht="14.25" customHeight="1">
      <c r="A35" s="28" t="s">
        <v>149</v>
      </c>
      <c r="B35" s="601"/>
      <c r="C35" s="601"/>
      <c r="E35" s="601"/>
      <c r="K35" s="28" t="s">
        <v>149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1"/>
      <c r="C36" s="601"/>
      <c r="E36" s="601"/>
      <c r="K36" s="28" t="s">
        <v>34</v>
      </c>
    </row>
    <row r="37" spans="1:11" s="18" customFormat="1" ht="14.25" customHeight="1">
      <c r="B37" s="601"/>
      <c r="C37" s="601"/>
      <c r="E37" s="920" t="str">
        <f ca="1">"Ngày 31 tháng  12  năm  "&amp;YEAR($A$14)</f>
        <v>Ngày 31 tháng  12  năm  2013</v>
      </c>
      <c r="F37" s="920"/>
      <c r="G37" s="920"/>
      <c r="H37" s="920"/>
      <c r="I37" s="920"/>
      <c r="J37" s="920"/>
    </row>
    <row r="38" spans="1:11" s="18" customFormat="1" ht="14.25" customHeight="1">
      <c r="C38" s="601" t="s">
        <v>11</v>
      </c>
      <c r="E38" s="920" t="s">
        <v>12</v>
      </c>
      <c r="F38" s="920"/>
      <c r="G38" s="920"/>
      <c r="H38" s="920"/>
      <c r="I38" s="920"/>
      <c r="J38" s="920"/>
    </row>
    <row r="39" spans="1:11" s="18" customFormat="1" ht="14.25" customHeight="1">
      <c r="C39" s="601" t="s">
        <v>13</v>
      </c>
      <c r="E39" s="920" t="s">
        <v>13</v>
      </c>
      <c r="F39" s="920"/>
      <c r="G39" s="920"/>
      <c r="H39" s="920"/>
      <c r="I39" s="920"/>
      <c r="J39" s="920"/>
    </row>
    <row r="40" spans="1:11" s="29" customFormat="1"/>
    <row r="46" spans="1:11" ht="15">
      <c r="C46" s="602" t="s">
        <v>148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100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>IF(B6&lt;&gt;"",ROW()-5,"")</f>
        <v>1</v>
      </c>
      <c r="B6" s="7" t="s">
        <v>371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4">
        <f t="shared" ref="G6:G11" si="0">ROUND(MAX(C6+E6-D6-F6,0),2)</f>
        <v>0</v>
      </c>
      <c r="H6" s="54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547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765">
        <f t="shared" ref="G7" si="3">ROUND(MAX(C7+E7-D7-F7,0),2)</f>
        <v>0</v>
      </c>
      <c r="H7" s="765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467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4">
        <f t="shared" si="0"/>
        <v>0</v>
      </c>
      <c r="H8" s="54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0" t="s">
        <v>1080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765">
        <f t="shared" ref="G9" si="6">ROUND(MAX(C9+E9-D9-F9,0),2)</f>
        <v>0</v>
      </c>
      <c r="H9" s="765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0" t="s">
        <v>554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4">
        <f t="shared" si="0"/>
        <v>0</v>
      </c>
      <c r="H10" s="54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0" t="s">
        <v>612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4">
        <f t="shared" si="0"/>
        <v>0</v>
      </c>
      <c r="H11" s="54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0" t="s">
        <v>645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4">
        <f t="shared" ref="G12:G14" si="8">ROUND(MAX(C12+E12-D12-F12,0),2)</f>
        <v>0</v>
      </c>
      <c r="H12" s="54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0" t="s">
        <v>656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4">
        <f t="shared" si="8"/>
        <v>0</v>
      </c>
      <c r="H13" s="54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0" t="s">
        <v>665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4">
        <f t="shared" si="8"/>
        <v>0</v>
      </c>
      <c r="H14" s="54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0" t="s">
        <v>674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4">
        <f t="shared" ref="G15" si="10">ROUND(MAX(C15+E15-D15-F15,0),2)</f>
        <v>0</v>
      </c>
      <c r="H15" s="54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74"/>
      <c r="F16" s="474"/>
      <c r="G16" s="475"/>
      <c r="H16" s="475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54" t="s">
        <v>461</v>
      </c>
      <c r="G21" s="954"/>
      <c r="H21" s="954"/>
    </row>
    <row r="22" spans="1:8">
      <c r="F22" s="954" t="s">
        <v>107</v>
      </c>
      <c r="G22" s="954"/>
      <c r="H22" s="954"/>
    </row>
    <row r="23" spans="1:8">
      <c r="E23" s="180"/>
      <c r="F23" s="954" t="s">
        <v>134</v>
      </c>
      <c r="G23" s="954"/>
      <c r="H23" s="954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89" activePane="bottomLeft" state="frozen"/>
      <selection activeCell="A6" sqref="A6"/>
      <selection pane="bottomLeft" activeCell="G93" sqref="G93:G100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2" t="str">
        <f>TH!A1</f>
        <v>Đơn vị: CÔNG TY TNHH SX TM KIM DUNG PHÁT</v>
      </c>
      <c r="B1" s="16"/>
      <c r="C1" s="16"/>
      <c r="G1" s="2"/>
      <c r="H1" s="964" t="s">
        <v>46</v>
      </c>
      <c r="I1" s="964"/>
      <c r="J1" s="964"/>
    </row>
    <row r="2" spans="1:10" s="3" customFormat="1" ht="14.25" customHeight="1">
      <c r="A2" s="611" t="str">
        <f>TH!A2</f>
        <v>Địa chỉ: 1A227/1 Ấp 1, Phạm Văn Hai, Bình Chánh, TPHCM</v>
      </c>
      <c r="B2" s="16"/>
      <c r="C2" s="16"/>
      <c r="G2" s="17"/>
      <c r="H2" s="96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5"/>
      <c r="J2" s="965"/>
    </row>
    <row r="3" spans="1:10" s="3" customFormat="1" ht="14.25" customHeight="1">
      <c r="A3" s="4"/>
      <c r="B3" s="16"/>
      <c r="C3" s="16"/>
      <c r="G3" s="17"/>
      <c r="H3" s="965"/>
      <c r="I3" s="965"/>
      <c r="J3" s="965"/>
    </row>
    <row r="4" spans="1:10" s="5" customFormat="1" ht="28.5" customHeight="1">
      <c r="A4" s="966" t="s">
        <v>26</v>
      </c>
      <c r="B4" s="966"/>
      <c r="C4" s="966"/>
      <c r="D4" s="966"/>
      <c r="E4" s="966"/>
      <c r="F4" s="966"/>
      <c r="G4" s="966"/>
      <c r="H4" s="966"/>
      <c r="I4" s="966"/>
      <c r="J4" s="96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7" t="s">
        <v>554</v>
      </c>
      <c r="F7" s="967"/>
      <c r="G7" s="967"/>
      <c r="H7" s="96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8"/>
      <c r="D9" s="968"/>
      <c r="E9" s="968"/>
      <c r="F9" s="968"/>
      <c r="G9" s="968"/>
      <c r="H9" s="968"/>
      <c r="I9" s="968"/>
      <c r="J9" s="968"/>
    </row>
    <row r="10" spans="1:10" s="18" customFormat="1" ht="14.25" customHeight="1">
      <c r="A10" s="932" t="s">
        <v>20</v>
      </c>
      <c r="B10" s="969" t="s">
        <v>1</v>
      </c>
      <c r="C10" s="969"/>
      <c r="D10" s="932" t="s">
        <v>0</v>
      </c>
      <c r="E10" s="932" t="s">
        <v>14</v>
      </c>
      <c r="F10" s="932" t="s">
        <v>30</v>
      </c>
      <c r="G10" s="962" t="s">
        <v>21</v>
      </c>
      <c r="H10" s="963"/>
      <c r="I10" s="962" t="s">
        <v>31</v>
      </c>
      <c r="J10" s="963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135994582</v>
      </c>
    </row>
    <row r="14" spans="1:10" s="18" customFormat="1" ht="18" customHeight="1">
      <c r="A14" s="9">
        <f ca="1">IF(ROWS($1:1)&gt;COUNT(Dong),"",OFFSET(TH!C$1,SMALL(Dong,ROWS($1:1)),))</f>
        <v>41276</v>
      </c>
      <c r="B14" s="9" t="str">
        <f ca="1">IF(ROWS($1:1)&gt;COUNT(Dong),"",OFFSET(TH!D$1,SMALL(Dong,ROWS($1:1)),))</f>
        <v>NL/N01</v>
      </c>
      <c r="C14" s="9">
        <f ca="1">IF(ROWS($1:1)&gt;COUNT(Dong),"",OFFSET(TH!E$1,SMALL(Dong,ROWS($1:1)),))</f>
        <v>41276</v>
      </c>
      <c r="D14" s="223" t="str">
        <f ca="1">IF(ROWS($1:1)&gt;COUNT(Dong),"",OFFSET(TH!F$1,SMALL(Dong,ROWS($1:1)),))</f>
        <v>Giấy tấm 2 vàng + 3 xeo (2060x1050)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7">
        <f ca="1">IF(ROWS($1:1)&gt;COUNT(Dong),"",IF(OFFSET(TH!L$1,SMALL(Dong,ROWS($1:1)),)="331",OFFSET(TH!K$1,SMALL(Dong,ROWS($1:1)),),0))</f>
        <v>0</v>
      </c>
      <c r="H14" s="57">
        <f ca="1">IF(ROWS($1:1)&gt;COUNT(Dong),"",IF(OFFSET(TH!M$1,SMALL(Dong,ROWS($1:1)),)="331",OFFSET(TH!K$1,SMALL(Dong,ROWS($1:1)),),0))</f>
        <v>4215295</v>
      </c>
      <c r="I14" s="25">
        <f ca="1">IF(D14&lt;&gt;"",MAX(I13+G14-H14-J13,0),0)</f>
        <v>0</v>
      </c>
      <c r="J14" s="25">
        <f ca="1">IF(D14&lt;&gt;"",MAX(J13+H14-I13-G14,0),0)</f>
        <v>140209877</v>
      </c>
    </row>
    <row r="15" spans="1:10" s="18" customFormat="1" ht="18" customHeight="1">
      <c r="A15" s="9">
        <f ca="1">IF(ROWS($1:2)&gt;COUNT(Dong),"",OFFSET(TH!C$1,SMALL(Dong,ROWS($1:2)),))</f>
        <v>41276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41276</v>
      </c>
      <c r="D15" s="223" t="str">
        <f ca="1">IF(ROWS($1:2)&gt;COUNT(Dong),"",OFFSET(TH!F$1,SMALL(Dong,ROWS($1:2)),))</f>
        <v>Giấy tấm 2 vàng + 3 xeo (1730x1050)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7">
        <f ca="1">IF(ROWS($1:2)&gt;COUNT(Dong),"",IF(OFFSET(TH!L$1,SMALL(Dong,ROWS($1:2)),)="331",OFFSET(TH!K$1,SMALL(Dong,ROWS($1:2)),),0))</f>
        <v>0</v>
      </c>
      <c r="H15" s="57">
        <f ca="1">IF(ROWS($1:2)&gt;COUNT(Dong),"",IF(OFFSET(TH!M$1,SMALL(Dong,ROWS($1:2)),)="331",OFFSET(TH!K$1,SMALL(Dong,ROWS($1:2)),),0))</f>
        <v>3505038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143714915</v>
      </c>
    </row>
    <row r="16" spans="1:10" s="18" customFormat="1" ht="18" customHeight="1">
      <c r="A16" s="9">
        <f ca="1">IF(ROWS($1:3)&gt;COUNT(Dong),"",OFFSET(TH!C$1,SMALL(Dong,ROWS($1:3)),))</f>
        <v>41276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41276</v>
      </c>
      <c r="D16" s="223" t="str">
        <f ca="1">IF(ROWS($1:3)&gt;COUNT(Dong),"",OFFSET(TH!F$1,SMALL(Dong,ROWS($1:3)),))</f>
        <v>Giấy tấm 1 vàng + 4 xeo (1580x1150)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7">
        <f ca="1">IF(ROWS($1:3)&gt;COUNT(Dong),"",IF(OFFSET(TH!L$1,SMALL(Dong,ROWS($1:3)),)="331",OFFSET(TH!K$1,SMALL(Dong,ROWS($1:3)),),0))</f>
        <v>0</v>
      </c>
      <c r="H16" s="57">
        <f ca="1">IF(ROWS($1:3)&gt;COUNT(Dong),"",IF(OFFSET(TH!M$1,SMALL(Dong,ROWS($1:3)),)="331",OFFSET(TH!K$1,SMALL(Dong,ROWS($1:3)),),0))</f>
        <v>4322760</v>
      </c>
      <c r="I16" s="25">
        <f t="shared" ca="1" si="0"/>
        <v>0</v>
      </c>
      <c r="J16" s="25">
        <f t="shared" ca="1" si="1"/>
        <v>148037675</v>
      </c>
    </row>
    <row r="17" spans="1:10" s="18" customFormat="1" ht="18" customHeight="1">
      <c r="A17" s="9">
        <f ca="1">IF(ROWS($1:4)&gt;COUNT(Dong),"",OFFSET(TH!C$1,SMALL(Dong,ROWS($1:4)),))</f>
        <v>41276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41276</v>
      </c>
      <c r="D17" s="223" t="str">
        <f ca="1">IF(ROWS($1:4)&gt;COUNT(Dong),"",OFFSET(TH!F$1,SMALL(Dong,ROWS($1:4)),))</f>
        <v>VAT Giấy tấm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7">
        <f ca="1">IF(ROWS($1:4)&gt;COUNT(Dong),"",IF(OFFSET(TH!L$1,SMALL(Dong,ROWS($1:4)),)="331",OFFSET(TH!K$1,SMALL(Dong,ROWS($1:4)),),0))</f>
        <v>0</v>
      </c>
      <c r="H17" s="57">
        <f ca="1">IF(ROWS($1:4)&gt;COUNT(Dong),"",IF(OFFSET(TH!M$1,SMALL(Dong,ROWS($1:4)),)="331",OFFSET(TH!K$1,SMALL(Dong,ROWS($1:4)),),0))</f>
        <v>1204310</v>
      </c>
      <c r="I17" s="25">
        <f t="shared" ca="1" si="0"/>
        <v>0</v>
      </c>
      <c r="J17" s="25">
        <f t="shared" ca="1" si="1"/>
        <v>149241985</v>
      </c>
    </row>
    <row r="18" spans="1:10" s="18" customFormat="1" ht="18" customHeight="1">
      <c r="A18" s="9">
        <f ca="1">IF(ROWS($1:5)&gt;COUNT(Dong),"",OFFSET(TH!C$1,SMALL(Dong,ROWS($1:5)),))</f>
        <v>41276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41276</v>
      </c>
      <c r="D18" s="223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1111</v>
      </c>
      <c r="F18" s="46"/>
      <c r="G18" s="57">
        <f ca="1">IF(ROWS($1:5)&gt;COUNT(Dong),"",IF(OFFSET(TH!L$1,SMALL(Dong,ROWS($1:5)),)="331",OFFSET(TH!K$1,SMALL(Dong,ROWS($1:5)),),0))</f>
        <v>13247403</v>
      </c>
      <c r="H18" s="57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135994582</v>
      </c>
    </row>
    <row r="19" spans="1:10" s="18" customFormat="1" ht="18" customHeight="1">
      <c r="A19" s="9">
        <f ca="1">IF(ROWS($1:6)&gt;COUNT(Dong),"",OFFSET(TH!C$1,SMALL(Dong,ROWS($1:6)),))</f>
        <v>41277</v>
      </c>
      <c r="B19" s="9" t="str">
        <f ca="1">IF(ROWS($1:6)&gt;COUNT(Dong),"",OFFSET(TH!D$1,SMALL(Dong,ROWS($1:6)),))</f>
        <v>NL/N02</v>
      </c>
      <c r="C19" s="9">
        <f ca="1">IF(ROWS($1:6)&gt;COUNT(Dong),"",OFFSET(TH!E$1,SMALL(Dong,ROWS($1:6)),))</f>
        <v>41277</v>
      </c>
      <c r="D19" s="223" t="str">
        <f ca="1">IF(ROWS($1:6)&gt;COUNT(Dong),"",OFFSET(TH!F$1,SMALL(Dong,ROWS($1:6)),))</f>
        <v>Giấy tấm 2 vàng + 3 xeo (1810x1145)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7">
        <f ca="1">IF(ROWS($1:6)&gt;COUNT(Dong),"",IF(OFFSET(TH!L$1,SMALL(Dong,ROWS($1:6)),)="331",OFFSET(TH!K$1,SMALL(Dong,ROWS($1:6)),),0))</f>
        <v>0</v>
      </c>
      <c r="H19" s="57">
        <f ca="1">IF(ROWS($1:6)&gt;COUNT(Dong),"",IF(OFFSET(TH!M$1,SMALL(Dong,ROWS($1:6)),)="331",OFFSET(TH!K$1,SMALL(Dong,ROWS($1:6)),),0))</f>
        <v>5133168</v>
      </c>
      <c r="I19" s="25">
        <f t="shared" ca="1" si="0"/>
        <v>0</v>
      </c>
      <c r="J19" s="25">
        <f t="shared" ca="1" si="1"/>
        <v>141127750</v>
      </c>
    </row>
    <row r="20" spans="1:10" s="18" customFormat="1" ht="18" customHeight="1">
      <c r="A20" s="9">
        <f ca="1">IF(ROWS($1:7)&gt;COUNT(Dong),"",OFFSET(TH!C$1,SMALL(Dong,ROWS($1:7)),))</f>
        <v>41277</v>
      </c>
      <c r="B20" s="9" t="str">
        <f ca="1">IF(ROWS($1:7)&gt;COUNT(Dong),"",OFFSET(TH!D$1,SMALL(Dong,ROWS($1:7)),))</f>
        <v>NL/N02</v>
      </c>
      <c r="C20" s="9">
        <f ca="1">IF(ROWS($1:7)&gt;COUNT(Dong),"",OFFSET(TH!E$1,SMALL(Dong,ROWS($1:7)),))</f>
        <v>41277</v>
      </c>
      <c r="D20" s="223" t="str">
        <f ca="1">IF(ROWS($1:7)&gt;COUNT(Dong),"",OFFSET(TH!F$1,SMALL(Dong,ROWS($1:7)),))</f>
        <v>Giấy tấm 1 trắng + 3 xeo + 1 vàng (1760x1600)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7">
        <f ca="1">IF(ROWS($1:7)&gt;COUNT(Dong),"",IF(OFFSET(TH!L$1,SMALL(Dong,ROWS($1:7)),)="331",OFFSET(TH!K$1,SMALL(Dong,ROWS($1:7)),),0))</f>
        <v>0</v>
      </c>
      <c r="H20" s="57">
        <f ca="1">IF(ROWS($1:7)&gt;COUNT(Dong),"",IF(OFFSET(TH!M$1,SMALL(Dong,ROWS($1:7)),)="331",OFFSET(TH!K$1,SMALL(Dong,ROWS($1:7)),),0))</f>
        <v>14931840</v>
      </c>
      <c r="I20" s="25">
        <f t="shared" ca="1" si="0"/>
        <v>0</v>
      </c>
      <c r="J20" s="25">
        <f t="shared" ca="1" si="1"/>
        <v>156059590</v>
      </c>
    </row>
    <row r="21" spans="1:10" s="18" customFormat="1" ht="18" customHeight="1">
      <c r="A21" s="9">
        <f ca="1">IF(ROWS($1:8)&gt;COUNT(Dong),"",OFFSET(TH!C$1,SMALL(Dong,ROWS($1:8)),))</f>
        <v>41277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41277</v>
      </c>
      <c r="D21" s="223" t="str">
        <f ca="1">IF(ROWS($1:8)&gt;COUNT(Dong),"",OFFSET(TH!F$1,SMALL(Dong,ROWS($1:8)),))</f>
        <v>VAT Giấy tấm</v>
      </c>
      <c r="E21" s="46" t="str">
        <f ca="1">IF(ROWS($1:8)&gt;COUNT(Dong),"",IF(OFFSET(TH!L$1,SMALL(Dong,ROWS($1:8)),)="331",OFFSET(TH!M$1,SMALL(Dong,ROWS($1:8)),),OFFSET(TH!L$1,SMALL(Dong,ROWS($1:8)),)))</f>
        <v>1331</v>
      </c>
      <c r="F21" s="46"/>
      <c r="G21" s="57">
        <f ca="1">IF(ROWS($1:8)&gt;COUNT(Dong),"",IF(OFFSET(TH!L$1,SMALL(Dong,ROWS($1:8)),)="331",OFFSET(TH!K$1,SMALL(Dong,ROWS($1:8)),),0))</f>
        <v>0</v>
      </c>
      <c r="H21" s="57">
        <f ca="1">IF(ROWS($1:8)&gt;COUNT(Dong),"",IF(OFFSET(TH!M$1,SMALL(Dong,ROWS($1:8)),)="331",OFFSET(TH!K$1,SMALL(Dong,ROWS($1:8)),),0))</f>
        <v>2006501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158066091</v>
      </c>
    </row>
    <row r="22" spans="1:10" s="18" customFormat="1" ht="18" customHeight="1">
      <c r="A22" s="9">
        <f ca="1">IF(ROWS($1:9)&gt;COUNT(Dong),"",OFFSET(TH!C$1,SMALL(Dong,ROWS($1:9)),))</f>
        <v>41278</v>
      </c>
      <c r="B22" s="9" t="str">
        <f ca="1">IF(ROWS($1:9)&gt;COUNT(Dong),"",OFFSET(TH!D$1,SMALL(Dong,ROWS($1:9)),))</f>
        <v>NL/N03</v>
      </c>
      <c r="C22" s="9">
        <f ca="1">IF(ROWS($1:9)&gt;COUNT(Dong),"",OFFSET(TH!E$1,SMALL(Dong,ROWS($1:9)),))</f>
        <v>41278</v>
      </c>
      <c r="D22" s="223" t="str">
        <f ca="1">IF(ROWS($1:9)&gt;COUNT(Dong),"",OFFSET(TH!F$1,SMALL(Dong,ROWS($1:9)),))</f>
        <v>Giấy tấm 1 vàng + 2 xeo (1350x1000)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7">
        <f ca="1">IF(ROWS($1:9)&gt;COUNT(Dong),"",IF(OFFSET(TH!L$1,SMALL(Dong,ROWS($1:9)),)="331",OFFSET(TH!K$1,SMALL(Dong,ROWS($1:9)),),0))</f>
        <v>0</v>
      </c>
      <c r="H22" s="57">
        <f ca="1">IF(ROWS($1:9)&gt;COUNT(Dong),"",IF(OFFSET(TH!M$1,SMALL(Dong,ROWS($1:9)),)="331",OFFSET(TH!K$1,SMALL(Dong,ROWS($1:9)),),0))</f>
        <v>4623670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162689761</v>
      </c>
    </row>
    <row r="23" spans="1:10" s="18" customFormat="1" ht="18" customHeight="1">
      <c r="A23" s="9">
        <f ca="1">IF(ROWS($1:10)&gt;COUNT(Dong),"",OFFSET(TH!C$1,SMALL(Dong,ROWS($1:10)),))</f>
        <v>41278</v>
      </c>
      <c r="B23" s="9" t="str">
        <f ca="1">IF(ROWS($1:10)&gt;COUNT(Dong),"",OFFSET(TH!D$1,SMALL(Dong,ROWS($1:10)),))</f>
        <v>NL/N03</v>
      </c>
      <c r="C23" s="9">
        <f ca="1">IF(ROWS($1:10)&gt;COUNT(Dong),"",OFFSET(TH!E$1,SMALL(Dong,ROWS($1:10)),))</f>
        <v>41278</v>
      </c>
      <c r="D23" s="223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7">
        <f ca="1">IF(ROWS($1:10)&gt;COUNT(Dong),"",IF(OFFSET(TH!L$1,SMALL(Dong,ROWS($1:10)),)="331",OFFSET(TH!K$1,SMALL(Dong,ROWS($1:10)),),0))</f>
        <v>0</v>
      </c>
      <c r="H23" s="57">
        <f ca="1">IF(ROWS($1:10)&gt;COUNT(Dong),"",IF(OFFSET(TH!M$1,SMALL(Dong,ROWS($1:10)),)="331",OFFSET(TH!K$1,SMALL(Dong,ROWS($1:10)),),0))</f>
        <v>462367</v>
      </c>
      <c r="I23" s="25">
        <f t="shared" ca="1" si="4"/>
        <v>0</v>
      </c>
      <c r="J23" s="25">
        <f t="shared" ca="1" si="5"/>
        <v>163152128</v>
      </c>
    </row>
    <row r="24" spans="1:10" s="18" customFormat="1" ht="18" customHeight="1">
      <c r="A24" s="9">
        <f ca="1">IF(ROWS($1:11)&gt;COUNT(Dong),"",OFFSET(TH!C$1,SMALL(Dong,ROWS($1:11)),))</f>
        <v>41278</v>
      </c>
      <c r="B24" s="9" t="str">
        <f ca="1">IF(ROWS($1:11)&gt;COUNT(Dong),"",OFFSET(TH!D$1,SMALL(Dong,ROWS($1:11)),))</f>
        <v>C04</v>
      </c>
      <c r="C24" s="9">
        <f ca="1">IF(ROWS($1:11)&gt;COUNT(Dong),"",OFFSET(TH!E$1,SMALL(Dong,ROWS($1:11)),))</f>
        <v>41278</v>
      </c>
      <c r="D24" s="223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7">
        <f ca="1">IF(ROWS($1:11)&gt;COUNT(Dong),"",IF(OFFSET(TH!L$1,SMALL(Dong,ROWS($1:11)),)="331",OFFSET(TH!K$1,SMALL(Dong,ROWS($1:11)),),0))</f>
        <v>5086037</v>
      </c>
      <c r="H24" s="57">
        <f ca="1">IF(ROWS($1:11)&gt;COUNT(Dong),"",IF(OFFSET(TH!M$1,SMALL(Dong,ROWS($1:11)),)="331",OFFSET(TH!K$1,SMALL(Dong,ROWS($1:11)),),0))</f>
        <v>0</v>
      </c>
      <c r="I24" s="25">
        <f t="shared" ca="1" si="4"/>
        <v>0</v>
      </c>
      <c r="J24" s="25">
        <f t="shared" ca="1" si="5"/>
        <v>158066091</v>
      </c>
    </row>
    <row r="25" spans="1:10" s="18" customFormat="1" ht="18" customHeight="1">
      <c r="A25" s="9">
        <f ca="1">IF(ROWS($1:12)&gt;COUNT(Dong),"",OFFSET(TH!C$1,SMALL(Dong,ROWS($1:12)),))</f>
        <v>41282</v>
      </c>
      <c r="B25" s="9" t="str">
        <f ca="1">IF(ROWS($1:12)&gt;COUNT(Dong),"",OFFSET(TH!D$1,SMALL(Dong,ROWS($1:12)),))</f>
        <v>NL/N04</v>
      </c>
      <c r="C25" s="9">
        <f ca="1">IF(ROWS($1:12)&gt;COUNT(Dong),"",OFFSET(TH!E$1,SMALL(Dong,ROWS($1:12)),))</f>
        <v>41282</v>
      </c>
      <c r="D25" s="223" t="str">
        <f ca="1">IF(ROWS($1:12)&gt;COUNT(Dong),"",OFFSET(TH!F$1,SMALL(Dong,ROWS($1:12)),))</f>
        <v>Giấy tấm 2 vàng + 1 xeo (2020x950)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7">
        <f ca="1">IF(ROWS($1:12)&gt;COUNT(Dong),"",IF(OFFSET(TH!L$1,SMALL(Dong,ROWS($1:12)),)="331",OFFSET(TH!K$1,SMALL(Dong,ROWS($1:12)),),0))</f>
        <v>0</v>
      </c>
      <c r="H25" s="57">
        <f ca="1">IF(ROWS($1:12)&gt;COUNT(Dong),"",IF(OFFSET(TH!M$1,SMALL(Dong,ROWS($1:12)),)="331",OFFSET(TH!K$1,SMALL(Dong,ROWS($1:12)),),0))</f>
        <v>1648625</v>
      </c>
      <c r="I25" s="25">
        <f t="shared" ca="1" si="4"/>
        <v>0</v>
      </c>
      <c r="J25" s="25">
        <f t="shared" ca="1" si="5"/>
        <v>159714716</v>
      </c>
    </row>
    <row r="26" spans="1:10" s="18" customFormat="1" ht="18" customHeight="1">
      <c r="A26" s="9">
        <f ca="1">IF(ROWS($1:13)&gt;COUNT(Dong),"",OFFSET(TH!C$1,SMALL(Dong,ROWS($1:13)),))</f>
        <v>41282</v>
      </c>
      <c r="B26" s="9" t="str">
        <f ca="1">IF(ROWS($1:13)&gt;COUNT(Dong),"",OFFSET(TH!D$1,SMALL(Dong,ROWS($1:13)),))</f>
        <v>NL/N04</v>
      </c>
      <c r="C26" s="9">
        <f ca="1">IF(ROWS($1:13)&gt;COUNT(Dong),"",OFFSET(TH!E$1,SMALL(Dong,ROWS($1:13)),))</f>
        <v>41282</v>
      </c>
      <c r="D26" s="223" t="str">
        <f ca="1">IF(ROWS($1:13)&gt;COUNT(Dong),"",OFFSET(TH!F$1,SMALL(Dong,ROWS($1:13)),))</f>
        <v>Giấy tấm 2 vàng + 3 xeo (2370x1050)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7">
        <f ca="1">IF(ROWS($1:13)&gt;COUNT(Dong),"",IF(OFFSET(TH!L$1,SMALL(Dong,ROWS($1:13)),)="331",OFFSET(TH!K$1,SMALL(Dong,ROWS($1:13)),),0))</f>
        <v>0</v>
      </c>
      <c r="H26" s="57">
        <f ca="1">IF(ROWS($1:13)&gt;COUNT(Dong),"",IF(OFFSET(TH!M$1,SMALL(Dong,ROWS($1:13)),)="331",OFFSET(TH!K$1,SMALL(Dong,ROWS($1:13)),),0))</f>
        <v>2389000</v>
      </c>
      <c r="I26" s="25">
        <f t="shared" ca="1" si="4"/>
        <v>0</v>
      </c>
      <c r="J26" s="25">
        <f t="shared" ca="1" si="5"/>
        <v>162103716</v>
      </c>
    </row>
    <row r="27" spans="1:10" s="18" customFormat="1" ht="18" customHeight="1">
      <c r="A27" s="9">
        <f ca="1">IF(ROWS($1:14)&gt;COUNT(Dong),"",OFFSET(TH!C$1,SMALL(Dong,ROWS($1:14)),))</f>
        <v>41282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41282</v>
      </c>
      <c r="D27" s="223" t="str">
        <f ca="1">IF(ROWS($1:14)&gt;COUNT(Dong),"",OFFSET(TH!F$1,SMALL(Dong,ROWS($1:14)),))</f>
        <v>Giấy tấm 2 vàng + 3 xeo (2540x1050)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7">
        <f ca="1">IF(ROWS($1:14)&gt;COUNT(Dong),"",IF(OFFSET(TH!L$1,SMALL(Dong,ROWS($1:14)),)="331",OFFSET(TH!K$1,SMALL(Dong,ROWS($1:14)),),0))</f>
        <v>0</v>
      </c>
      <c r="H27" s="57">
        <f ca="1">IF(ROWS($1:14)&gt;COUNT(Dong),"",IF(OFFSET(TH!M$1,SMALL(Dong,ROWS($1:14)),)="331",OFFSET(TH!K$1,SMALL(Dong,ROWS($1:14)),),0))</f>
        <v>2560300</v>
      </c>
      <c r="I27" s="25">
        <f t="shared" ca="1" si="4"/>
        <v>0</v>
      </c>
      <c r="J27" s="25">
        <f t="shared" ca="1" si="5"/>
        <v>164664016</v>
      </c>
    </row>
    <row r="28" spans="1:10" s="18" customFormat="1" ht="18" customHeight="1">
      <c r="A28" s="9">
        <f ca="1">IF(ROWS($1:15)&gt;COUNT(Dong),"",OFFSET(TH!C$1,SMALL(Dong,ROWS($1:15)),))</f>
        <v>41282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41282</v>
      </c>
      <c r="D28" s="223" t="str">
        <f ca="1">IF(ROWS($1:15)&gt;COUNT(Dong),"",OFFSET(TH!F$1,SMALL(Dong,ROWS($1:15)),))</f>
        <v>Giấy tấm 1 vàng + 2 xeo (1940x1450)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7">
        <f ca="1">IF(ROWS($1:15)&gt;COUNT(Dong),"",IF(OFFSET(TH!L$1,SMALL(Dong,ROWS($1:15)),)="331",OFFSET(TH!K$1,SMALL(Dong,ROWS($1:15)),),0))</f>
        <v>0</v>
      </c>
      <c r="H28" s="57">
        <f ca="1">IF(ROWS($1:15)&gt;COUNT(Dong),"",IF(OFFSET(TH!M$1,SMALL(Dong,ROWS($1:15)),)="331",OFFSET(TH!K$1,SMALL(Dong,ROWS($1:15)),),0))</f>
        <v>4324168</v>
      </c>
      <c r="I28" s="25">
        <f t="shared" ca="1" si="4"/>
        <v>0</v>
      </c>
      <c r="J28" s="25">
        <f t="shared" ca="1" si="5"/>
        <v>168988184</v>
      </c>
    </row>
    <row r="29" spans="1:10" s="18" customFormat="1" ht="18" customHeight="1">
      <c r="A29" s="9">
        <f ca="1">IF(ROWS($1:16)&gt;COUNT(Dong),"",OFFSET(TH!C$1,SMALL(Dong,ROWS($1:16)),))</f>
        <v>41282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41282</v>
      </c>
      <c r="D29" s="223" t="str">
        <f ca="1">IF(ROWS($1:16)&gt;COUNT(Dong),"",OFFSET(TH!F$1,SMALL(Dong,ROWS($1:16)),))</f>
        <v>Giấy tấm 2 vàng + 3 xeo (1980x1050)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7">
        <f ca="1">IF(ROWS($1:16)&gt;COUNT(Dong),"",IF(OFFSET(TH!L$1,SMALL(Dong,ROWS($1:16)),)="331",OFFSET(TH!K$1,SMALL(Dong,ROWS($1:16)),),0))</f>
        <v>0</v>
      </c>
      <c r="H29" s="57">
        <f ca="1">IF(ROWS($1:16)&gt;COUNT(Dong),"",IF(OFFSET(TH!M$1,SMALL(Dong,ROWS($1:16)),)="331",OFFSET(TH!K$1,SMALL(Dong,ROWS($1:16)),),0))</f>
        <v>4111348</v>
      </c>
      <c r="I29" s="25">
        <f t="shared" ca="1" si="4"/>
        <v>0</v>
      </c>
      <c r="J29" s="25">
        <f t="shared" ca="1" si="5"/>
        <v>173099532</v>
      </c>
    </row>
    <row r="30" spans="1:10" s="18" customFormat="1" ht="18" customHeight="1">
      <c r="A30" s="9">
        <f ca="1">IF(ROWS($1:17)&gt;COUNT(Dong),"",OFFSET(TH!C$1,SMALL(Dong,ROWS($1:17)),))</f>
        <v>41282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41282</v>
      </c>
      <c r="D30" s="223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7">
        <f ca="1">IF(ROWS($1:17)&gt;COUNT(Dong),"",IF(OFFSET(TH!L$1,SMALL(Dong,ROWS($1:17)),)="331",OFFSET(TH!K$1,SMALL(Dong,ROWS($1:17)),),0))</f>
        <v>0</v>
      </c>
      <c r="H30" s="57">
        <f ca="1">IF(ROWS($1:17)&gt;COUNT(Dong),"",IF(OFFSET(TH!M$1,SMALL(Dong,ROWS($1:17)),)="331",OFFSET(TH!K$1,SMALL(Dong,ROWS($1:17)),),0))</f>
        <v>1503344</v>
      </c>
      <c r="I30" s="25">
        <f t="shared" ca="1" si="4"/>
        <v>0</v>
      </c>
      <c r="J30" s="25">
        <f t="shared" ca="1" si="5"/>
        <v>174602876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C06</v>
      </c>
      <c r="C31" s="9">
        <f ca="1">IF(ROWS($1:18)&gt;COUNT(Dong),"",OFFSET(TH!E$1,SMALL(Dong,ROWS($1:18)),))</f>
        <v>41282</v>
      </c>
      <c r="D31" s="223" t="str">
        <f ca="1">IF(ROWS($1:18)&gt;COUNT(Dong),"",OFFSET(TH!F$1,SMALL(Dong,ROWS($1:18)),))</f>
        <v>Thanh toán tiền hàng</v>
      </c>
      <c r="E31" s="46" t="str">
        <f ca="1">IF(ROWS($1:18)&gt;COUNT(Dong),"",IF(OFFSET(TH!L$1,SMALL(Dong,ROWS($1:18)),)="331",OFFSET(TH!M$1,SMALL(Dong,ROWS($1:18)),),OFFSET(TH!L$1,SMALL(Dong,ROWS($1:18)),)))</f>
        <v>1111</v>
      </c>
      <c r="F31" s="46"/>
      <c r="G31" s="57">
        <f ca="1">IF(ROWS($1:18)&gt;COUNT(Dong),"",IF(OFFSET(TH!L$1,SMALL(Dong,ROWS($1:18)),)="331",OFFSET(TH!K$1,SMALL(Dong,ROWS($1:18)),),0))</f>
        <v>16536785</v>
      </c>
      <c r="H31" s="57">
        <f ca="1">IF(ROWS($1:18)&gt;COUNT(Dong),"",IF(OFFSET(TH!M$1,SMALL(Dong,ROWS($1:18)),)="331",OFFSET(TH!K$1,SMALL(Dong,ROWS($1:18)),),0))</f>
        <v>0</v>
      </c>
      <c r="I31" s="25">
        <f t="shared" ca="1" si="4"/>
        <v>0</v>
      </c>
      <c r="J31" s="25">
        <f t="shared" ca="1" si="5"/>
        <v>158066091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41282</v>
      </c>
      <c r="D32" s="223" t="str">
        <f ca="1">IF(ROWS($1:19)&gt;COUNT(Dong),"",OFFSET(TH!F$1,SMALL(Dong,ROWS($1:19)),))</f>
        <v>Giấy tấm 2 vàng + 3 xeo (1900x1200)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7">
        <f ca="1">IF(ROWS($1:19)&gt;COUNT(Dong),"",IF(OFFSET(TH!L$1,SMALL(Dong,ROWS($1:19)),)="331",OFFSET(TH!K$1,SMALL(Dong,ROWS($1:19)),),0))</f>
        <v>0</v>
      </c>
      <c r="H32" s="57">
        <f ca="1">IF(ROWS($1:19)&gt;COUNT(Dong),"",IF(OFFSET(TH!M$1,SMALL(Dong,ROWS($1:19)),)="331",OFFSET(TH!K$1,SMALL(Dong,ROWS($1:19)),),0))</f>
        <v>6566400</v>
      </c>
      <c r="I32" s="25">
        <f t="shared" ca="1" si="4"/>
        <v>0</v>
      </c>
      <c r="J32" s="25">
        <f t="shared" ca="1" si="5"/>
        <v>164632491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41282</v>
      </c>
      <c r="D33" s="223" t="str">
        <f ca="1">IF(ROWS($1:20)&gt;COUNT(Dong),"",OFFSET(TH!F$1,SMALL(Dong,ROWS($1:20)),))</f>
        <v>Giấy tấm 2 vàng + 3 xeo (1320x1050)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7">
        <f ca="1">IF(ROWS($1:20)&gt;COUNT(Dong),"",IF(OFFSET(TH!L$1,SMALL(Dong,ROWS($1:20)),)="331",OFFSET(TH!K$1,SMALL(Dong,ROWS($1:20)),),0))</f>
        <v>0</v>
      </c>
      <c r="H33" s="57">
        <f ca="1">IF(ROWS($1:20)&gt;COUNT(Dong),"",IF(OFFSET(TH!M$1,SMALL(Dong,ROWS($1:20)),)="331",OFFSET(TH!K$1,SMALL(Dong,ROWS($1:20)),),0))</f>
        <v>1197540</v>
      </c>
      <c r="I33" s="25">
        <f t="shared" ca="1" si="4"/>
        <v>0</v>
      </c>
      <c r="J33" s="25">
        <f t="shared" ca="1" si="5"/>
        <v>165830031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41282</v>
      </c>
      <c r="D34" s="223" t="str">
        <f ca="1">IF(ROWS($1:21)&gt;COUNT(Dong),"",OFFSET(TH!F$1,SMALL(Dong,ROWS($1:21)),))</f>
        <v>Giấy tấm 1 YBB + 1 xeo150 + 1 vàng (1700x1550)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7">
        <f ca="1">IF(ROWS($1:21)&gt;COUNT(Dong),"",IF(OFFSET(TH!L$1,SMALL(Dong,ROWS($1:21)),)="331",OFFSET(TH!K$1,SMALL(Dong,ROWS($1:21)),),0))</f>
        <v>0</v>
      </c>
      <c r="H34" s="57">
        <f ca="1">IF(ROWS($1:21)&gt;COUNT(Dong),"",IF(OFFSET(TH!M$1,SMALL(Dong,ROWS($1:21)),)="331",OFFSET(TH!K$1,SMALL(Dong,ROWS($1:21)),),0))</f>
        <v>6905808</v>
      </c>
      <c r="I34" s="25">
        <f t="shared" ca="1" si="4"/>
        <v>0</v>
      </c>
      <c r="J34" s="25">
        <f t="shared" ca="1" si="5"/>
        <v>172735839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41282</v>
      </c>
      <c r="D35" s="223" t="str">
        <f ca="1">IF(ROWS($1:22)&gt;COUNT(Dong),"",OFFSET(TH!F$1,SMALL(Dong,ROWS($1:22)),))</f>
        <v>VAT Giấy tấm</v>
      </c>
      <c r="E35" s="46" t="str">
        <f ca="1">IF(ROWS($1:22)&gt;COUNT(Dong),"",IF(OFFSET(TH!L$1,SMALL(Dong,ROWS($1:22)),)="331",OFFSET(TH!M$1,SMALL(Dong,ROWS($1:22)),),OFFSET(TH!L$1,SMALL(Dong,ROWS($1:22)),)))</f>
        <v>1331</v>
      </c>
      <c r="F35" s="46"/>
      <c r="G35" s="57">
        <f ca="1">IF(ROWS($1:22)&gt;COUNT(Dong),"",IF(OFFSET(TH!L$1,SMALL(Dong,ROWS($1:22)),)="331",OFFSET(TH!K$1,SMALL(Dong,ROWS($1:22)),),0))</f>
        <v>0</v>
      </c>
      <c r="H35" s="57">
        <f ca="1">IF(ROWS($1:22)&gt;COUNT(Dong),"",IF(OFFSET(TH!M$1,SMALL(Dong,ROWS($1:22)),)="331",OFFSET(TH!K$1,SMALL(Dong,ROWS($1:22)),),0))</f>
        <v>1466975</v>
      </c>
      <c r="I35" s="25">
        <f t="shared" ca="1" si="4"/>
        <v>0</v>
      </c>
      <c r="J35" s="25">
        <f t="shared" ca="1" si="5"/>
        <v>174202814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C07</v>
      </c>
      <c r="C36" s="9">
        <f ca="1">IF(ROWS($1:23)&gt;COUNT(Dong),"",OFFSET(TH!E$1,SMALL(Dong,ROWS($1:23)),))</f>
        <v>41282</v>
      </c>
      <c r="D36" s="223" t="str">
        <f ca="1">IF(ROWS($1:23)&gt;COUNT(Dong),"",OFFSET(TH!F$1,SMALL(Dong,ROWS($1:23)),))</f>
        <v>Thanh toán tiền hàng</v>
      </c>
      <c r="E36" s="46" t="str">
        <f ca="1">IF(ROWS($1:23)&gt;COUNT(Dong),"",IF(OFFSET(TH!L$1,SMALL(Dong,ROWS($1:23)),)="331",OFFSET(TH!M$1,SMALL(Dong,ROWS($1:23)),),OFFSET(TH!L$1,SMALL(Dong,ROWS($1:23)),)))</f>
        <v>1111</v>
      </c>
      <c r="F36" s="46"/>
      <c r="G36" s="57">
        <f ca="1">IF(ROWS($1:23)&gt;COUNT(Dong),"",IF(OFFSET(TH!L$1,SMALL(Dong,ROWS($1:23)),)="331",OFFSET(TH!K$1,SMALL(Dong,ROWS($1:23)),),0))</f>
        <v>16136723</v>
      </c>
      <c r="H36" s="57">
        <f ca="1">IF(ROWS($1:23)&gt;COUNT(Dong),"",IF(OFFSET(TH!M$1,SMALL(Dong,ROWS($1:23)),)="331",OFFSET(TH!K$1,SMALL(Dong,ROWS($1:23)),),0))</f>
        <v>0</v>
      </c>
      <c r="I36" s="25">
        <f t="shared" ca="1" si="4"/>
        <v>0</v>
      </c>
      <c r="J36" s="25">
        <f t="shared" ca="1" si="5"/>
        <v>158066091</v>
      </c>
    </row>
    <row r="37" spans="1:10" s="18" customFormat="1" ht="18" customHeight="1">
      <c r="A37" s="9">
        <f ca="1">IF(ROWS($1:24)&gt;COUNT(Dong),"",OFFSET(TH!C$1,SMALL(Dong,ROWS($1:24)),))</f>
        <v>41283</v>
      </c>
      <c r="B37" s="9" t="str">
        <f ca="1">IF(ROWS($1:24)&gt;COUNT(Dong),"",OFFSET(TH!D$1,SMALL(Dong,ROWS($1:24)),))</f>
        <v>NL/N06</v>
      </c>
      <c r="C37" s="9">
        <f ca="1">IF(ROWS($1:24)&gt;COUNT(Dong),"",OFFSET(TH!E$1,SMALL(Dong,ROWS($1:24)),))</f>
        <v>41283</v>
      </c>
      <c r="D37" s="223" t="str">
        <f ca="1">IF(ROWS($1:24)&gt;COUNT(Dong),"",OFFSET(TH!F$1,SMALL(Dong,ROWS($1:24)),))</f>
        <v>Giấy tấm 2 vàng + 3 xeo (1320x1050)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7">
        <f ca="1">IF(ROWS($1:24)&gt;COUNT(Dong),"",IF(OFFSET(TH!L$1,SMALL(Dong,ROWS($1:24)),)="331",OFFSET(TH!K$1,SMALL(Dong,ROWS($1:24)),),0))</f>
        <v>0</v>
      </c>
      <c r="H37" s="57">
        <f ca="1">IF(ROWS($1:24)&gt;COUNT(Dong),"",IF(OFFSET(TH!M$1,SMALL(Dong,ROWS($1:24)),)="331",OFFSET(TH!K$1,SMALL(Dong,ROWS($1:24)),),0))</f>
        <v>2022512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160088603</v>
      </c>
    </row>
    <row r="38" spans="1:10" s="18" customFormat="1" ht="18" customHeight="1">
      <c r="A38" s="9">
        <f ca="1">IF(ROWS($1:25)&gt;COUNT(Dong),"",OFFSET(TH!C$1,SMALL(Dong,ROWS($1:25)),))</f>
        <v>41283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41283</v>
      </c>
      <c r="D38" s="223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7">
        <f ca="1">IF(ROWS($1:25)&gt;COUNT(Dong),"",IF(OFFSET(TH!L$1,SMALL(Dong,ROWS($1:25)),)="331",OFFSET(TH!K$1,SMALL(Dong,ROWS($1:25)),),0))</f>
        <v>0</v>
      </c>
      <c r="H38" s="57">
        <f ca="1">IF(ROWS($1:25)&gt;COUNT(Dong),"",IF(OFFSET(TH!M$1,SMALL(Dong,ROWS($1:25)),)="331",OFFSET(TH!K$1,SMALL(Dong,ROWS($1:25)),),0))</f>
        <v>4640256</v>
      </c>
      <c r="I38" s="25">
        <f t="shared" ca="1" si="6"/>
        <v>0</v>
      </c>
      <c r="J38" s="25">
        <f t="shared" ca="1" si="7"/>
        <v>164728859</v>
      </c>
    </row>
    <row r="39" spans="1:10" s="18" customFormat="1" ht="18" customHeight="1">
      <c r="A39" s="9">
        <f ca="1">IF(ROWS($1:26)&gt;COUNT(Dong),"",OFFSET(TH!C$1,SMALL(Dong,ROWS($1:26)),))</f>
        <v>41283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41283</v>
      </c>
      <c r="D39" s="223" t="str">
        <f ca="1">IF(ROWS($1:26)&gt;COUNT(Dong),"",OFFSET(TH!F$1,SMALL(Dong,ROWS($1:26)),))</f>
        <v>Giấy tấm 2 giả thái + 3 xeo (2040x950)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7">
        <f ca="1">IF(ROWS($1:26)&gt;COUNT(Dong),"",IF(OFFSET(TH!L$1,SMALL(Dong,ROWS($1:26)),)="331",OFFSET(TH!K$1,SMALL(Dong,ROWS($1:26)),),0))</f>
        <v>0</v>
      </c>
      <c r="H39" s="57">
        <f ca="1">IF(ROWS($1:26)&gt;COUNT(Dong),"",IF(OFFSET(TH!M$1,SMALL(Dong,ROWS($1:26)),)="331",OFFSET(TH!K$1,SMALL(Dong,ROWS($1:26)),),0))</f>
        <v>2548885</v>
      </c>
      <c r="I39" s="25">
        <f t="shared" ca="1" si="6"/>
        <v>0</v>
      </c>
      <c r="J39" s="25">
        <f t="shared" ca="1" si="7"/>
        <v>167277744</v>
      </c>
    </row>
    <row r="40" spans="1:10" s="18" customFormat="1" ht="18" customHeight="1">
      <c r="A40" s="9">
        <f ca="1">IF(ROWS($1:27)&gt;COUNT(Dong),"",OFFSET(TH!C$1,SMALL(Dong,ROWS($1:27)),))</f>
        <v>41283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41283</v>
      </c>
      <c r="D40" s="223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7">
        <f ca="1">IF(ROWS($1:27)&gt;COUNT(Dong),"",IF(OFFSET(TH!L$1,SMALL(Dong,ROWS($1:27)),)="331",OFFSET(TH!K$1,SMALL(Dong,ROWS($1:27)),),0))</f>
        <v>0</v>
      </c>
      <c r="H40" s="57">
        <f ca="1">IF(ROWS($1:27)&gt;COUNT(Dong),"",IF(OFFSET(TH!M$1,SMALL(Dong,ROWS($1:27)),)="331",OFFSET(TH!K$1,SMALL(Dong,ROWS($1:27)),),0))</f>
        <v>921166</v>
      </c>
      <c r="I40" s="25">
        <f t="shared" ca="1" si="6"/>
        <v>0</v>
      </c>
      <c r="J40" s="25">
        <f t="shared" ca="1" si="7"/>
        <v>168198910</v>
      </c>
    </row>
    <row r="41" spans="1:10" s="18" customFormat="1" ht="18" customHeight="1">
      <c r="A41" s="9">
        <f ca="1">IF(ROWS($1:28)&gt;COUNT(Dong),"",OFFSET(TH!C$1,SMALL(Dong,ROWS($1:28)),))</f>
        <v>41283</v>
      </c>
      <c r="B41" s="9" t="str">
        <f ca="1">IF(ROWS($1:28)&gt;COUNT(Dong),"",OFFSET(TH!D$1,SMALL(Dong,ROWS($1:28)),))</f>
        <v>C08</v>
      </c>
      <c r="C41" s="9">
        <f ca="1">IF(ROWS($1:28)&gt;COUNT(Dong),"",OFFSET(TH!E$1,SMALL(Dong,ROWS($1:28)),))</f>
        <v>41283</v>
      </c>
      <c r="D41" s="223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1111</v>
      </c>
      <c r="F41" s="46"/>
      <c r="G41" s="57">
        <f ca="1">IF(ROWS($1:28)&gt;COUNT(Dong),"",IF(OFFSET(TH!L$1,SMALL(Dong,ROWS($1:28)),)="331",OFFSET(TH!K$1,SMALL(Dong,ROWS($1:28)),),0))</f>
        <v>10132819</v>
      </c>
      <c r="H41" s="57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158066091</v>
      </c>
    </row>
    <row r="42" spans="1:10" s="18" customFormat="1" ht="18" customHeight="1">
      <c r="A42" s="9">
        <f ca="1">IF(ROWS($1:29)&gt;COUNT(Dong),"",OFFSET(TH!C$1,SMALL(Dong,ROWS($1:29)),))</f>
        <v>41285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41285</v>
      </c>
      <c r="D42" s="223" t="str">
        <f ca="1">IF(ROWS($1:29)&gt;COUNT(Dong),"",OFFSET(TH!F$1,SMALL(Dong,ROWS($1:29)),))</f>
        <v>Giấy tấm 2 vàng + 3 xeo (2460x1650)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7">
        <f ca="1">IF(ROWS($1:29)&gt;COUNT(Dong),"",IF(OFFSET(TH!L$1,SMALL(Dong,ROWS($1:29)),)="331",OFFSET(TH!K$1,SMALL(Dong,ROWS($1:29)),),0))</f>
        <v>0</v>
      </c>
      <c r="H42" s="57">
        <f ca="1">IF(ROWS($1:29)&gt;COUNT(Dong),"",IF(OFFSET(TH!M$1,SMALL(Dong,ROWS($1:29)),)="331",OFFSET(TH!K$1,SMALL(Dong,ROWS($1:29)),),0))</f>
        <v>5455240</v>
      </c>
      <c r="I42" s="25">
        <f t="shared" ca="1" si="6"/>
        <v>0</v>
      </c>
      <c r="J42" s="25">
        <f t="shared" ca="1" si="7"/>
        <v>163521331</v>
      </c>
    </row>
    <row r="43" spans="1:10" s="18" customFormat="1" ht="18" customHeight="1">
      <c r="A43" s="9">
        <f ca="1">IF(ROWS($1:30)&gt;COUNT(Dong),"",OFFSET(TH!C$1,SMALL(Dong,ROWS($1:30)),))</f>
        <v>41285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41285</v>
      </c>
      <c r="D43" s="223" t="str">
        <f ca="1">IF(ROWS($1:30)&gt;COUNT(Dong),"",OFFSET(TH!F$1,SMALL(Dong,ROWS($1:30)),))</f>
        <v>Giấy tấm 1 trắng + 3 xeo + 1 vàng (1760x1600)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7">
        <f ca="1">IF(ROWS($1:30)&gt;COUNT(Dong),"",IF(OFFSET(TH!L$1,SMALL(Dong,ROWS($1:30)),)="331",OFFSET(TH!K$1,SMALL(Dong,ROWS($1:30)),),0))</f>
        <v>0</v>
      </c>
      <c r="H43" s="57">
        <f ca="1">IF(ROWS($1:30)&gt;COUNT(Dong),"",IF(OFFSET(TH!M$1,SMALL(Dong,ROWS($1:30)),)="331",OFFSET(TH!K$1,SMALL(Dong,ROWS($1:30)),),0))</f>
        <v>4937856</v>
      </c>
      <c r="I43" s="25">
        <f t="shared" ca="1" si="6"/>
        <v>0</v>
      </c>
      <c r="J43" s="25">
        <f t="shared" ca="1" si="7"/>
        <v>168459187</v>
      </c>
    </row>
    <row r="44" spans="1:10" s="18" customFormat="1" ht="18" customHeight="1">
      <c r="A44" s="9">
        <f ca="1">IF(ROWS($1:31)&gt;COUNT(Dong),"",OFFSET(TH!C$1,SMALL(Dong,ROWS($1:31)),))</f>
        <v>41285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41285</v>
      </c>
      <c r="D44" s="223" t="str">
        <f ca="1">IF(ROWS($1:31)&gt;COUNT(Dong),"",OFFSET(TH!F$1,SMALL(Dong,ROWS($1:31)),))</f>
        <v>VAT Giấy tấm</v>
      </c>
      <c r="E44" s="46" t="str">
        <f ca="1">IF(ROWS($1:31)&gt;COUNT(Dong),"",IF(OFFSET(TH!L$1,SMALL(Dong,ROWS($1:31)),)="331",OFFSET(TH!M$1,SMALL(Dong,ROWS($1:31)),),OFFSET(TH!L$1,SMALL(Dong,ROWS($1:31)),)))</f>
        <v>1331</v>
      </c>
      <c r="F44" s="46"/>
      <c r="G44" s="57">
        <f ca="1">IF(ROWS($1:31)&gt;COUNT(Dong),"",IF(OFFSET(TH!L$1,SMALL(Dong,ROWS($1:31)),)="331",OFFSET(TH!K$1,SMALL(Dong,ROWS($1:31)),),0))</f>
        <v>0</v>
      </c>
      <c r="H44" s="57">
        <f ca="1">IF(ROWS($1:31)&gt;COUNT(Dong),"",IF(OFFSET(TH!M$1,SMALL(Dong,ROWS($1:31)),)="331",OFFSET(TH!K$1,SMALL(Dong,ROWS($1:31)),),0))</f>
        <v>1039310</v>
      </c>
      <c r="I44" s="25">
        <f t="shared" ca="1" si="6"/>
        <v>0</v>
      </c>
      <c r="J44" s="25">
        <f t="shared" ca="1" si="7"/>
        <v>169498497</v>
      </c>
    </row>
    <row r="45" spans="1:10" s="18" customFormat="1" ht="18" customHeight="1">
      <c r="A45" s="9">
        <f ca="1">IF(ROWS($1:32)&gt;COUNT(Dong),"",OFFSET(TH!C$1,SMALL(Dong,ROWS($1:32)),))</f>
        <v>41285</v>
      </c>
      <c r="B45" s="9" t="str">
        <f ca="1">IF(ROWS($1:32)&gt;COUNT(Dong),"",OFFSET(TH!D$1,SMALL(Dong,ROWS($1:32)),))</f>
        <v>C09</v>
      </c>
      <c r="C45" s="9">
        <f ca="1">IF(ROWS($1:32)&gt;COUNT(Dong),"",OFFSET(TH!E$1,SMALL(Dong,ROWS($1:32)),))</f>
        <v>41285</v>
      </c>
      <c r="D45" s="223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1111</v>
      </c>
      <c r="F45" s="46"/>
      <c r="G45" s="57">
        <f ca="1">IF(ROWS($1:32)&gt;COUNT(Dong),"",IF(OFFSET(TH!L$1,SMALL(Dong,ROWS($1:32)),)="331",OFFSET(TH!K$1,SMALL(Dong,ROWS($1:32)),),0))</f>
        <v>11432406</v>
      </c>
      <c r="H45" s="57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158066091</v>
      </c>
    </row>
    <row r="46" spans="1:10" s="18" customFormat="1" ht="18" customHeight="1">
      <c r="A46" s="9">
        <f ca="1">IF(ROWS($1:33)&gt;COUNT(Dong),"",OFFSET(TH!C$1,SMALL(Dong,ROWS($1:33)),))</f>
        <v>41286</v>
      </c>
      <c r="B46" s="9" t="str">
        <f ca="1">IF(ROWS($1:33)&gt;COUNT(Dong),"",OFFSET(TH!D$1,SMALL(Dong,ROWS($1:33)),))</f>
        <v>NL/N08</v>
      </c>
      <c r="C46" s="9">
        <f ca="1">IF(ROWS($1:33)&gt;COUNT(Dong),"",OFFSET(TH!E$1,SMALL(Dong,ROWS($1:33)),))</f>
        <v>41286</v>
      </c>
      <c r="D46" s="223" t="str">
        <f ca="1">IF(ROWS($1:33)&gt;COUNT(Dong),"",OFFSET(TH!F$1,SMALL(Dong,ROWS($1:33)),))</f>
        <v>Giấy tấm 1 vàng + 4 xeo (1560x1350)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7">
        <f ca="1">IF(ROWS($1:33)&gt;COUNT(Dong),"",IF(OFFSET(TH!L$1,SMALL(Dong,ROWS($1:33)),)="331",OFFSET(TH!K$1,SMALL(Dong,ROWS($1:33)),),0))</f>
        <v>0</v>
      </c>
      <c r="H46" s="57">
        <f ca="1">IF(ROWS($1:33)&gt;COUNT(Dong),"",IF(OFFSET(TH!M$1,SMALL(Dong,ROWS($1:33)),)="331",OFFSET(TH!K$1,SMALL(Dong,ROWS($1:33)),),0))</f>
        <v>5299250</v>
      </c>
      <c r="I46" s="25">
        <f t="shared" ca="1" si="6"/>
        <v>0</v>
      </c>
      <c r="J46" s="25">
        <f t="shared" ca="1" si="7"/>
        <v>163365341</v>
      </c>
    </row>
    <row r="47" spans="1:10" s="18" customFormat="1" ht="18" customHeight="1">
      <c r="A47" s="9">
        <f ca="1">IF(ROWS($1:34)&gt;COUNT(Dong),"",OFFSET(TH!C$1,SMALL(Dong,ROWS($1:34)),))</f>
        <v>41286</v>
      </c>
      <c r="B47" s="9" t="str">
        <f ca="1">IF(ROWS($1:34)&gt;COUNT(Dong),"",OFFSET(TH!D$1,SMALL(Dong,ROWS($1:34)),))</f>
        <v>NL/N08</v>
      </c>
      <c r="C47" s="9">
        <f ca="1">IF(ROWS($1:34)&gt;COUNT(Dong),"",OFFSET(TH!E$1,SMALL(Dong,ROWS($1:34)),))</f>
        <v>41286</v>
      </c>
      <c r="D47" s="223" t="str">
        <f ca="1">IF(ROWS($1:34)&gt;COUNT(Dong),"",OFFSET(TH!F$1,SMALL(Dong,ROWS($1:34)),))</f>
        <v>Giấy tấm 1 vàng + 4 xeo (1540x1240)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7">
        <f ca="1">IF(ROWS($1:34)&gt;COUNT(Dong),"",IF(OFFSET(TH!L$1,SMALL(Dong,ROWS($1:34)),)="331",OFFSET(TH!K$1,SMALL(Dong,ROWS($1:34)),),0))</f>
        <v>0</v>
      </c>
      <c r="H47" s="57">
        <f ca="1">IF(ROWS($1:34)&gt;COUNT(Dong),"",IF(OFFSET(TH!M$1,SMALL(Dong,ROWS($1:34)),)="331",OFFSET(TH!K$1,SMALL(Dong,ROWS($1:34)),),0))</f>
        <v>4525507</v>
      </c>
      <c r="I47" s="25">
        <f t="shared" ca="1" si="6"/>
        <v>0</v>
      </c>
      <c r="J47" s="25">
        <f t="shared" ca="1" si="7"/>
        <v>167890848</v>
      </c>
    </row>
    <row r="48" spans="1:10" s="18" customFormat="1" ht="18" customHeight="1">
      <c r="A48" s="9">
        <f ca="1">IF(ROWS($1:35)&gt;COUNT(Dong),"",OFFSET(TH!C$1,SMALL(Dong,ROWS($1:35)),))</f>
        <v>41286</v>
      </c>
      <c r="B48" s="9" t="str">
        <f ca="1">IF(ROWS($1:35)&gt;COUNT(Dong),"",OFFSET(TH!D$1,SMALL(Dong,ROWS($1:35)),))</f>
        <v>NL/N08</v>
      </c>
      <c r="C48" s="9">
        <f ca="1">IF(ROWS($1:35)&gt;COUNT(Dong),"",OFFSET(TH!E$1,SMALL(Dong,ROWS($1:35)),))</f>
        <v>41286</v>
      </c>
      <c r="D48" s="223" t="str">
        <f ca="1">IF(ROWS($1:35)&gt;COUNT(Dong),"",OFFSET(TH!F$1,SMALL(Dong,ROWS($1:35)),))</f>
        <v>Giấy tấm 1 YBB + 1 xeo + 1 vàng (1220x950)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7">
        <f ca="1">IF(ROWS($1:35)&gt;COUNT(Dong),"",IF(OFFSET(TH!L$1,SMALL(Dong,ROWS($1:35)),)="331",OFFSET(TH!K$1,SMALL(Dong,ROWS($1:35)),),0))</f>
        <v>0</v>
      </c>
      <c r="H48" s="57">
        <f ca="1">IF(ROWS($1:35)&gt;COUNT(Dong),"",IF(OFFSET(TH!M$1,SMALL(Dong,ROWS($1:35)),)="331",OFFSET(TH!K$1,SMALL(Dong,ROWS($1:35)),),0))</f>
        <v>2555222</v>
      </c>
      <c r="I48" s="25">
        <f t="shared" ca="1" si="6"/>
        <v>0</v>
      </c>
      <c r="J48" s="25">
        <f t="shared" ca="1" si="7"/>
        <v>170446070</v>
      </c>
    </row>
    <row r="49" spans="1:10" s="18" customFormat="1" ht="18" customHeight="1">
      <c r="A49" s="9">
        <f ca="1">IF(ROWS($1:36)&gt;COUNT(Dong),"",OFFSET(TH!C$1,SMALL(Dong,ROWS($1:36)),))</f>
        <v>41286</v>
      </c>
      <c r="B49" s="9" t="str">
        <f ca="1">IF(ROWS($1:36)&gt;COUNT(Dong),"",OFFSET(TH!D$1,SMALL(Dong,ROWS($1:36)),))</f>
        <v>NL/N08</v>
      </c>
      <c r="C49" s="9">
        <f ca="1">IF(ROWS($1:36)&gt;COUNT(Dong),"",OFFSET(TH!E$1,SMALL(Dong,ROWS($1:36)),))</f>
        <v>41286</v>
      </c>
      <c r="D49" s="223" t="str">
        <f ca="1">IF(ROWS($1:36)&gt;COUNT(Dong),"",OFFSET(TH!F$1,SMALL(Dong,ROWS($1:36)),))</f>
        <v>VAT Giấy tấm</v>
      </c>
      <c r="E49" s="46" t="str">
        <f ca="1">IF(ROWS($1:36)&gt;COUNT(Dong),"",IF(OFFSET(TH!L$1,SMALL(Dong,ROWS($1:36)),)="331",OFFSET(TH!M$1,SMALL(Dong,ROWS($1:36)),),OFFSET(TH!L$1,SMALL(Dong,ROWS($1:36)),)))</f>
        <v>1331</v>
      </c>
      <c r="F49" s="46"/>
      <c r="G49" s="57">
        <f ca="1">IF(ROWS($1:36)&gt;COUNT(Dong),"",IF(OFFSET(TH!L$1,SMALL(Dong,ROWS($1:36)),)="331",OFFSET(TH!K$1,SMALL(Dong,ROWS($1:36)),),0))</f>
        <v>0</v>
      </c>
      <c r="H49" s="57">
        <f ca="1">IF(ROWS($1:36)&gt;COUNT(Dong),"",IF(OFFSET(TH!M$1,SMALL(Dong,ROWS($1:36)),)="331",OFFSET(TH!K$1,SMALL(Dong,ROWS($1:36)),),0))</f>
        <v>1237998</v>
      </c>
      <c r="I49" s="25">
        <f t="shared" ca="1" si="6"/>
        <v>0</v>
      </c>
      <c r="J49" s="25">
        <f t="shared" ca="1" si="7"/>
        <v>171684068</v>
      </c>
    </row>
    <row r="50" spans="1:10" s="18" customFormat="1" ht="18" customHeight="1">
      <c r="A50" s="9">
        <f ca="1">IF(ROWS($1:37)&gt;COUNT(Dong),"",OFFSET(TH!C$1,SMALL(Dong,ROWS($1:37)),))</f>
        <v>41286</v>
      </c>
      <c r="B50" s="9" t="str">
        <f ca="1">IF(ROWS($1:37)&gt;COUNT(Dong),"",OFFSET(TH!D$1,SMALL(Dong,ROWS($1:37)),))</f>
        <v>C10</v>
      </c>
      <c r="C50" s="9">
        <f ca="1">IF(ROWS($1:37)&gt;COUNT(Dong),"",OFFSET(TH!E$1,SMALL(Dong,ROWS($1:37)),))</f>
        <v>41286</v>
      </c>
      <c r="D50" s="223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1111</v>
      </c>
      <c r="F50" s="46"/>
      <c r="G50" s="57">
        <f ca="1">IF(ROWS($1:37)&gt;COUNT(Dong),"",IF(OFFSET(TH!L$1,SMALL(Dong,ROWS($1:37)),)="331",OFFSET(TH!K$1,SMALL(Dong,ROWS($1:37)),),0))</f>
        <v>13617977</v>
      </c>
      <c r="H50" s="57">
        <f ca="1">IF(ROWS($1:37)&gt;COUNT(Dong),"",IF(OFFSET(TH!M$1,SMALL(Dong,ROWS($1:37)),)="331",OFFSET(TH!K$1,SMALL(Dong,ROWS($1:37)),),0))</f>
        <v>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158066091</v>
      </c>
    </row>
    <row r="51" spans="1:10" s="18" customFormat="1" ht="18" customHeight="1">
      <c r="A51" s="9">
        <f ca="1">IF(ROWS($1:38)&gt;COUNT(Dong),"",OFFSET(TH!C$1,SMALL(Dong,ROWS($1:38)),))</f>
        <v>41290</v>
      </c>
      <c r="B51" s="9" t="str">
        <f ca="1">IF(ROWS($1:38)&gt;COUNT(Dong),"",OFFSET(TH!D$1,SMALL(Dong,ROWS($1:38)),))</f>
        <v>NL/N09</v>
      </c>
      <c r="C51" s="9">
        <f ca="1">IF(ROWS($1:38)&gt;COUNT(Dong),"",OFFSET(TH!E$1,SMALL(Dong,ROWS($1:38)),))</f>
        <v>41290</v>
      </c>
      <c r="D51" s="223" t="str">
        <f ca="1">IF(ROWS($1:38)&gt;COUNT(Dong),"",OFFSET(TH!F$1,SMALL(Dong,ROWS($1:38)),))</f>
        <v>Giấy tấm 1 trắng + 2 xeo (840x1150)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7">
        <f ca="1">IF(ROWS($1:38)&gt;COUNT(Dong),"",IF(OFFSET(TH!L$1,SMALL(Dong,ROWS($1:38)),)="331",OFFSET(TH!K$1,SMALL(Dong,ROWS($1:38)),),0))</f>
        <v>0</v>
      </c>
      <c r="H51" s="57">
        <f ca="1">IF(ROWS($1:38)&gt;COUNT(Dong),"",IF(OFFSET(TH!M$1,SMALL(Dong,ROWS($1:38)),)="331",OFFSET(TH!K$1,SMALL(Dong,ROWS($1:38)),),0))</f>
        <v>945620</v>
      </c>
      <c r="I51" s="25">
        <f t="shared" ca="1" si="8"/>
        <v>0</v>
      </c>
      <c r="J51" s="25">
        <f t="shared" ca="1" si="9"/>
        <v>159011711</v>
      </c>
    </row>
    <row r="52" spans="1:10" s="18" customFormat="1" ht="18" customHeight="1">
      <c r="A52" s="9">
        <f ca="1">IF(ROWS($1:39)&gt;COUNT(Dong),"",OFFSET(TH!C$1,SMALL(Dong,ROWS($1:39)),))</f>
        <v>41290</v>
      </c>
      <c r="B52" s="9" t="str">
        <f ca="1">IF(ROWS($1:39)&gt;COUNT(Dong),"",OFFSET(TH!D$1,SMALL(Dong,ROWS($1:39)),))</f>
        <v>NL/N09</v>
      </c>
      <c r="C52" s="9">
        <f ca="1">IF(ROWS($1:39)&gt;COUNT(Dong),"",OFFSET(TH!E$1,SMALL(Dong,ROWS($1:39)),))</f>
        <v>41290</v>
      </c>
      <c r="D52" s="223" t="str">
        <f ca="1">IF(ROWS($1:39)&gt;COUNT(Dong),"",OFFSET(TH!F$1,SMALL(Dong,ROWS($1:39)),))</f>
        <v>Giấy tấm 2 vàng + 3 xeo (1080x1050)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7">
        <f ca="1">IF(ROWS($1:39)&gt;COUNT(Dong),"",IF(OFFSET(TH!L$1,SMALL(Dong,ROWS($1:39)),)="331",OFFSET(TH!K$1,SMALL(Dong,ROWS($1:39)),),0))</f>
        <v>0</v>
      </c>
      <c r="H52" s="57">
        <f ca="1">IF(ROWS($1:39)&gt;COUNT(Dong),"",IF(OFFSET(TH!M$1,SMALL(Dong,ROWS($1:39)),)="331",OFFSET(TH!K$1,SMALL(Dong,ROWS($1:39)),),0))</f>
        <v>1153916</v>
      </c>
      <c r="I52" s="25">
        <f t="shared" ca="1" si="8"/>
        <v>0</v>
      </c>
      <c r="J52" s="25">
        <f t="shared" ca="1" si="9"/>
        <v>160165627</v>
      </c>
    </row>
    <row r="53" spans="1:10" s="18" customFormat="1" ht="18" customHeight="1">
      <c r="A53" s="9">
        <f ca="1">IF(ROWS($1:40)&gt;COUNT(Dong),"",OFFSET(TH!C$1,SMALL(Dong,ROWS($1:40)),))</f>
        <v>41290</v>
      </c>
      <c r="B53" s="9" t="str">
        <f ca="1">IF(ROWS($1:40)&gt;COUNT(Dong),"",OFFSET(TH!D$1,SMALL(Dong,ROWS($1:40)),))</f>
        <v>NL/N09</v>
      </c>
      <c r="C53" s="9">
        <f ca="1">IF(ROWS($1:40)&gt;COUNT(Dong),"",OFFSET(TH!E$1,SMALL(Dong,ROWS($1:40)),))</f>
        <v>41290</v>
      </c>
      <c r="D53" s="223" t="str">
        <f ca="1">IF(ROWS($1:40)&gt;COUNT(Dong),"",OFFSET(TH!F$1,SMALL(Dong,ROWS($1:40)),))</f>
        <v>Giấy tấm 1 vàng + 2 xeo (1480x1000)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7">
        <f ca="1">IF(ROWS($1:40)&gt;COUNT(Dong),"",IF(OFFSET(TH!L$1,SMALL(Dong,ROWS($1:40)),)="331",OFFSET(TH!K$1,SMALL(Dong,ROWS($1:40)),),0))</f>
        <v>0</v>
      </c>
      <c r="H53" s="57">
        <f ca="1">IF(ROWS($1:40)&gt;COUNT(Dong),"",IF(OFFSET(TH!M$1,SMALL(Dong,ROWS($1:40)),)="331",OFFSET(TH!K$1,SMALL(Dong,ROWS($1:40)),),0))</f>
        <v>941724</v>
      </c>
      <c r="I53" s="25">
        <f t="shared" ca="1" si="8"/>
        <v>0</v>
      </c>
      <c r="J53" s="25">
        <f t="shared" ca="1" si="9"/>
        <v>161107351</v>
      </c>
    </row>
    <row r="54" spans="1:10" s="18" customFormat="1" ht="18" customHeight="1">
      <c r="A54" s="9">
        <f ca="1">IF(ROWS($1:41)&gt;COUNT(Dong),"",OFFSET(TH!C$1,SMALL(Dong,ROWS($1:41)),))</f>
        <v>41290</v>
      </c>
      <c r="B54" s="9" t="str">
        <f ca="1">IF(ROWS($1:41)&gt;COUNT(Dong),"",OFFSET(TH!D$1,SMALL(Dong,ROWS($1:41)),))</f>
        <v>NL/N09</v>
      </c>
      <c r="C54" s="9">
        <f ca="1">IF(ROWS($1:41)&gt;COUNT(Dong),"",OFFSET(TH!E$1,SMALL(Dong,ROWS($1:41)),))</f>
        <v>41290</v>
      </c>
      <c r="D54" s="223" t="str">
        <f ca="1">IF(ROWS($1:41)&gt;COUNT(Dong),"",OFFSET(TH!F$1,SMALL(Dong,ROWS($1:41)),))</f>
        <v>Giấy tấm 2 vàng + 3 xeo (1450x900)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7">
        <f ca="1">IF(ROWS($1:41)&gt;COUNT(Dong),"",IF(OFFSET(TH!L$1,SMALL(Dong,ROWS($1:41)),)="331",OFFSET(TH!K$1,SMALL(Dong,ROWS($1:41)),),0))</f>
        <v>0</v>
      </c>
      <c r="H54" s="57">
        <f ca="1">IF(ROWS($1:41)&gt;COUNT(Dong),"",IF(OFFSET(TH!M$1,SMALL(Dong,ROWS($1:41)),)="331",OFFSET(TH!K$1,SMALL(Dong,ROWS($1:41)),),0))</f>
        <v>1327968</v>
      </c>
      <c r="I54" s="25">
        <f t="shared" ca="1" si="8"/>
        <v>0</v>
      </c>
      <c r="J54" s="25">
        <f t="shared" ca="1" si="9"/>
        <v>162435319</v>
      </c>
    </row>
    <row r="55" spans="1:10" s="18" customFormat="1" ht="18" customHeight="1">
      <c r="A55" s="9">
        <f ca="1">IF(ROWS($1:42)&gt;COUNT(Dong),"",OFFSET(TH!C$1,SMALL(Dong,ROWS($1:42)),))</f>
        <v>41290</v>
      </c>
      <c r="B55" s="9" t="str">
        <f ca="1">IF(ROWS($1:42)&gt;COUNT(Dong),"",OFFSET(TH!D$1,SMALL(Dong,ROWS($1:42)),))</f>
        <v>NL/N09</v>
      </c>
      <c r="C55" s="9">
        <f ca="1">IF(ROWS($1:42)&gt;COUNT(Dong),"",OFFSET(TH!E$1,SMALL(Dong,ROWS($1:42)),))</f>
        <v>41290</v>
      </c>
      <c r="D55" s="223" t="str">
        <f ca="1">IF(ROWS($1:42)&gt;COUNT(Dong),"",OFFSET(TH!F$1,SMALL(Dong,ROWS($1:42)),))</f>
        <v>Giấy tấm 2 vàng + 3 xeo (1390x900)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7">
        <f ca="1">IF(ROWS($1:42)&gt;COUNT(Dong),"",IF(OFFSET(TH!L$1,SMALL(Dong,ROWS($1:42)),)="331",OFFSET(TH!K$1,SMALL(Dong,ROWS($1:42)),),0))</f>
        <v>0</v>
      </c>
      <c r="H55" s="57">
        <f ca="1">IF(ROWS($1:42)&gt;COUNT(Dong),"",IF(OFFSET(TH!M$1,SMALL(Dong,ROWS($1:42)),)="331",OFFSET(TH!K$1,SMALL(Dong,ROWS($1:42)),),0))</f>
        <v>1789490</v>
      </c>
      <c r="I55" s="25">
        <f t="shared" ca="1" si="8"/>
        <v>0</v>
      </c>
      <c r="J55" s="25">
        <f t="shared" ca="1" si="9"/>
        <v>164224809</v>
      </c>
    </row>
    <row r="56" spans="1:10" s="18" customFormat="1" ht="18" customHeight="1">
      <c r="A56" s="9">
        <f ca="1">IF(ROWS($1:43)&gt;COUNT(Dong),"",OFFSET(TH!C$1,SMALL(Dong,ROWS($1:43)),))</f>
        <v>41290</v>
      </c>
      <c r="B56" s="9" t="str">
        <f ca="1">IF(ROWS($1:43)&gt;COUNT(Dong),"",OFFSET(TH!D$1,SMALL(Dong,ROWS($1:43)),))</f>
        <v>NL/N09</v>
      </c>
      <c r="C56" s="9">
        <f ca="1">IF(ROWS($1:43)&gt;COUNT(Dong),"",OFFSET(TH!E$1,SMALL(Dong,ROWS($1:43)),))</f>
        <v>41290</v>
      </c>
      <c r="D56" s="223" t="str">
        <f ca="1">IF(ROWS($1:43)&gt;COUNT(Dong),"",OFFSET(TH!F$1,SMALL(Dong,ROWS($1:43)),))</f>
        <v>Giấy tấm 2 vàng + 3 xeo (2280x1050)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7">
        <f ca="1">IF(ROWS($1:43)&gt;COUNT(Dong),"",IF(OFFSET(TH!L$1,SMALL(Dong,ROWS($1:43)),)="331",OFFSET(TH!K$1,SMALL(Dong,ROWS($1:43)),),0))</f>
        <v>0</v>
      </c>
      <c r="H56" s="57">
        <f ca="1">IF(ROWS($1:43)&gt;COUNT(Dong),"",IF(OFFSET(TH!M$1,SMALL(Dong,ROWS($1:43)),)="331",OFFSET(TH!K$1,SMALL(Dong,ROWS($1:43)),),0))</f>
        <v>2321182</v>
      </c>
      <c r="I56" s="25">
        <f t="shared" ca="1" si="8"/>
        <v>0</v>
      </c>
      <c r="J56" s="25">
        <f t="shared" ca="1" si="9"/>
        <v>166545991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3" t="str">
        <f ca="1">IF(ROWS($1:44)&gt;COUNT(Dong),"",OFFSET(TH!F$1,SMALL(Dong,ROWS($1:44)),))</f>
        <v>Giấy tấm 2 vàng + 3 xeo (2210x1050)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7">
        <f ca="1">IF(ROWS($1:44)&gt;COUNT(Dong),"",IF(OFFSET(TH!L$1,SMALL(Dong,ROWS($1:44)),)="331",OFFSET(TH!K$1,SMALL(Dong,ROWS($1:44)),),0))</f>
        <v>0</v>
      </c>
      <c r="H57" s="57">
        <f ca="1">IF(ROWS($1:44)&gt;COUNT(Dong),"",IF(OFFSET(TH!M$1,SMALL(Dong,ROWS($1:44)),)="331",OFFSET(TH!K$1,SMALL(Dong,ROWS($1:44)),),0))</f>
        <v>4522231</v>
      </c>
      <c r="I57" s="25">
        <f t="shared" ca="1" si="8"/>
        <v>0</v>
      </c>
      <c r="J57" s="25">
        <f t="shared" ca="1" si="9"/>
        <v>171068222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3" t="str">
        <f ca="1">IF(ROWS($1:45)&gt;COUNT(Dong),"",OFFSET(TH!F$1,SMALL(Dong,ROWS($1:45)),))</f>
        <v>VAT Giấy tấm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7">
        <f ca="1">IF(ROWS($1:45)&gt;COUNT(Dong),"",IF(OFFSET(TH!L$1,SMALL(Dong,ROWS($1:45)),)="331",OFFSET(TH!K$1,SMALL(Dong,ROWS($1:45)),),0))</f>
        <v>0</v>
      </c>
      <c r="H58" s="57">
        <f ca="1">IF(ROWS($1:45)&gt;COUNT(Dong),"",IF(OFFSET(TH!M$1,SMALL(Dong,ROWS($1:45)),)="331",OFFSET(TH!K$1,SMALL(Dong,ROWS($1:45)),),0))</f>
        <v>1300213</v>
      </c>
      <c r="I58" s="25">
        <f t="shared" ca="1" si="8"/>
        <v>0</v>
      </c>
      <c r="J58" s="25">
        <f t="shared" ca="1" si="9"/>
        <v>172368435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C11</v>
      </c>
      <c r="C59" s="9">
        <f ca="1">IF(ROWS($1:46)&gt;COUNT(Dong),"",OFFSET(TH!E$1,SMALL(Dong,ROWS($1:46)),))</f>
        <v>41290</v>
      </c>
      <c r="D59" s="223" t="str">
        <f ca="1">IF(ROWS($1:46)&gt;COUNT(Dong),"",OFFSET(TH!F$1,SMALL(Dong,ROWS($1:46)),))</f>
        <v>Thanh toán tiền hàng</v>
      </c>
      <c r="E59" s="46" t="str">
        <f ca="1">IF(ROWS($1:46)&gt;COUNT(Dong),"",IF(OFFSET(TH!L$1,SMALL(Dong,ROWS($1:46)),)="331",OFFSET(TH!M$1,SMALL(Dong,ROWS($1:46)),),OFFSET(TH!L$1,SMALL(Dong,ROWS($1:46)),)))</f>
        <v>1111</v>
      </c>
      <c r="F59" s="46"/>
      <c r="G59" s="57">
        <f ca="1">IF(ROWS($1:46)&gt;COUNT(Dong),"",IF(OFFSET(TH!L$1,SMALL(Dong,ROWS($1:46)),)="331",OFFSET(TH!K$1,SMALL(Dong,ROWS($1:46)),),0))</f>
        <v>14302344</v>
      </c>
      <c r="H59" s="57">
        <f ca="1">IF(ROWS($1:46)&gt;COUNT(Dong),"",IF(OFFSET(TH!M$1,SMALL(Dong,ROWS($1:46)),)="331",OFFSET(TH!K$1,SMALL(Dong,ROWS($1:46)),),0))</f>
        <v>0</v>
      </c>
      <c r="I59" s="25">
        <f t="shared" ca="1" si="8"/>
        <v>0</v>
      </c>
      <c r="J59" s="25">
        <f t="shared" ca="1" si="9"/>
        <v>158066091</v>
      </c>
    </row>
    <row r="60" spans="1:10" s="18" customFormat="1" ht="18" customHeight="1">
      <c r="A60" s="9">
        <f ca="1">IF(ROWS($1:47)&gt;COUNT(Dong),"",OFFSET(TH!C$1,SMALL(Dong,ROWS($1:47)),))</f>
        <v>41291</v>
      </c>
      <c r="B60" s="9" t="str">
        <f ca="1">IF(ROWS($1:47)&gt;COUNT(Dong),"",OFFSET(TH!D$1,SMALL(Dong,ROWS($1:47)),))</f>
        <v>NL/N10</v>
      </c>
      <c r="C60" s="9">
        <f ca="1">IF(ROWS($1:47)&gt;COUNT(Dong),"",OFFSET(TH!E$1,SMALL(Dong,ROWS($1:47)),))</f>
        <v>41291</v>
      </c>
      <c r="D60" s="223" t="str">
        <f ca="1">IF(ROWS($1:47)&gt;COUNT(Dong),"",OFFSET(TH!F$1,SMALL(Dong,ROWS($1:47)),))</f>
        <v>Giấy tấm 2 vàng + 3 xeo (2400x950)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7">
        <f ca="1">IF(ROWS($1:47)&gt;COUNT(Dong),"",IF(OFFSET(TH!L$1,SMALL(Dong,ROWS($1:47)),)="331",OFFSET(TH!K$1,SMALL(Dong,ROWS($1:47)),),0))</f>
        <v>0</v>
      </c>
      <c r="H60" s="57">
        <f ca="1">IF(ROWS($1:47)&gt;COUNT(Dong),"",IF(OFFSET(TH!M$1,SMALL(Dong,ROWS($1:47)),)="331",OFFSET(TH!K$1,SMALL(Dong,ROWS($1:47)),),0))</f>
        <v>2495232</v>
      </c>
      <c r="I60" s="25">
        <f t="shared" ca="1" si="8"/>
        <v>0</v>
      </c>
      <c r="J60" s="25">
        <f t="shared" ca="1" si="9"/>
        <v>160561323</v>
      </c>
    </row>
    <row r="61" spans="1:10" s="18" customFormat="1" ht="18" customHeight="1">
      <c r="A61" s="9">
        <f ca="1">IF(ROWS($1:48)&gt;COUNT(Dong),"",OFFSET(TH!C$1,SMALL(Dong,ROWS($1:48)),))</f>
        <v>41291</v>
      </c>
      <c r="B61" s="9" t="str">
        <f ca="1">IF(ROWS($1:48)&gt;COUNT(Dong),"",OFFSET(TH!D$1,SMALL(Dong,ROWS($1:48)),))</f>
        <v>NL/N10</v>
      </c>
      <c r="C61" s="9">
        <f ca="1">IF(ROWS($1:48)&gt;COUNT(Dong),"",OFFSET(TH!E$1,SMALL(Dong,ROWS($1:48)),))</f>
        <v>41291</v>
      </c>
      <c r="D61" s="223" t="str">
        <f ca="1">IF(ROWS($1:48)&gt;COUNT(Dong),"",OFFSET(TH!F$1,SMALL(Dong,ROWS($1:48)),))</f>
        <v>Giấy tấm 1 YBB + 3 xeo + 1 vàng (1350x1400)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7">
        <f ca="1">IF(ROWS($1:48)&gt;COUNT(Dong),"",IF(OFFSET(TH!L$1,SMALL(Dong,ROWS($1:48)),)="331",OFFSET(TH!K$1,SMALL(Dong,ROWS($1:48)),),0))</f>
        <v>0</v>
      </c>
      <c r="H61" s="57">
        <f ca="1">IF(ROWS($1:48)&gt;COUNT(Dong),"",IF(OFFSET(TH!M$1,SMALL(Dong,ROWS($1:48)),)="331",OFFSET(TH!K$1,SMALL(Dong,ROWS($1:48)),),0))</f>
        <v>2643614</v>
      </c>
      <c r="I61" s="25">
        <f t="shared" ca="1" si="8"/>
        <v>0</v>
      </c>
      <c r="J61" s="25">
        <f t="shared" ca="1" si="9"/>
        <v>163204937</v>
      </c>
    </row>
    <row r="62" spans="1:10" s="18" customFormat="1" ht="18" customHeight="1">
      <c r="A62" s="9">
        <f ca="1">IF(ROWS($1:49)&gt;COUNT(Dong),"",OFFSET(TH!C$1,SMALL(Dong,ROWS($1:49)),))</f>
        <v>41291</v>
      </c>
      <c r="B62" s="9" t="str">
        <f ca="1">IF(ROWS($1:49)&gt;COUNT(Dong),"",OFFSET(TH!D$1,SMALL(Dong,ROWS($1:49)),))</f>
        <v>NL/N10</v>
      </c>
      <c r="C62" s="9">
        <f ca="1">IF(ROWS($1:49)&gt;COUNT(Dong),"",OFFSET(TH!E$1,SMALL(Dong,ROWS($1:49)),))</f>
        <v>41291</v>
      </c>
      <c r="D62" s="223" t="str">
        <f ca="1">IF(ROWS($1:49)&gt;COUNT(Dong),"",OFFSET(TH!F$1,SMALL(Dong,ROWS($1:49)),))</f>
        <v>Giấy tấm 1 YBB + 3 xeo + 1 vàng (1220x950)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7">
        <f ca="1">IF(ROWS($1:49)&gt;COUNT(Dong),"",IF(OFFSET(TH!L$1,SMALL(Dong,ROWS($1:49)),)="331",OFFSET(TH!K$1,SMALL(Dong,ROWS($1:49)),),0))</f>
        <v>0</v>
      </c>
      <c r="H62" s="57">
        <f ca="1">IF(ROWS($1:49)&gt;COUNT(Dong),"",IF(OFFSET(TH!M$1,SMALL(Dong,ROWS($1:49)),)="331",OFFSET(TH!K$1,SMALL(Dong,ROWS($1:49)),),0))</f>
        <v>5673752</v>
      </c>
      <c r="I62" s="25">
        <f t="shared" ca="1" si="8"/>
        <v>0</v>
      </c>
      <c r="J62" s="25">
        <f t="shared" ca="1" si="9"/>
        <v>168878689</v>
      </c>
    </row>
    <row r="63" spans="1:10" s="18" customFormat="1" ht="18" customHeight="1">
      <c r="A63" s="9">
        <f ca="1">IF(ROWS($1:50)&gt;COUNT(Dong),"",OFFSET(TH!C$1,SMALL(Dong,ROWS($1:50)),))</f>
        <v>41291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41291</v>
      </c>
      <c r="D63" s="223" t="str">
        <f ca="1">IF(ROWS($1:50)&gt;COUNT(Dong),"",OFFSET(TH!F$1,SMALL(Dong,ROWS($1:50)),))</f>
        <v>Giấy tấm 2 vàng + 3 xeo (1320x1240)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7">
        <f ca="1">IF(ROWS($1:50)&gt;COUNT(Dong),"",IF(OFFSET(TH!L$1,SMALL(Dong,ROWS($1:50)),)="331",OFFSET(TH!K$1,SMALL(Dong,ROWS($1:50)),),0))</f>
        <v>0</v>
      </c>
      <c r="H63" s="57">
        <f ca="1">IF(ROWS($1:50)&gt;COUNT(Dong),"",IF(OFFSET(TH!M$1,SMALL(Dong,ROWS($1:50)),)="331",OFFSET(TH!K$1,SMALL(Dong,ROWS($1:50)),),0))</f>
        <v>785650</v>
      </c>
      <c r="I63" s="25">
        <f t="shared" ca="1" si="8"/>
        <v>0</v>
      </c>
      <c r="J63" s="25">
        <f t="shared" ca="1" si="9"/>
        <v>169664339</v>
      </c>
    </row>
    <row r="64" spans="1:10" s="18" customFormat="1" ht="18" customHeight="1">
      <c r="A64" s="9">
        <f ca="1">IF(ROWS($1:51)&gt;COUNT(Dong),"",OFFSET(TH!C$1,SMALL(Dong,ROWS($1:51)),))</f>
        <v>41291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41291</v>
      </c>
      <c r="D64" s="223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7">
        <f ca="1">IF(ROWS($1:51)&gt;COUNT(Dong),"",IF(OFFSET(TH!L$1,SMALL(Dong,ROWS($1:51)),)="331",OFFSET(TH!K$1,SMALL(Dong,ROWS($1:51)),),0))</f>
        <v>0</v>
      </c>
      <c r="H64" s="57">
        <f ca="1">IF(ROWS($1:51)&gt;COUNT(Dong),"",IF(OFFSET(TH!M$1,SMALL(Dong,ROWS($1:51)),)="331",OFFSET(TH!K$1,SMALL(Dong,ROWS($1:51)),),0))</f>
        <v>1159824</v>
      </c>
      <c r="I64" s="25">
        <f t="shared" ca="1" si="8"/>
        <v>0</v>
      </c>
      <c r="J64" s="25">
        <f t="shared" ca="1" si="9"/>
        <v>170824163</v>
      </c>
    </row>
    <row r="65" spans="1:10" s="18" customFormat="1" ht="18" customHeight="1">
      <c r="A65" s="9">
        <f ca="1">IF(ROWS($1:52)&gt;COUNT(Dong),"",OFFSET(TH!C$1,SMALL(Dong,ROWS($1:52)),))</f>
        <v>41291</v>
      </c>
      <c r="B65" s="9" t="str">
        <f ca="1">IF(ROWS($1:52)&gt;COUNT(Dong),"",OFFSET(TH!D$1,SMALL(Dong,ROWS($1:52)),))</f>
        <v>C12</v>
      </c>
      <c r="C65" s="9">
        <f ca="1">IF(ROWS($1:52)&gt;COUNT(Dong),"",OFFSET(TH!E$1,SMALL(Dong,ROWS($1:52)),))</f>
        <v>41291</v>
      </c>
      <c r="D65" s="223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7">
        <f ca="1">IF(ROWS($1:52)&gt;COUNT(Dong),"",IF(OFFSET(TH!L$1,SMALL(Dong,ROWS($1:52)),)="331",OFFSET(TH!K$1,SMALL(Dong,ROWS($1:52)),),0))</f>
        <v>12758072</v>
      </c>
      <c r="H65" s="57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158066091</v>
      </c>
    </row>
    <row r="66" spans="1:10" s="18" customFormat="1" ht="18" customHeight="1">
      <c r="A66" s="9">
        <f ca="1">IF(ROWS($1:53)&gt;COUNT(Dong),"",OFFSET(TH!C$1,SMALL(Dong,ROWS($1:53)),))</f>
        <v>41292</v>
      </c>
      <c r="B66" s="9" t="str">
        <f ca="1">IF(ROWS($1:53)&gt;COUNT(Dong),"",OFFSET(TH!D$1,SMALL(Dong,ROWS($1:53)),))</f>
        <v>NL/N11</v>
      </c>
      <c r="C66" s="9">
        <f ca="1">IF(ROWS($1:53)&gt;COUNT(Dong),"",OFFSET(TH!E$1,SMALL(Dong,ROWS($1:53)),))</f>
        <v>41292</v>
      </c>
      <c r="D66" s="223" t="str">
        <f ca="1">IF(ROWS($1:53)&gt;COUNT(Dong),"",OFFSET(TH!F$1,SMALL(Dong,ROWS($1:53)),))</f>
        <v>Giấy tấm 1 trắng + 3 xeo + 1 vàng (1770x1050)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7">
        <f ca="1">IF(ROWS($1:53)&gt;COUNT(Dong),"",IF(OFFSET(TH!L$1,SMALL(Dong,ROWS($1:53)),)="331",OFFSET(TH!K$1,SMALL(Dong,ROWS($1:53)),),0))</f>
        <v>0</v>
      </c>
      <c r="H66" s="57">
        <f ca="1">IF(ROWS($1:53)&gt;COUNT(Dong),"",IF(OFFSET(TH!M$1,SMALL(Dong,ROWS($1:53)),)="331",OFFSET(TH!K$1,SMALL(Dong,ROWS($1:53)),),0))</f>
        <v>4898014</v>
      </c>
      <c r="I66" s="25">
        <f t="shared" ca="1" si="8"/>
        <v>0</v>
      </c>
      <c r="J66" s="25">
        <f t="shared" ca="1" si="9"/>
        <v>162964105</v>
      </c>
    </row>
    <row r="67" spans="1:10" s="18" customFormat="1" ht="18" customHeight="1">
      <c r="A67" s="9">
        <f ca="1">IF(ROWS($1:54)&gt;COUNT(Dong),"",OFFSET(TH!C$1,SMALL(Dong,ROWS($1:54)),))</f>
        <v>41292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41292</v>
      </c>
      <c r="D67" s="223" t="str">
        <f ca="1">IF(ROWS($1:54)&gt;COUNT(Dong),"",OFFSET(TH!F$1,SMALL(Dong,ROWS($1:54)),))</f>
        <v>Giấy tấm 1 trắng + 3 xeo + 1 vàng (1880x1585)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7">
        <f ca="1">IF(ROWS($1:54)&gt;COUNT(Dong),"",IF(OFFSET(TH!L$1,SMALL(Dong,ROWS($1:54)),)="331",OFFSET(TH!K$1,SMALL(Dong,ROWS($1:54)),),0))</f>
        <v>0</v>
      </c>
      <c r="H67" s="57">
        <f ca="1">IF(ROWS($1:54)&gt;COUNT(Dong),"",IF(OFFSET(TH!M$1,SMALL(Dong,ROWS($1:54)),)="331",OFFSET(TH!K$1,SMALL(Dong,ROWS($1:54)),),0))</f>
        <v>7822000</v>
      </c>
      <c r="I67" s="25">
        <f t="shared" ca="1" si="8"/>
        <v>0</v>
      </c>
      <c r="J67" s="25">
        <f t="shared" ca="1" si="9"/>
        <v>170786105</v>
      </c>
    </row>
    <row r="68" spans="1:10" s="18" customFormat="1" ht="18" customHeight="1">
      <c r="A68" s="9">
        <f ca="1">IF(ROWS($1:55)&gt;COUNT(Dong),"",OFFSET(TH!C$1,SMALL(Dong,ROWS($1:55)),))</f>
        <v>41292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41292</v>
      </c>
      <c r="D68" s="223" t="str">
        <f ca="1">IF(ROWS($1:55)&gt;COUNT(Dong),"",OFFSET(TH!F$1,SMALL(Dong,ROWS($1:55)),))</f>
        <v>VAT Giấy tấm</v>
      </c>
      <c r="E68" s="46" t="str">
        <f ca="1">IF(ROWS($1:55)&gt;COUNT(Dong),"",IF(OFFSET(TH!L$1,SMALL(Dong,ROWS($1:55)),)="331",OFFSET(TH!M$1,SMALL(Dong,ROWS($1:55)),),OFFSET(TH!L$1,SMALL(Dong,ROWS($1:55)),)))</f>
        <v>1331</v>
      </c>
      <c r="F68" s="46"/>
      <c r="G68" s="57">
        <f ca="1">IF(ROWS($1:55)&gt;COUNT(Dong),"",IF(OFFSET(TH!L$1,SMALL(Dong,ROWS($1:55)),)="331",OFFSET(TH!K$1,SMALL(Dong,ROWS($1:55)),),0))</f>
        <v>0</v>
      </c>
      <c r="H68" s="57">
        <f ca="1">IF(ROWS($1:55)&gt;COUNT(Dong),"",IF(OFFSET(TH!M$1,SMALL(Dong,ROWS($1:55)),)="331",OFFSET(TH!K$1,SMALL(Dong,ROWS($1:55)),),0))</f>
        <v>1272001</v>
      </c>
      <c r="I68" s="25">
        <f t="shared" ca="1" si="8"/>
        <v>0</v>
      </c>
      <c r="J68" s="25">
        <f t="shared" ca="1" si="9"/>
        <v>172058106</v>
      </c>
    </row>
    <row r="69" spans="1:10" s="18" customFormat="1" ht="18" customHeight="1">
      <c r="A69" s="9">
        <f ca="1">IF(ROWS($1:56)&gt;COUNT(Dong),"",OFFSET(TH!C$1,SMALL(Dong,ROWS($1:56)),))</f>
        <v>41292</v>
      </c>
      <c r="B69" s="9" t="str">
        <f ca="1">IF(ROWS($1:56)&gt;COUNT(Dong),"",OFFSET(TH!D$1,SMALL(Dong,ROWS($1:56)),))</f>
        <v>C13</v>
      </c>
      <c r="C69" s="9">
        <f ca="1">IF(ROWS($1:56)&gt;COUNT(Dong),"",OFFSET(TH!E$1,SMALL(Dong,ROWS($1:56)),))</f>
        <v>41292</v>
      </c>
      <c r="D69" s="223" t="str">
        <f ca="1">IF(ROWS($1:56)&gt;COUNT(Dong),"",OFFSET(TH!F$1,SMALL(Dong,ROWS($1:56)),))</f>
        <v>Thanh toán tiền hàng</v>
      </c>
      <c r="E69" s="46" t="str">
        <f ca="1">IF(ROWS($1:56)&gt;COUNT(Dong),"",IF(OFFSET(TH!L$1,SMALL(Dong,ROWS($1:56)),)="331",OFFSET(TH!M$1,SMALL(Dong,ROWS($1:56)),),OFFSET(TH!L$1,SMALL(Dong,ROWS($1:56)),)))</f>
        <v>1111</v>
      </c>
      <c r="F69" s="46"/>
      <c r="G69" s="57">
        <f ca="1">IF(ROWS($1:56)&gt;COUNT(Dong),"",IF(OFFSET(TH!L$1,SMALL(Dong,ROWS($1:56)),)="331",OFFSET(TH!K$1,SMALL(Dong,ROWS($1:56)),),0))</f>
        <v>13992015</v>
      </c>
      <c r="H69" s="57">
        <f ca="1">IF(ROWS($1:56)&gt;COUNT(Dong),"",IF(OFFSET(TH!M$1,SMALL(Dong,ROWS($1:56)),)="331",OFFSET(TH!K$1,SMALL(Dong,ROWS($1:56)),),0))</f>
        <v>0</v>
      </c>
      <c r="I69" s="25">
        <f t="shared" ca="1" si="8"/>
        <v>0</v>
      </c>
      <c r="J69" s="25">
        <f t="shared" ca="1" si="9"/>
        <v>158066091</v>
      </c>
    </row>
    <row r="70" spans="1:10" s="18" customFormat="1" ht="18" customHeight="1">
      <c r="A70" s="9">
        <f ca="1">IF(ROWS($1:57)&gt;COUNT(Dong),"",OFFSET(TH!C$1,SMALL(Dong,ROWS($1:57)),))</f>
        <v>41295</v>
      </c>
      <c r="B70" s="9" t="str">
        <f ca="1">IF(ROWS($1:57)&gt;COUNT(Dong),"",OFFSET(TH!D$1,SMALL(Dong,ROWS($1:57)),))</f>
        <v>NL/N12</v>
      </c>
      <c r="C70" s="9">
        <f ca="1">IF(ROWS($1:57)&gt;COUNT(Dong),"",OFFSET(TH!E$1,SMALL(Dong,ROWS($1:57)),))</f>
        <v>41295</v>
      </c>
      <c r="D70" s="223" t="str">
        <f ca="1">IF(ROWS($1:57)&gt;COUNT(Dong),"",OFFSET(TH!F$1,SMALL(Dong,ROWS($1:57)),))</f>
        <v>Giấy tấm 1 vàng + 2 xeo (1210x1100)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7">
        <f ca="1">IF(ROWS($1:57)&gt;COUNT(Dong),"",IF(OFFSET(TH!L$1,SMALL(Dong,ROWS($1:57)),)="331",OFFSET(TH!K$1,SMALL(Dong,ROWS($1:57)),),0))</f>
        <v>0</v>
      </c>
      <c r="H70" s="57">
        <f ca="1">IF(ROWS($1:57)&gt;COUNT(Dong),"",IF(OFFSET(TH!M$1,SMALL(Dong,ROWS($1:57)),)="331",OFFSET(TH!K$1,SMALL(Dong,ROWS($1:57)),),0))</f>
        <v>5743725</v>
      </c>
      <c r="I70" s="25">
        <f t="shared" ca="1" si="8"/>
        <v>0</v>
      </c>
      <c r="J70" s="25">
        <f t="shared" ca="1" si="9"/>
        <v>163809816</v>
      </c>
    </row>
    <row r="71" spans="1:10" s="18" customFormat="1" ht="18" customHeight="1">
      <c r="A71" s="9">
        <f ca="1">IF(ROWS($1:58)&gt;COUNT(Dong),"",OFFSET(TH!C$1,SMALL(Dong,ROWS($1:58)),))</f>
        <v>41295</v>
      </c>
      <c r="B71" s="9" t="str">
        <f ca="1">IF(ROWS($1:58)&gt;COUNT(Dong),"",OFFSET(TH!D$1,SMALL(Dong,ROWS($1:58)),))</f>
        <v>NL/N12</v>
      </c>
      <c r="C71" s="9">
        <f ca="1">IF(ROWS($1:58)&gt;COUNT(Dong),"",OFFSET(TH!E$1,SMALL(Dong,ROWS($1:58)),))</f>
        <v>41295</v>
      </c>
      <c r="D71" s="223" t="str">
        <f ca="1">IF(ROWS($1:58)&gt;COUNT(Dong),"",OFFSET(TH!F$1,SMALL(Dong,ROWS($1:58)),))</f>
        <v>Giấy tấm 2 vàng + 3 xeo (1400x1100)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7">
        <f ca="1">IF(ROWS($1:58)&gt;COUNT(Dong),"",IF(OFFSET(TH!L$1,SMALL(Dong,ROWS($1:58)),)="331",OFFSET(TH!K$1,SMALL(Dong,ROWS($1:58)),),0))</f>
        <v>0</v>
      </c>
      <c r="H71" s="57">
        <f ca="1">IF(ROWS($1:58)&gt;COUNT(Dong),"",IF(OFFSET(TH!M$1,SMALL(Dong,ROWS($1:58)),)="331",OFFSET(TH!K$1,SMALL(Dong,ROWS($1:58)),),0))</f>
        <v>3562944</v>
      </c>
      <c r="I71" s="25">
        <f t="shared" ca="1" si="8"/>
        <v>0</v>
      </c>
      <c r="J71" s="25">
        <f t="shared" ca="1" si="9"/>
        <v>167372760</v>
      </c>
    </row>
    <row r="72" spans="1:10" s="18" customFormat="1" ht="18" customHeight="1">
      <c r="A72" s="9">
        <f ca="1">IF(ROWS($1:59)&gt;COUNT(Dong),"",OFFSET(TH!C$1,SMALL(Dong,ROWS($1:59)),))</f>
        <v>41295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41295</v>
      </c>
      <c r="D72" s="223" t="str">
        <f ca="1">IF(ROWS($1:59)&gt;COUNT(Dong),"",OFFSET(TH!F$1,SMALL(Dong,ROWS($1:59)),))</f>
        <v>VAT Giấy tấm</v>
      </c>
      <c r="E72" s="46" t="str">
        <f ca="1">IF(ROWS($1:59)&gt;COUNT(Dong),"",IF(OFFSET(TH!L$1,SMALL(Dong,ROWS($1:59)),)="331",OFFSET(TH!M$1,SMALL(Dong,ROWS($1:59)),),OFFSET(TH!L$1,SMALL(Dong,ROWS($1:59)),)))</f>
        <v>1331</v>
      </c>
      <c r="F72" s="46"/>
      <c r="G72" s="57">
        <f ca="1">IF(ROWS($1:59)&gt;COUNT(Dong),"",IF(OFFSET(TH!L$1,SMALL(Dong,ROWS($1:59)),)="331",OFFSET(TH!K$1,SMALL(Dong,ROWS($1:59)),),0))</f>
        <v>0</v>
      </c>
      <c r="H72" s="57">
        <f ca="1">IF(ROWS($1:59)&gt;COUNT(Dong),"",IF(OFFSET(TH!M$1,SMALL(Dong,ROWS($1:59)),)="331",OFFSET(TH!K$1,SMALL(Dong,ROWS($1:59)),),0))</f>
        <v>930667</v>
      </c>
      <c r="I72" s="25">
        <f t="shared" ca="1" si="8"/>
        <v>0</v>
      </c>
      <c r="J72" s="25">
        <f t="shared" ca="1" si="9"/>
        <v>168303427</v>
      </c>
    </row>
    <row r="73" spans="1:10" s="18" customFormat="1" ht="18" customHeight="1">
      <c r="A73" s="9">
        <f ca="1">IF(ROWS($1:60)&gt;COUNT(Dong),"",OFFSET(TH!C$1,SMALL(Dong,ROWS($1:60)),))</f>
        <v>41295</v>
      </c>
      <c r="B73" s="9" t="str">
        <f ca="1">IF(ROWS($1:60)&gt;COUNT(Dong),"",OFFSET(TH!D$1,SMALL(Dong,ROWS($1:60)),))</f>
        <v>C14</v>
      </c>
      <c r="C73" s="9">
        <f ca="1">IF(ROWS($1:60)&gt;COUNT(Dong),"",OFFSET(TH!E$1,SMALL(Dong,ROWS($1:60)),))</f>
        <v>41295</v>
      </c>
      <c r="D73" s="223" t="str">
        <f ca="1">IF(ROWS($1:60)&gt;COUNT(Dong),"",OFFSET(TH!F$1,SMALL(Dong,ROWS($1:60)),))</f>
        <v>Thanh toán tiền hàng</v>
      </c>
      <c r="E73" s="46" t="str">
        <f ca="1">IF(ROWS($1:60)&gt;COUNT(Dong),"",IF(OFFSET(TH!L$1,SMALL(Dong,ROWS($1:60)),)="331",OFFSET(TH!M$1,SMALL(Dong,ROWS($1:60)),),OFFSET(TH!L$1,SMALL(Dong,ROWS($1:60)),)))</f>
        <v>1111</v>
      </c>
      <c r="F73" s="46"/>
      <c r="G73" s="57">
        <f ca="1">IF(ROWS($1:60)&gt;COUNT(Dong),"",IF(OFFSET(TH!L$1,SMALL(Dong,ROWS($1:60)),)="331",OFFSET(TH!K$1,SMALL(Dong,ROWS($1:60)),),0))</f>
        <v>10237336</v>
      </c>
      <c r="H73" s="57">
        <f ca="1">IF(ROWS($1:60)&gt;COUNT(Dong),"",IF(OFFSET(TH!M$1,SMALL(Dong,ROWS($1:60)),)="331",OFFSET(TH!K$1,SMALL(Dong,ROWS($1:60)),),0))</f>
        <v>0</v>
      </c>
      <c r="I73" s="25">
        <f t="shared" ca="1" si="8"/>
        <v>0</v>
      </c>
      <c r="J73" s="25">
        <f t="shared" ca="1" si="9"/>
        <v>158066091</v>
      </c>
    </row>
    <row r="74" spans="1:10" s="18" customFormat="1" ht="18" customHeight="1">
      <c r="A74" s="9">
        <f ca="1">IF(ROWS($1:61)&gt;COUNT(Dong),"",OFFSET(TH!C$1,SMALL(Dong,ROWS($1:61)),))</f>
        <v>41298</v>
      </c>
      <c r="B74" s="9" t="str">
        <f ca="1">IF(ROWS($1:61)&gt;COUNT(Dong),"",OFFSET(TH!D$1,SMALL(Dong,ROWS($1:61)),))</f>
        <v>NL/N13</v>
      </c>
      <c r="C74" s="9">
        <f ca="1">IF(ROWS($1:61)&gt;COUNT(Dong),"",OFFSET(TH!E$1,SMALL(Dong,ROWS($1:61)),))</f>
        <v>41298</v>
      </c>
      <c r="D74" s="223" t="str">
        <f ca="1">IF(ROWS($1:61)&gt;COUNT(Dong),"",OFFSET(TH!F$1,SMALL(Dong,ROWS($1:61)),))</f>
        <v>Giấy tấm 1 vàng + 4 xeo (1560x1350)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7">
        <f ca="1">IF(ROWS($1:61)&gt;COUNT(Dong),"",IF(OFFSET(TH!L$1,SMALL(Dong,ROWS($1:61)),)="331",OFFSET(TH!K$1,SMALL(Dong,ROWS($1:61)),),0))</f>
        <v>0</v>
      </c>
      <c r="H74" s="57">
        <f ca="1">IF(ROWS($1:61)&gt;COUNT(Dong),"",IF(OFFSET(TH!M$1,SMALL(Dong,ROWS($1:61)),)="331",OFFSET(TH!K$1,SMALL(Dong,ROWS($1:61)),),0))</f>
        <v>3834730</v>
      </c>
      <c r="I74" s="25">
        <f t="shared" ca="1" si="8"/>
        <v>0</v>
      </c>
      <c r="J74" s="25">
        <f t="shared" ca="1" si="9"/>
        <v>161900821</v>
      </c>
    </row>
    <row r="75" spans="1:10" s="18" customFormat="1" ht="18" customHeight="1">
      <c r="A75" s="9">
        <f ca="1">IF(ROWS($1:62)&gt;COUNT(Dong),"",OFFSET(TH!C$1,SMALL(Dong,ROWS($1:62)),))</f>
        <v>41298</v>
      </c>
      <c r="B75" s="9" t="str">
        <f ca="1">IF(ROWS($1:62)&gt;COUNT(Dong),"",OFFSET(TH!D$1,SMALL(Dong,ROWS($1:62)),))</f>
        <v>NL/N13</v>
      </c>
      <c r="C75" s="9">
        <f ca="1">IF(ROWS($1:62)&gt;COUNT(Dong),"",OFFSET(TH!E$1,SMALL(Dong,ROWS($1:62)),))</f>
        <v>41298</v>
      </c>
      <c r="D75" s="223" t="str">
        <f ca="1">IF(ROWS($1:62)&gt;COUNT(Dong),"",OFFSET(TH!F$1,SMALL(Dong,ROWS($1:62)),))</f>
        <v>Giấy tấm 1 vàng + 2 xeo (1350x1000)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7">
        <f ca="1">IF(ROWS($1:62)&gt;COUNT(Dong),"",IF(OFFSET(TH!L$1,SMALL(Dong,ROWS($1:62)),)="331",OFFSET(TH!K$1,SMALL(Dong,ROWS($1:62)),),0))</f>
        <v>0</v>
      </c>
      <c r="H75" s="57">
        <f ca="1">IF(ROWS($1:62)&gt;COUNT(Dong),"",IF(OFFSET(TH!M$1,SMALL(Dong,ROWS($1:62)),)="331",OFFSET(TH!K$1,SMALL(Dong,ROWS($1:62)),),0))</f>
        <v>4252500</v>
      </c>
      <c r="I75" s="25">
        <f t="shared" ca="1" si="8"/>
        <v>0</v>
      </c>
      <c r="J75" s="25">
        <f t="shared" ca="1" si="9"/>
        <v>166153321</v>
      </c>
    </row>
    <row r="76" spans="1:10" s="18" customFormat="1" ht="18" customHeight="1">
      <c r="A76" s="9">
        <f ca="1">IF(ROWS($1:63)&gt;COUNT(Dong),"",OFFSET(TH!C$1,SMALL(Dong,ROWS($1:63)),))</f>
        <v>41298</v>
      </c>
      <c r="B76" s="9" t="str">
        <f ca="1">IF(ROWS($1:63)&gt;COUNT(Dong),"",OFFSET(TH!D$1,SMALL(Dong,ROWS($1:63)),))</f>
        <v>NL/N13</v>
      </c>
      <c r="C76" s="9">
        <f ca="1">IF(ROWS($1:63)&gt;COUNT(Dong),"",OFFSET(TH!E$1,SMALL(Dong,ROWS($1:63)),))</f>
        <v>41298</v>
      </c>
      <c r="D76" s="223" t="str">
        <f ca="1">IF(ROWS($1:63)&gt;COUNT(Dong),"",OFFSET(TH!F$1,SMALL(Dong,ROWS($1:63)),))</f>
        <v>VAT Giấy tấm</v>
      </c>
      <c r="E76" s="46" t="str">
        <f ca="1">IF(ROWS($1:63)&gt;COUNT(Dong),"",IF(OFFSET(TH!L$1,SMALL(Dong,ROWS($1:63)),)="331",OFFSET(TH!M$1,SMALL(Dong,ROWS($1:63)),),OFFSET(TH!L$1,SMALL(Dong,ROWS($1:63)),)))</f>
        <v>1331</v>
      </c>
      <c r="F76" s="46"/>
      <c r="G76" s="57">
        <f ca="1">IF(ROWS($1:63)&gt;COUNT(Dong),"",IF(OFFSET(TH!L$1,SMALL(Dong,ROWS($1:63)),)="331",OFFSET(TH!K$1,SMALL(Dong,ROWS($1:63)),),0))</f>
        <v>0</v>
      </c>
      <c r="H76" s="57">
        <f ca="1">IF(ROWS($1:63)&gt;COUNT(Dong),"",IF(OFFSET(TH!M$1,SMALL(Dong,ROWS($1:63)),)="331",OFFSET(TH!K$1,SMALL(Dong,ROWS($1:63)),),0))</f>
        <v>808723</v>
      </c>
      <c r="I76" s="25">
        <f t="shared" ca="1" si="8"/>
        <v>0</v>
      </c>
      <c r="J76" s="25">
        <f t="shared" ca="1" si="9"/>
        <v>166962044</v>
      </c>
    </row>
    <row r="77" spans="1:10" s="18" customFormat="1" ht="18" customHeight="1">
      <c r="A77" s="9">
        <f ca="1">IF(ROWS($1:64)&gt;COUNT(Dong),"",OFFSET(TH!C$1,SMALL(Dong,ROWS($1:64)),))</f>
        <v>41298</v>
      </c>
      <c r="B77" s="9" t="str">
        <f ca="1">IF(ROWS($1:64)&gt;COUNT(Dong),"",OFFSET(TH!D$1,SMALL(Dong,ROWS($1:64)),))</f>
        <v>C15</v>
      </c>
      <c r="C77" s="9">
        <f ca="1">IF(ROWS($1:64)&gt;COUNT(Dong),"",OFFSET(TH!E$1,SMALL(Dong,ROWS($1:64)),))</f>
        <v>41298</v>
      </c>
      <c r="D77" s="223" t="str">
        <f ca="1">IF(ROWS($1:64)&gt;COUNT(Dong),"",OFFSET(TH!F$1,SMALL(Dong,ROWS($1:64)),))</f>
        <v>Thanh toán tiền hàng</v>
      </c>
      <c r="E77" s="46" t="str">
        <f ca="1">IF(ROWS($1:64)&gt;COUNT(Dong),"",IF(OFFSET(TH!L$1,SMALL(Dong,ROWS($1:64)),)="331",OFFSET(TH!M$1,SMALL(Dong,ROWS($1:64)),),OFFSET(TH!L$1,SMALL(Dong,ROWS($1:64)),)))</f>
        <v>1111</v>
      </c>
      <c r="F77" s="46"/>
      <c r="G77" s="57">
        <f ca="1">IF(ROWS($1:64)&gt;COUNT(Dong),"",IF(OFFSET(TH!L$1,SMALL(Dong,ROWS($1:64)),)="331",OFFSET(TH!K$1,SMALL(Dong,ROWS($1:64)),),0))</f>
        <v>8895953</v>
      </c>
      <c r="H77" s="57">
        <f ca="1">IF(ROWS($1:64)&gt;COUNT(Dong),"",IF(OFFSET(TH!M$1,SMALL(Dong,ROWS($1:64)),)="331",OFFSET(TH!K$1,SMALL(Dong,ROWS($1:64)),),0))</f>
        <v>0</v>
      </c>
      <c r="I77" s="25">
        <f t="shared" ca="1" si="8"/>
        <v>0</v>
      </c>
      <c r="J77" s="25">
        <f t="shared" ca="1" si="9"/>
        <v>158066091</v>
      </c>
    </row>
    <row r="78" spans="1:10" s="18" customFormat="1" ht="18" customHeight="1">
      <c r="A78" s="9">
        <f ca="1">IF(ROWS($1:65)&gt;COUNT(Dong),"",OFFSET(TH!C$1,SMALL(Dong,ROWS($1:65)),))</f>
        <v>41302</v>
      </c>
      <c r="B78" s="9" t="str">
        <f ca="1">IF(ROWS($1:65)&gt;COUNT(Dong),"",OFFSET(TH!D$1,SMALL(Dong,ROWS($1:65)),))</f>
        <v>NL/N14</v>
      </c>
      <c r="C78" s="9">
        <f ca="1">IF(ROWS($1:65)&gt;COUNT(Dong),"",OFFSET(TH!E$1,SMALL(Dong,ROWS($1:65)),))</f>
        <v>41302</v>
      </c>
      <c r="D78" s="223" t="str">
        <f ca="1">IF(ROWS($1:65)&gt;COUNT(Dong),"",OFFSET(TH!F$1,SMALL(Dong,ROWS($1:65)),))</f>
        <v>Giấy tấm 1 vàng + 4 xeo (1555x950)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7">
        <f ca="1">IF(ROWS($1:65)&gt;COUNT(Dong),"",IF(OFFSET(TH!L$1,SMALL(Dong,ROWS($1:65)),)="331",OFFSET(TH!K$1,SMALL(Dong,ROWS($1:65)),),0))</f>
        <v>0</v>
      </c>
      <c r="H78" s="57">
        <f ca="1">IF(ROWS($1:65)&gt;COUNT(Dong),"",IF(OFFSET(TH!M$1,SMALL(Dong,ROWS($1:65)),)="331",OFFSET(TH!K$1,SMALL(Dong,ROWS($1:65)),),0))</f>
        <v>2716917</v>
      </c>
      <c r="I78" s="25">
        <f t="shared" ca="1" si="8"/>
        <v>0</v>
      </c>
      <c r="J78" s="25">
        <f t="shared" ca="1" si="9"/>
        <v>160783008</v>
      </c>
    </row>
    <row r="79" spans="1:10" s="18" customFormat="1" ht="18" customHeight="1">
      <c r="A79" s="9">
        <f ca="1">IF(ROWS($1:66)&gt;COUNT(Dong),"",OFFSET(TH!C$1,SMALL(Dong,ROWS($1:66)),))</f>
        <v>41302</v>
      </c>
      <c r="B79" s="9" t="str">
        <f ca="1">IF(ROWS($1:66)&gt;COUNT(Dong),"",OFFSET(TH!D$1,SMALL(Dong,ROWS($1:66)),))</f>
        <v>NL/N14</v>
      </c>
      <c r="C79" s="9">
        <f ca="1">IF(ROWS($1:66)&gt;COUNT(Dong),"",OFFSET(TH!E$1,SMALL(Dong,ROWS($1:66)),))</f>
        <v>41302</v>
      </c>
      <c r="D79" s="223" t="str">
        <f ca="1">IF(ROWS($1:66)&gt;COUNT(Dong),"",OFFSET(TH!F$1,SMALL(Dong,ROWS($1:66)),))</f>
        <v>Giấy tấm 2 vàng + 3 xeo (1220x950)</v>
      </c>
      <c r="E79" s="46" t="str">
        <f ca="1">IF(ROWS($1:66)&gt;COUNT(Dong),"",IF(OFFSET(TH!L$1,SMALL(Dong,ROWS($1:66)),)="331",OFFSET(TH!M$1,SMALL(Dong,ROWS($1:66)),),OFFSET(TH!L$1,SMALL(Dong,ROWS($1:66)),)))</f>
        <v>1521</v>
      </c>
      <c r="F79" s="46"/>
      <c r="G79" s="57">
        <f ca="1">IF(ROWS($1:66)&gt;COUNT(Dong),"",IF(OFFSET(TH!L$1,SMALL(Dong,ROWS($1:66)),)="331",OFFSET(TH!K$1,SMALL(Dong,ROWS($1:66)),),0))</f>
        <v>0</v>
      </c>
      <c r="H79" s="57">
        <f ca="1">IF(ROWS($1:66)&gt;COUNT(Dong),"",IF(OFFSET(TH!M$1,SMALL(Dong,ROWS($1:66)),)="331",OFFSET(TH!K$1,SMALL(Dong,ROWS($1:66)),),0))</f>
        <v>2136192</v>
      </c>
      <c r="I79" s="25">
        <f t="shared" ca="1" si="8"/>
        <v>0</v>
      </c>
      <c r="J79" s="25">
        <f t="shared" ca="1" si="9"/>
        <v>162919200</v>
      </c>
    </row>
    <row r="80" spans="1:10" s="18" customFormat="1" ht="18" customHeight="1">
      <c r="A80" s="9">
        <f ca="1">IF(ROWS($1:67)&gt;COUNT(Dong),"",OFFSET(TH!C$1,SMALL(Dong,ROWS($1:67)),))</f>
        <v>41302</v>
      </c>
      <c r="B80" s="9" t="str">
        <f ca="1">IF(ROWS($1:67)&gt;COUNT(Dong),"",OFFSET(TH!D$1,SMALL(Dong,ROWS($1:67)),))</f>
        <v>NL/N14</v>
      </c>
      <c r="C80" s="9">
        <f ca="1">IF(ROWS($1:67)&gt;COUNT(Dong),"",OFFSET(TH!E$1,SMALL(Dong,ROWS($1:67)),))</f>
        <v>41302</v>
      </c>
      <c r="D80" s="223" t="str">
        <f ca="1">IF(ROWS($1:67)&gt;COUNT(Dong),"",OFFSET(TH!F$1,SMALL(Dong,ROWS($1:67)),))</f>
        <v>Giấy tấm 2 vàng + 3 xeo (1400x1100)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7">
        <f ca="1">IF(ROWS($1:67)&gt;COUNT(Dong),"",IF(OFFSET(TH!L$1,SMALL(Dong,ROWS($1:67)),)="331",OFFSET(TH!K$1,SMALL(Dong,ROWS($1:67)),),0))</f>
        <v>0</v>
      </c>
      <c r="H80" s="57">
        <f ca="1">IF(ROWS($1:67)&gt;COUNT(Dong),"",IF(OFFSET(TH!M$1,SMALL(Dong,ROWS($1:67)),)="331",OFFSET(TH!K$1,SMALL(Dong,ROWS($1:67)),),0))</f>
        <v>5588352</v>
      </c>
      <c r="I80" s="25">
        <f t="shared" ca="1" si="8"/>
        <v>0</v>
      </c>
      <c r="J80" s="25">
        <f t="shared" ca="1" si="9"/>
        <v>168507552</v>
      </c>
    </row>
    <row r="81" spans="1:10" s="18" customFormat="1" ht="18" customHeight="1">
      <c r="A81" s="9">
        <f ca="1">IF(ROWS($1:68)&gt;COUNT(Dong),"",OFFSET(TH!C$1,SMALL(Dong,ROWS($1:68)),))</f>
        <v>41302</v>
      </c>
      <c r="B81" s="9" t="str">
        <f ca="1">IF(ROWS($1:68)&gt;COUNT(Dong),"",OFFSET(TH!D$1,SMALL(Dong,ROWS($1:68)),))</f>
        <v>NL/N14</v>
      </c>
      <c r="C81" s="9">
        <f ca="1">IF(ROWS($1:68)&gt;COUNT(Dong),"",OFFSET(TH!E$1,SMALL(Dong,ROWS($1:68)),))</f>
        <v>41302</v>
      </c>
      <c r="D81" s="223" t="str">
        <f ca="1">IF(ROWS($1:68)&gt;COUNT(Dong),"",OFFSET(TH!F$1,SMALL(Dong,ROWS($1:68)),))</f>
        <v>Giấy tấm 1 vàng + 2 xeo (1340x1595)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7">
        <f ca="1">IF(ROWS($1:68)&gt;COUNT(Dong),"",IF(OFFSET(TH!L$1,SMALL(Dong,ROWS($1:68)),)="331",OFFSET(TH!K$1,SMALL(Dong,ROWS($1:68)),),0))</f>
        <v>0</v>
      </c>
      <c r="H81" s="57">
        <f ca="1">IF(ROWS($1:68)&gt;COUNT(Dong),"",IF(OFFSET(TH!M$1,SMALL(Dong,ROWS($1:68)),)="331",OFFSET(TH!K$1,SMALL(Dong,ROWS($1:68)),),0))</f>
        <v>6799825</v>
      </c>
      <c r="I81" s="25">
        <f t="shared" ca="1" si="8"/>
        <v>0</v>
      </c>
      <c r="J81" s="25">
        <f t="shared" ca="1" si="9"/>
        <v>175307377</v>
      </c>
    </row>
    <row r="82" spans="1:10" s="18" customFormat="1" ht="18" customHeight="1">
      <c r="A82" s="9">
        <f ca="1">IF(ROWS($1:69)&gt;COUNT(Dong),"",OFFSET(TH!C$1,SMALL(Dong,ROWS($1:69)),))</f>
        <v>41302</v>
      </c>
      <c r="B82" s="9" t="str">
        <f ca="1">IF(ROWS($1:69)&gt;COUNT(Dong),"",OFFSET(TH!D$1,SMALL(Dong,ROWS($1:69)),))</f>
        <v>NL/N14</v>
      </c>
      <c r="C82" s="9">
        <f ca="1">IF(ROWS($1:69)&gt;COUNT(Dong),"",OFFSET(TH!E$1,SMALL(Dong,ROWS($1:69)),))</f>
        <v>41302</v>
      </c>
      <c r="D82" s="223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7">
        <f ca="1">IF(ROWS($1:69)&gt;COUNT(Dong),"",IF(OFFSET(TH!L$1,SMALL(Dong,ROWS($1:69)),)="331",OFFSET(TH!K$1,SMALL(Dong,ROWS($1:69)),),0))</f>
        <v>0</v>
      </c>
      <c r="H82" s="57">
        <f ca="1">IF(ROWS($1:69)&gt;COUNT(Dong),"",IF(OFFSET(TH!M$1,SMALL(Dong,ROWS($1:69)),)="331",OFFSET(TH!K$1,SMALL(Dong,ROWS($1:69)),),0))</f>
        <v>1724129</v>
      </c>
      <c r="I82" s="25">
        <f t="shared" ca="1" si="8"/>
        <v>0</v>
      </c>
      <c r="J82" s="25">
        <f t="shared" ca="1" si="9"/>
        <v>177031506</v>
      </c>
    </row>
    <row r="83" spans="1:10" s="18" customFormat="1" ht="18" customHeight="1">
      <c r="A83" s="9">
        <f ca="1">IF(ROWS($1:70)&gt;COUNT(Dong),"",OFFSET(TH!C$1,SMALL(Dong,ROWS($1:70)),))</f>
        <v>41302</v>
      </c>
      <c r="B83" s="9" t="str">
        <f ca="1">IF(ROWS($1:70)&gt;COUNT(Dong),"",OFFSET(TH!D$1,SMALL(Dong,ROWS($1:70)),))</f>
        <v>C17</v>
      </c>
      <c r="C83" s="9">
        <f ca="1">IF(ROWS($1:70)&gt;COUNT(Dong),"",OFFSET(TH!E$1,SMALL(Dong,ROWS($1:70)),))</f>
        <v>41302</v>
      </c>
      <c r="D83" s="223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7">
        <f ca="1">IF(ROWS($1:70)&gt;COUNT(Dong),"",IF(OFFSET(TH!L$1,SMALL(Dong,ROWS($1:70)),)="331",OFFSET(TH!K$1,SMALL(Dong,ROWS($1:70)),),0))</f>
        <v>18965415</v>
      </c>
      <c r="H83" s="57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158066091</v>
      </c>
    </row>
    <row r="84" spans="1:10" s="18" customFormat="1" ht="18" customHeight="1">
      <c r="A84" s="9">
        <f ca="1">IF(ROWS($1:71)&gt;COUNT(Dong),"",OFFSET(TH!C$1,SMALL(Dong,ROWS($1:71)),))</f>
        <v>41303</v>
      </c>
      <c r="B84" s="9" t="str">
        <f ca="1">IF(ROWS($1:71)&gt;COUNT(Dong),"",OFFSET(TH!D$1,SMALL(Dong,ROWS($1:71)),))</f>
        <v>NL/N15</v>
      </c>
      <c r="C84" s="9">
        <f ca="1">IF(ROWS($1:71)&gt;COUNT(Dong),"",OFFSET(TH!E$1,SMALL(Dong,ROWS($1:71)),))</f>
        <v>41303</v>
      </c>
      <c r="D84" s="223" t="str">
        <f ca="1">IF(ROWS($1:71)&gt;COUNT(Dong),"",OFFSET(TH!F$1,SMALL(Dong,ROWS($1:71)),))</f>
        <v>Giấy tấm 2 vàng + 3 xeo (2240x1685)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7">
        <f ca="1">IF(ROWS($1:71)&gt;COUNT(Dong),"",IF(OFFSET(TH!L$1,SMALL(Dong,ROWS($1:71)),)="331",OFFSET(TH!K$1,SMALL(Dong,ROWS($1:71)),),0))</f>
        <v>0</v>
      </c>
      <c r="H84" s="57">
        <f ca="1">IF(ROWS($1:71)&gt;COUNT(Dong),"",IF(OFFSET(TH!M$1,SMALL(Dong,ROWS($1:71)),)="331",OFFSET(TH!K$1,SMALL(Dong,ROWS($1:71)),),0))</f>
        <v>8514990</v>
      </c>
      <c r="I84" s="25">
        <f t="shared" ca="1" si="8"/>
        <v>0</v>
      </c>
      <c r="J84" s="25">
        <f t="shared" ca="1" si="9"/>
        <v>166581081</v>
      </c>
    </row>
    <row r="85" spans="1:10" s="18" customFormat="1" ht="18" customHeight="1">
      <c r="A85" s="9">
        <f ca="1">IF(ROWS($1:72)&gt;COUNT(Dong),"",OFFSET(TH!C$1,SMALL(Dong,ROWS($1:72)),))</f>
        <v>41303</v>
      </c>
      <c r="B85" s="9" t="str">
        <f ca="1">IF(ROWS($1:72)&gt;COUNT(Dong),"",OFFSET(TH!D$1,SMALL(Dong,ROWS($1:72)),))</f>
        <v>NL/N15</v>
      </c>
      <c r="C85" s="9">
        <f ca="1">IF(ROWS($1:72)&gt;COUNT(Dong),"",OFFSET(TH!E$1,SMALL(Dong,ROWS($1:72)),))</f>
        <v>41303</v>
      </c>
      <c r="D85" s="223" t="str">
        <f ca="1">IF(ROWS($1:72)&gt;COUNT(Dong),"",OFFSET(TH!F$1,SMALL(Dong,ROWS($1:72)),))</f>
        <v>VAT Giấy tấm</v>
      </c>
      <c r="E85" s="46" t="str">
        <f ca="1">IF(ROWS($1:72)&gt;COUNT(Dong),"",IF(OFFSET(TH!L$1,SMALL(Dong,ROWS($1:72)),)="331",OFFSET(TH!M$1,SMALL(Dong,ROWS($1:72)),),OFFSET(TH!L$1,SMALL(Dong,ROWS($1:72)),)))</f>
        <v>1331</v>
      </c>
      <c r="F85" s="46"/>
      <c r="G85" s="57">
        <f ca="1">IF(ROWS($1:72)&gt;COUNT(Dong),"",IF(OFFSET(TH!L$1,SMALL(Dong,ROWS($1:72)),)="331",OFFSET(TH!K$1,SMALL(Dong,ROWS($1:72)),),0))</f>
        <v>0</v>
      </c>
      <c r="H85" s="57">
        <f ca="1">IF(ROWS($1:72)&gt;COUNT(Dong),"",IF(OFFSET(TH!M$1,SMALL(Dong,ROWS($1:72)),)="331",OFFSET(TH!K$1,SMALL(Dong,ROWS($1:72)),),0))</f>
        <v>851499</v>
      </c>
      <c r="I85" s="25">
        <f t="shared" ca="1" si="8"/>
        <v>0</v>
      </c>
      <c r="J85" s="25">
        <f t="shared" ca="1" si="9"/>
        <v>167432580</v>
      </c>
    </row>
    <row r="86" spans="1:10" s="18" customFormat="1" ht="18" customHeight="1">
      <c r="A86" s="9">
        <f ca="1">IF(ROWS($1:73)&gt;COUNT(Dong),"",OFFSET(TH!C$1,SMALL(Dong,ROWS($1:73)),))</f>
        <v>41303</v>
      </c>
      <c r="B86" s="9" t="str">
        <f ca="1">IF(ROWS($1:73)&gt;COUNT(Dong),"",OFFSET(TH!D$1,SMALL(Dong,ROWS($1:73)),))</f>
        <v>C19</v>
      </c>
      <c r="C86" s="9">
        <f ca="1">IF(ROWS($1:73)&gt;COUNT(Dong),"",OFFSET(TH!E$1,SMALL(Dong,ROWS($1:73)),))</f>
        <v>41303</v>
      </c>
      <c r="D86" s="223" t="str">
        <f ca="1">IF(ROWS($1:73)&gt;COUNT(Dong),"",OFFSET(TH!F$1,SMALL(Dong,ROWS($1:73)),))</f>
        <v>Thanh toán tiền hàng</v>
      </c>
      <c r="E86" s="46" t="str">
        <f ca="1">IF(ROWS($1:73)&gt;COUNT(Dong),"",IF(OFFSET(TH!L$1,SMALL(Dong,ROWS($1:73)),)="331",OFFSET(TH!M$1,SMALL(Dong,ROWS($1:73)),),OFFSET(TH!L$1,SMALL(Dong,ROWS($1:73)),)))</f>
        <v>1111</v>
      </c>
      <c r="F86" s="46"/>
      <c r="G86" s="57">
        <f ca="1">IF(ROWS($1:73)&gt;COUNT(Dong),"",IF(OFFSET(TH!L$1,SMALL(Dong,ROWS($1:73)),)="331",OFFSET(TH!K$1,SMALL(Dong,ROWS($1:73)),),0))</f>
        <v>9366489</v>
      </c>
      <c r="H86" s="57">
        <f ca="1">IF(ROWS($1:73)&gt;COUNT(Dong),"",IF(OFFSET(TH!M$1,SMALL(Dong,ROWS($1:73)),)="331",OFFSET(TH!K$1,SMALL(Dong,ROWS($1:73)),),0))</f>
        <v>0</v>
      </c>
      <c r="I86" s="25">
        <f t="shared" ca="1" si="8"/>
        <v>0</v>
      </c>
      <c r="J86" s="25">
        <f t="shared" ca="1" si="9"/>
        <v>158066091</v>
      </c>
    </row>
    <row r="87" spans="1:10" s="18" customFormat="1" ht="18" customHeight="1">
      <c r="A87" s="9">
        <f ca="1">IF(ROWS($1:74)&gt;COUNT(Dong),"",OFFSET(TH!C$1,SMALL(Dong,ROWS($1:74)),))</f>
        <v>41303</v>
      </c>
      <c r="B87" s="9" t="str">
        <f ca="1">IF(ROWS($1:74)&gt;COUNT(Dong),"",OFFSET(TH!D$1,SMALL(Dong,ROWS($1:74)),))</f>
        <v>NL/N16</v>
      </c>
      <c r="C87" s="9">
        <f ca="1">IF(ROWS($1:74)&gt;COUNT(Dong),"",OFFSET(TH!E$1,SMALL(Dong,ROWS($1:74)),))</f>
        <v>41303</v>
      </c>
      <c r="D87" s="223" t="str">
        <f ca="1">IF(ROWS($1:74)&gt;COUNT(Dong),"",OFFSET(TH!F$1,SMALL(Dong,ROWS($1:74)),))</f>
        <v>Giấy tấm 1 YBB + 1 xeo + 1 vàng (1220x950)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7">
        <f ca="1">IF(ROWS($1:74)&gt;COUNT(Dong),"",IF(OFFSET(TH!L$1,SMALL(Dong,ROWS($1:74)),)="331",OFFSET(TH!K$1,SMALL(Dong,ROWS($1:74)),),0))</f>
        <v>0</v>
      </c>
      <c r="H87" s="57">
        <f ca="1">IF(ROWS($1:74)&gt;COUNT(Dong),"",IF(OFFSET(TH!M$1,SMALL(Dong,ROWS($1:74)),)="331",OFFSET(TH!K$1,SMALL(Dong,ROWS($1:74)),),0))</f>
        <v>3469010</v>
      </c>
      <c r="I87" s="25">
        <f t="shared" ca="1" si="8"/>
        <v>0</v>
      </c>
      <c r="J87" s="25">
        <f t="shared" ca="1" si="9"/>
        <v>161535101</v>
      </c>
    </row>
    <row r="88" spans="1:10" s="18" customFormat="1" ht="18" customHeight="1">
      <c r="A88" s="9">
        <f ca="1">IF(ROWS($1:75)&gt;COUNT(Dong),"",OFFSET(TH!C$1,SMALL(Dong,ROWS($1:75)),))</f>
        <v>41303</v>
      </c>
      <c r="B88" s="9" t="str">
        <f ca="1">IF(ROWS($1:75)&gt;COUNT(Dong),"",OFFSET(TH!D$1,SMALL(Dong,ROWS($1:75)),))</f>
        <v>NL/N16</v>
      </c>
      <c r="C88" s="9">
        <f ca="1">IF(ROWS($1:75)&gt;COUNT(Dong),"",OFFSET(TH!E$1,SMALL(Dong,ROWS($1:75)),))</f>
        <v>41303</v>
      </c>
      <c r="D88" s="223" t="str">
        <f ca="1">IF(ROWS($1:75)&gt;COUNT(Dong),"",OFFSET(TH!F$1,SMALL(Dong,ROWS($1:75)),))</f>
        <v>Giấy tấm 1 YBB + 1 xeo150 + 1 vàng (1700x1540)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7">
        <f ca="1">IF(ROWS($1:75)&gt;COUNT(Dong),"",IF(OFFSET(TH!L$1,SMALL(Dong,ROWS($1:75)),)="331",OFFSET(TH!K$1,SMALL(Dong,ROWS($1:75)),),0))</f>
        <v>0</v>
      </c>
      <c r="H88" s="57">
        <f ca="1">IF(ROWS($1:75)&gt;COUNT(Dong),"",IF(OFFSET(TH!M$1,SMALL(Dong,ROWS($1:75)),)="331",OFFSET(TH!K$1,SMALL(Dong,ROWS($1:75)),),0))</f>
        <v>6289360</v>
      </c>
      <c r="I88" s="25">
        <f t="shared" ca="1" si="8"/>
        <v>0</v>
      </c>
      <c r="J88" s="25">
        <f t="shared" ca="1" si="9"/>
        <v>167824461</v>
      </c>
    </row>
    <row r="89" spans="1:10" s="18" customFormat="1" ht="18" customHeight="1">
      <c r="A89" s="9">
        <f ca="1">IF(ROWS($1:76)&gt;COUNT(Dong),"",OFFSET(TH!C$1,SMALL(Dong,ROWS($1:76)),))</f>
        <v>41303</v>
      </c>
      <c r="B89" s="9" t="str">
        <f ca="1">IF(ROWS($1:76)&gt;COUNT(Dong),"",OFFSET(TH!D$1,SMALL(Dong,ROWS($1:76)),))</f>
        <v>NL/N16</v>
      </c>
      <c r="C89" s="9">
        <f ca="1">IF(ROWS($1:76)&gt;COUNT(Dong),"",OFFSET(TH!E$1,SMALL(Dong,ROWS($1:76)),))</f>
        <v>41303</v>
      </c>
      <c r="D89" s="223" t="str">
        <f ca="1">IF(ROWS($1:76)&gt;COUNT(Dong),"",OFFSET(TH!F$1,SMALL(Dong,ROWS($1:76)),))</f>
        <v>VAT Giấy tấm</v>
      </c>
      <c r="E89" s="46" t="str">
        <f ca="1">IF(ROWS($1:76)&gt;COUNT(Dong),"",IF(OFFSET(TH!L$1,SMALL(Dong,ROWS($1:76)),)="331",OFFSET(TH!M$1,SMALL(Dong,ROWS($1:76)),),OFFSET(TH!L$1,SMALL(Dong,ROWS($1:76)),)))</f>
        <v>1331</v>
      </c>
      <c r="F89" s="46"/>
      <c r="G89" s="57">
        <f ca="1">IF(ROWS($1:76)&gt;COUNT(Dong),"",IF(OFFSET(TH!L$1,SMALL(Dong,ROWS($1:76)),)="331",OFFSET(TH!K$1,SMALL(Dong,ROWS($1:76)),),0))</f>
        <v>0</v>
      </c>
      <c r="H89" s="57">
        <f ca="1">IF(ROWS($1:76)&gt;COUNT(Dong),"",IF(OFFSET(TH!M$1,SMALL(Dong,ROWS($1:76)),)="331",OFFSET(TH!K$1,SMALL(Dong,ROWS($1:76)),),0))</f>
        <v>975837</v>
      </c>
      <c r="I89" s="25">
        <f t="shared" ca="1" si="8"/>
        <v>0</v>
      </c>
      <c r="J89" s="25">
        <f t="shared" ca="1" si="9"/>
        <v>168800298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C20</v>
      </c>
      <c r="C90" s="9">
        <f ca="1">IF(ROWS($1:77)&gt;COUNT(Dong),"",OFFSET(TH!E$1,SMALL(Dong,ROWS($1:77)),))</f>
        <v>41303</v>
      </c>
      <c r="D90" s="223" t="str">
        <f ca="1">IF(ROWS($1:77)&gt;COUNT(Dong),"",OFFSET(TH!F$1,SMALL(Dong,ROWS($1:77)),))</f>
        <v>Thanh toán tiền hàng</v>
      </c>
      <c r="E90" s="46" t="str">
        <f ca="1">IF(ROWS($1:77)&gt;COUNT(Dong),"",IF(OFFSET(TH!L$1,SMALL(Dong,ROWS($1:77)),)="331",OFFSET(TH!M$1,SMALL(Dong,ROWS($1:77)),),OFFSET(TH!L$1,SMALL(Dong,ROWS($1:77)),)))</f>
        <v>1111</v>
      </c>
      <c r="F90" s="46"/>
      <c r="G90" s="57">
        <f ca="1">IF(ROWS($1:77)&gt;COUNT(Dong),"",IF(OFFSET(TH!L$1,SMALL(Dong,ROWS($1:77)),)="331",OFFSET(TH!K$1,SMALL(Dong,ROWS($1:77)),),0))</f>
        <v>10734207</v>
      </c>
      <c r="H90" s="57">
        <f ca="1">IF(ROWS($1:77)&gt;COUNT(Dong),"",IF(OFFSET(TH!M$1,SMALL(Dong,ROWS($1:77)),)="331",OFFSET(TH!K$1,SMALL(Dong,ROWS($1:77)),),0))</f>
        <v>0</v>
      </c>
      <c r="I90" s="25">
        <f t="shared" ca="1" si="8"/>
        <v>0</v>
      </c>
      <c r="J90" s="25">
        <f t="shared" ca="1" si="9"/>
        <v>158066091</v>
      </c>
    </row>
    <row r="91" spans="1:10" s="18" customFormat="1" ht="18" customHeight="1">
      <c r="A91" s="9">
        <f ca="1">IF(ROWS($1:78)&gt;COUNT(Dong),"",OFFSET(TH!C$1,SMALL(Dong,ROWS($1:78)),))</f>
        <v>41304</v>
      </c>
      <c r="B91" s="9" t="str">
        <f ca="1">IF(ROWS($1:78)&gt;COUNT(Dong),"",OFFSET(TH!D$1,SMALL(Dong,ROWS($1:78)),))</f>
        <v>NL/N17</v>
      </c>
      <c r="C91" s="9">
        <f ca="1">IF(ROWS($1:78)&gt;COUNT(Dong),"",OFFSET(TH!E$1,SMALL(Dong,ROWS($1:78)),))</f>
        <v>41304</v>
      </c>
      <c r="D91" s="223" t="str">
        <f ca="1">IF(ROWS($1:78)&gt;COUNT(Dong),"",OFFSET(TH!F$1,SMALL(Dong,ROWS($1:78)),))</f>
        <v>Giấy tấm 1 YBB + 1 xeo150 + 1 vàng (1700x1540)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7">
        <f ca="1">IF(ROWS($1:78)&gt;COUNT(Dong),"",IF(OFFSET(TH!L$1,SMALL(Dong,ROWS($1:78)),)="331",OFFSET(TH!K$1,SMALL(Dong,ROWS($1:78)),),0))</f>
        <v>0</v>
      </c>
      <c r="H91" s="57">
        <f ca="1">IF(ROWS($1:78)&gt;COUNT(Dong),"",IF(OFFSET(TH!M$1,SMALL(Dong,ROWS($1:78)),)="331",OFFSET(TH!K$1,SMALL(Dong,ROWS($1:78)),),0))</f>
        <v>5513400</v>
      </c>
      <c r="I91" s="25">
        <f t="shared" ca="1" si="8"/>
        <v>0</v>
      </c>
      <c r="J91" s="25">
        <f t="shared" ca="1" si="9"/>
        <v>163579491</v>
      </c>
    </row>
    <row r="92" spans="1:10" s="18" customFormat="1" ht="18" customHeight="1">
      <c r="A92" s="9">
        <f ca="1">IF(ROWS($1:79)&gt;COUNT(Dong),"",OFFSET(TH!C$1,SMALL(Dong,ROWS($1:79)),))</f>
        <v>41304</v>
      </c>
      <c r="B92" s="9" t="str">
        <f ca="1">IF(ROWS($1:79)&gt;COUNT(Dong),"",OFFSET(TH!D$1,SMALL(Dong,ROWS($1:79)),))</f>
        <v>NL/N17</v>
      </c>
      <c r="C92" s="9">
        <f ca="1">IF(ROWS($1:79)&gt;COUNT(Dong),"",OFFSET(TH!E$1,SMALL(Dong,ROWS($1:79)),))</f>
        <v>41304</v>
      </c>
      <c r="D92" s="223" t="str">
        <f ca="1">IF(ROWS($1:79)&gt;COUNT(Dong),"",OFFSET(TH!F$1,SMALL(Dong,ROWS($1:79)),))</f>
        <v>VAT Giấy tấm</v>
      </c>
      <c r="E92" s="46" t="str">
        <f ca="1">IF(ROWS($1:79)&gt;COUNT(Dong),"",IF(OFFSET(TH!L$1,SMALL(Dong,ROWS($1:79)),)="331",OFFSET(TH!M$1,SMALL(Dong,ROWS($1:79)),),OFFSET(TH!L$1,SMALL(Dong,ROWS($1:79)),)))</f>
        <v>1331</v>
      </c>
      <c r="F92" s="46"/>
      <c r="G92" s="57">
        <f ca="1">IF(ROWS($1:79)&gt;COUNT(Dong),"",IF(OFFSET(TH!L$1,SMALL(Dong,ROWS($1:79)),)="331",OFFSET(TH!K$1,SMALL(Dong,ROWS($1:79)),),0))</f>
        <v>0</v>
      </c>
      <c r="H92" s="57">
        <f ca="1">IF(ROWS($1:79)&gt;COUNT(Dong),"",IF(OFFSET(TH!M$1,SMALL(Dong,ROWS($1:79)),)="331",OFFSET(TH!K$1,SMALL(Dong,ROWS($1:79)),),0))</f>
        <v>551340</v>
      </c>
      <c r="I92" s="25">
        <f t="shared" ca="1" si="8"/>
        <v>0</v>
      </c>
      <c r="J92" s="25">
        <f t="shared" ca="1" si="9"/>
        <v>164130831</v>
      </c>
    </row>
    <row r="93" spans="1:10" s="18" customFormat="1" ht="18" customHeight="1">
      <c r="A93" s="9">
        <f ca="1">IF(ROWS($1:80)&gt;COUNT(Dong),"",OFFSET(TH!C$1,SMALL(Dong,ROWS($1:80)),))</f>
        <v>41304</v>
      </c>
      <c r="B93" s="9" t="str">
        <f ca="1">IF(ROWS($1:80)&gt;COUNT(Dong),"",OFFSET(TH!D$1,SMALL(Dong,ROWS($1:80)),))</f>
        <v>C21</v>
      </c>
      <c r="C93" s="9">
        <f ca="1">IF(ROWS($1:80)&gt;COUNT(Dong),"",OFFSET(TH!E$1,SMALL(Dong,ROWS($1:80)),))</f>
        <v>41304</v>
      </c>
      <c r="D93" s="223" t="str">
        <f ca="1">IF(ROWS($1:80)&gt;COUNT(Dong),"",OFFSET(TH!F$1,SMALL(Dong,ROWS($1:80)),))</f>
        <v>Thanh toán tiền hàng</v>
      </c>
      <c r="E93" s="46" t="str">
        <f ca="1">IF(ROWS($1:80)&gt;COUNT(Dong),"",IF(OFFSET(TH!L$1,SMALL(Dong,ROWS($1:80)),)="331",OFFSET(TH!M$1,SMALL(Dong,ROWS($1:80)),),OFFSET(TH!L$1,SMALL(Dong,ROWS($1:80)),)))</f>
        <v>1111</v>
      </c>
      <c r="F93" s="46"/>
      <c r="G93" s="57">
        <f ca="1">IF(ROWS($1:80)&gt;COUNT(Dong),"",IF(OFFSET(TH!L$1,SMALL(Dong,ROWS($1:80)),)="331",OFFSET(TH!K$1,SMALL(Dong,ROWS($1:80)),),0))</f>
        <v>6064740</v>
      </c>
      <c r="H93" s="57">
        <f ca="1">IF(ROWS($1:80)&gt;COUNT(Dong),"",IF(OFFSET(TH!M$1,SMALL(Dong,ROWS($1:80)),)="331",OFFSET(TH!K$1,SMALL(Dong,ROWS($1:80)),),0))</f>
        <v>0</v>
      </c>
      <c r="I93" s="25">
        <f t="shared" ca="1" si="8"/>
        <v>0</v>
      </c>
      <c r="J93" s="25">
        <f t="shared" ca="1" si="9"/>
        <v>158066091</v>
      </c>
    </row>
    <row r="94" spans="1:10" s="18" customFormat="1" ht="18" customHeight="1">
      <c r="A94" s="9">
        <f ca="1">IF(ROWS($1:81)&gt;COUNT(Dong),"",OFFSET(TH!C$1,SMALL(Dong,ROWS($1:81)),))</f>
        <v>41311</v>
      </c>
      <c r="B94" s="9" t="str">
        <f ca="1">IF(ROWS($1:81)&gt;COUNT(Dong),"",OFFSET(TH!D$1,SMALL(Dong,ROWS($1:81)),))</f>
        <v>GBN</v>
      </c>
      <c r="C94" s="9">
        <f ca="1">IF(ROWS($1:81)&gt;COUNT(Dong),"",OFFSET(TH!E$1,SMALL(Dong,ROWS($1:81)),))</f>
        <v>41311</v>
      </c>
      <c r="D94" s="223" t="str">
        <f ca="1">IF(ROWS($1:81)&gt;COUNT(Dong),"",OFFSET(TH!F$1,SMALL(Dong,ROWS($1:81)),))</f>
        <v>Thanh toán tiền hàng</v>
      </c>
      <c r="E94" s="46" t="str">
        <f ca="1">IF(ROWS($1:81)&gt;COUNT(Dong),"",IF(OFFSET(TH!L$1,SMALL(Dong,ROWS($1:81)),)="331",OFFSET(TH!M$1,SMALL(Dong,ROWS($1:81)),),OFFSET(TH!L$1,SMALL(Dong,ROWS($1:81)),)))</f>
        <v>1121</v>
      </c>
      <c r="F94" s="46"/>
      <c r="G94" s="57">
        <f ca="1">IF(ROWS($1:81)&gt;COUNT(Dong),"",IF(OFFSET(TH!L$1,SMALL(Dong,ROWS($1:81)),)="331",OFFSET(TH!K$1,SMALL(Dong,ROWS($1:81)),),0))</f>
        <v>50000000</v>
      </c>
      <c r="H94" s="57">
        <f ca="1">IF(ROWS($1:81)&gt;COUNT(Dong),"",IF(OFFSET(TH!M$1,SMALL(Dong,ROWS($1:81)),)="331",OFFSET(TH!K$1,SMALL(Dong,ROWS($1:81)),),0))</f>
        <v>0</v>
      </c>
      <c r="I94" s="25">
        <f t="shared" ca="1" si="8"/>
        <v>0</v>
      </c>
      <c r="J94" s="25">
        <f t="shared" ca="1" si="9"/>
        <v>108066091</v>
      </c>
    </row>
    <row r="95" spans="1:10" s="18" customFormat="1" ht="18" customHeight="1">
      <c r="A95" s="9">
        <f ca="1">IF(ROWS($1:82)&gt;COUNT(Dong),"",OFFSET(TH!C$1,SMALL(Dong,ROWS($1:82)),))</f>
        <v>41334</v>
      </c>
      <c r="B95" s="9" t="str">
        <f ca="1">IF(ROWS($1:82)&gt;COUNT(Dong),"",OFFSET(TH!D$1,SMALL(Dong,ROWS($1:82)),))</f>
        <v>GBN</v>
      </c>
      <c r="C95" s="9">
        <f ca="1">IF(ROWS($1:82)&gt;COUNT(Dong),"",OFFSET(TH!E$1,SMALL(Dong,ROWS($1:82)),))</f>
        <v>41334</v>
      </c>
      <c r="D95" s="223" t="str">
        <f ca="1">IF(ROWS($1:82)&gt;COUNT(Dong),"",OFFSET(TH!F$1,SMALL(Dong,ROWS($1:82)),))</f>
        <v>Thanh toán tiền hàng</v>
      </c>
      <c r="E95" s="46" t="str">
        <f ca="1">IF(ROWS($1:82)&gt;COUNT(Dong),"",IF(OFFSET(TH!L$1,SMALL(Dong,ROWS($1:82)),)="331",OFFSET(TH!M$1,SMALL(Dong,ROWS($1:82)),),OFFSET(TH!L$1,SMALL(Dong,ROWS($1:82)),)))</f>
        <v>1121</v>
      </c>
      <c r="F95" s="46"/>
      <c r="G95" s="57">
        <f ca="1">IF(ROWS($1:82)&gt;COUNT(Dong),"",IF(OFFSET(TH!L$1,SMALL(Dong,ROWS($1:82)),)="331",OFFSET(TH!K$1,SMALL(Dong,ROWS($1:82)),),0))</f>
        <v>10000000</v>
      </c>
      <c r="H95" s="57">
        <f ca="1">IF(ROWS($1:82)&gt;COUNT(Dong),"",IF(OFFSET(TH!M$1,SMALL(Dong,ROWS($1:82)),)="331",OFFSET(TH!K$1,SMALL(Dong,ROWS($1:82)),),0))</f>
        <v>0</v>
      </c>
      <c r="I95" s="25">
        <f t="shared" ca="1" si="8"/>
        <v>0</v>
      </c>
      <c r="J95" s="25">
        <f t="shared" ca="1" si="9"/>
        <v>98066091</v>
      </c>
    </row>
    <row r="96" spans="1:10" s="18" customFormat="1" ht="18" customHeight="1">
      <c r="A96" s="9">
        <f ca="1">IF(ROWS($1:83)&gt;COUNT(Dong),"",OFFSET(TH!C$1,SMALL(Dong,ROWS($1:83)),))</f>
        <v>41391</v>
      </c>
      <c r="B96" s="9" t="str">
        <f ca="1">IF(ROWS($1:83)&gt;COUNT(Dong),"",OFFSET(TH!D$1,SMALL(Dong,ROWS($1:83)),))</f>
        <v>GBN</v>
      </c>
      <c r="C96" s="9">
        <f ca="1">IF(ROWS($1:83)&gt;COUNT(Dong),"",OFFSET(TH!E$1,SMALL(Dong,ROWS($1:83)),))</f>
        <v>41391</v>
      </c>
      <c r="D96" s="223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1121</v>
      </c>
      <c r="F96" s="46"/>
      <c r="G96" s="57">
        <f ca="1">IF(ROWS($1:83)&gt;COUNT(Dong),"",IF(OFFSET(TH!L$1,SMALL(Dong,ROWS($1:83)),)="331",OFFSET(TH!K$1,SMALL(Dong,ROWS($1:83)),),0))</f>
        <v>20000000</v>
      </c>
      <c r="H96" s="57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78066091</v>
      </c>
    </row>
    <row r="97" spans="1:11" s="18" customFormat="1" ht="18" customHeight="1">
      <c r="A97" s="9">
        <f ca="1">IF(ROWS($1:84)&gt;COUNT(Dong),"",OFFSET(TH!C$1,SMALL(Dong,ROWS($1:84)),))</f>
        <v>41447</v>
      </c>
      <c r="B97" s="9" t="str">
        <f ca="1">IF(ROWS($1:84)&gt;COUNT(Dong),"",OFFSET(TH!D$1,SMALL(Dong,ROWS($1:84)),))</f>
        <v>GBN</v>
      </c>
      <c r="C97" s="9">
        <f ca="1">IF(ROWS($1:84)&gt;COUNT(Dong),"",OFFSET(TH!E$1,SMALL(Dong,ROWS($1:84)),))</f>
        <v>41447</v>
      </c>
      <c r="D97" s="223" t="str">
        <f ca="1">IF(ROWS($1:84)&gt;COUNT(Dong),"",OFFSET(TH!F$1,SMALL(Dong,ROWS($1:84)),))</f>
        <v>Thanh toán tiền hàng</v>
      </c>
      <c r="E97" s="46" t="str">
        <f ca="1">IF(ROWS($1:84)&gt;COUNT(Dong),"",IF(OFFSET(TH!L$1,SMALL(Dong,ROWS($1:84)),)="331",OFFSET(TH!M$1,SMALL(Dong,ROWS($1:84)),),OFFSET(TH!L$1,SMALL(Dong,ROWS($1:84)),)))</f>
        <v>1121</v>
      </c>
      <c r="F97" s="46"/>
      <c r="G97" s="57">
        <f ca="1">IF(ROWS($1:84)&gt;COUNT(Dong),"",IF(OFFSET(TH!L$1,SMALL(Dong,ROWS($1:84)),)="331",OFFSET(TH!K$1,SMALL(Dong,ROWS($1:84)),),0))</f>
        <v>20000000</v>
      </c>
      <c r="H97" s="57">
        <f ca="1">IF(ROWS($1:84)&gt;COUNT(Dong),"",IF(OFFSET(TH!M$1,SMALL(Dong,ROWS($1:84)),)="331",OFFSET(TH!K$1,SMALL(Dong,ROWS($1:84)),),0))</f>
        <v>0</v>
      </c>
      <c r="I97" s="25">
        <f t="shared" ca="1" si="8"/>
        <v>0</v>
      </c>
      <c r="J97" s="25">
        <f t="shared" ca="1" si="9"/>
        <v>58066091</v>
      </c>
    </row>
    <row r="98" spans="1:11" s="18" customFormat="1" ht="18" customHeight="1">
      <c r="A98" s="9">
        <f ca="1">IF(ROWS($1:85)&gt;COUNT(Dong),"",OFFSET(TH!C$1,SMALL(Dong,ROWS($1:85)),))</f>
        <v>41451</v>
      </c>
      <c r="B98" s="9" t="str">
        <f ca="1">IF(ROWS($1:85)&gt;COUNT(Dong),"",OFFSET(TH!D$1,SMALL(Dong,ROWS($1:85)),))</f>
        <v>GBN</v>
      </c>
      <c r="C98" s="9">
        <f ca="1">IF(ROWS($1:85)&gt;COUNT(Dong),"",OFFSET(TH!E$1,SMALL(Dong,ROWS($1:85)),))</f>
        <v>41451</v>
      </c>
      <c r="D98" s="223" t="str">
        <f ca="1">IF(ROWS($1:85)&gt;COUNT(Dong),"",OFFSET(TH!F$1,SMALL(Dong,ROWS($1:85)),))</f>
        <v>Thanh toán tiền hàng</v>
      </c>
      <c r="E98" s="46" t="str">
        <f ca="1">IF(ROWS($1:85)&gt;COUNT(Dong),"",IF(OFFSET(TH!L$1,SMALL(Dong,ROWS($1:85)),)="331",OFFSET(TH!M$1,SMALL(Dong,ROWS($1:85)),),OFFSET(TH!L$1,SMALL(Dong,ROWS($1:85)),)))</f>
        <v>1121</v>
      </c>
      <c r="F98" s="46"/>
      <c r="G98" s="57">
        <f ca="1">IF(ROWS($1:85)&gt;COUNT(Dong),"",IF(OFFSET(TH!L$1,SMALL(Dong,ROWS($1:85)),)="331",OFFSET(TH!K$1,SMALL(Dong,ROWS($1:85)),),0))</f>
        <v>20000000</v>
      </c>
      <c r="H98" s="57">
        <f ca="1">IF(ROWS($1:85)&gt;COUNT(Dong),"",IF(OFFSET(TH!M$1,SMALL(Dong,ROWS($1:85)),)="331",OFFSET(TH!K$1,SMALL(Dong,ROWS($1:85)),),0))</f>
        <v>0</v>
      </c>
      <c r="I98" s="25">
        <f t="shared" ca="1" si="8"/>
        <v>0</v>
      </c>
      <c r="J98" s="25">
        <f t="shared" ca="1" si="9"/>
        <v>38066091</v>
      </c>
    </row>
    <row r="99" spans="1:11" s="18" customFormat="1" ht="18" customHeight="1">
      <c r="A99" s="9">
        <f ca="1">IF(ROWS($1:86)&gt;COUNT(Dong),"",OFFSET(TH!C$1,SMALL(Dong,ROWS($1:86)),))</f>
        <v>41485</v>
      </c>
      <c r="B99" s="9" t="str">
        <f ca="1">IF(ROWS($1:86)&gt;COUNT(Dong),"",OFFSET(TH!D$1,SMALL(Dong,ROWS($1:86)),))</f>
        <v>GBN</v>
      </c>
      <c r="C99" s="9">
        <f ca="1">IF(ROWS($1:86)&gt;COUNT(Dong),"",OFFSET(TH!E$1,SMALL(Dong,ROWS($1:86)),))</f>
        <v>41485</v>
      </c>
      <c r="D99" s="223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1121</v>
      </c>
      <c r="F99" s="46"/>
      <c r="G99" s="57">
        <f ca="1">IF(ROWS($1:86)&gt;COUNT(Dong),"",IF(OFFSET(TH!L$1,SMALL(Dong,ROWS($1:86)),)="331",OFFSET(TH!K$1,SMALL(Dong,ROWS($1:86)),),0))</f>
        <v>20000000</v>
      </c>
      <c r="H99" s="57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C17</v>
      </c>
      <c r="C100" s="9">
        <f ca="1">IF(ROWS($1:87)&gt;COUNT(Dong),"",OFFSET(TH!E$1,SMALL(Dong,ROWS($1:87)),))</f>
        <v>41517</v>
      </c>
      <c r="D100" s="223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7">
        <f ca="1">IF(ROWS($1:87)&gt;COUNT(Dong),"",IF(OFFSET(TH!L$1,SMALL(Dong,ROWS($1:87)),)="331",OFFSET(TH!K$1,SMALL(Dong,ROWS($1:87)),),0))</f>
        <v>18066091</v>
      </c>
      <c r="H100" s="57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3"/>
      <c r="E101" s="46"/>
      <c r="F101" s="46"/>
      <c r="G101" s="57"/>
      <c r="H101" s="57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149</v>
      </c>
      <c r="B105" s="19"/>
      <c r="C105" s="19"/>
      <c r="E105" s="19"/>
      <c r="K105" s="28" t="s">
        <v>149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2/1/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20" t="str">
        <f ca="1">"Ngày 31 tháng  12  năm  "&amp;YEAR($A$14)</f>
        <v>Ngày 31 tháng  12  năm  2013</v>
      </c>
      <c r="F107" s="920"/>
      <c r="G107" s="920"/>
      <c r="H107" s="920"/>
      <c r="I107" s="920"/>
      <c r="J107" s="920"/>
    </row>
    <row r="108" spans="1:11" s="18" customFormat="1" ht="14.25" customHeight="1">
      <c r="C108" s="211" t="s">
        <v>11</v>
      </c>
      <c r="E108" s="920" t="s">
        <v>12</v>
      </c>
      <c r="F108" s="920"/>
      <c r="G108" s="920"/>
      <c r="H108" s="920"/>
      <c r="I108" s="920"/>
      <c r="J108" s="920"/>
    </row>
    <row r="109" spans="1:11" s="18" customFormat="1" ht="14.25" customHeight="1">
      <c r="C109" s="211" t="s">
        <v>13</v>
      </c>
      <c r="E109" s="920" t="s">
        <v>13</v>
      </c>
      <c r="F109" s="920"/>
      <c r="G109" s="920"/>
      <c r="H109" s="920"/>
      <c r="I109" s="920"/>
      <c r="J109" s="920"/>
    </row>
    <row r="110" spans="1:11" s="29" customFormat="1"/>
    <row r="116" spans="3:3" ht="15">
      <c r="C116" s="222" t="s">
        <v>148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7" customWidth="1"/>
    <col min="2" max="2" width="7" style="257" customWidth="1"/>
    <col min="3" max="3" width="9.140625" style="257"/>
    <col min="4" max="4" width="40.140625" style="257" customWidth="1"/>
    <col min="5" max="5" width="6.5703125" style="257" customWidth="1"/>
    <col min="6" max="8" width="10" style="257" customWidth="1"/>
    <col min="9" max="9" width="13.7109375" style="257" customWidth="1"/>
    <col min="10" max="10" width="10" style="257" customWidth="1"/>
    <col min="11" max="11" width="8.7109375" style="257" customWidth="1"/>
    <col min="12" max="12" width="15" style="257" customWidth="1"/>
    <col min="13" max="13" width="10" style="257" customWidth="1"/>
    <col min="14" max="14" width="9.42578125" style="257" customWidth="1"/>
    <col min="15" max="16384" width="9.140625" style="257"/>
  </cols>
  <sheetData>
    <row r="2" spans="1:14">
      <c r="A2" s="827" t="str">
        <f>TH!$A$1</f>
        <v>Đơn vị: CÔNG TY TNHH SX TM KIM DUNG PHÁT</v>
      </c>
      <c r="C2" s="258"/>
      <c r="F2" s="259"/>
      <c r="G2" s="259"/>
      <c r="H2" s="259"/>
      <c r="I2" s="259"/>
      <c r="J2" s="971" t="s">
        <v>176</v>
      </c>
      <c r="K2" s="971"/>
      <c r="L2" s="971"/>
      <c r="M2" s="971"/>
      <c r="N2" s="259"/>
    </row>
    <row r="3" spans="1:14">
      <c r="A3" s="828" t="str">
        <f>TH!$A$2</f>
        <v>Địa chỉ: 1A227/1 Ấp 1, Phạm Văn Hai, Bình Chánh, TPHCM</v>
      </c>
      <c r="C3" s="258"/>
      <c r="F3" s="260"/>
      <c r="G3" s="260"/>
      <c r="H3" s="260"/>
      <c r="I3" s="260"/>
      <c r="J3" s="97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0"/>
      <c r="L3" s="970"/>
      <c r="M3" s="970"/>
      <c r="N3" s="260"/>
    </row>
    <row r="4" spans="1:14">
      <c r="F4" s="260"/>
      <c r="G4" s="260"/>
      <c r="H4" s="260"/>
      <c r="I4" s="260"/>
      <c r="J4" s="970"/>
      <c r="K4" s="970"/>
      <c r="L4" s="970"/>
      <c r="M4" s="970"/>
      <c r="N4" s="260"/>
    </row>
    <row r="5" spans="1:14" s="261" customFormat="1" ht="23.25" customHeight="1">
      <c r="A5" s="980" t="s">
        <v>177</v>
      </c>
      <c r="B5" s="980"/>
      <c r="C5" s="980"/>
      <c r="D5" s="980"/>
      <c r="E5" s="980"/>
      <c r="F5" s="980"/>
      <c r="G5" s="980"/>
      <c r="H5" s="980"/>
      <c r="I5" s="980"/>
      <c r="J5" s="980"/>
      <c r="K5" s="980"/>
      <c r="L5" s="980"/>
      <c r="M5" s="980"/>
      <c r="N5" s="980"/>
    </row>
    <row r="6" spans="1:14">
      <c r="A6" s="971" t="s">
        <v>462</v>
      </c>
      <c r="B6" s="971" t="s">
        <v>178</v>
      </c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</row>
    <row r="7" spans="1:14">
      <c r="C7" s="981"/>
      <c r="D7" s="981"/>
      <c r="E7" s="981"/>
      <c r="F7" s="981"/>
      <c r="G7" s="981"/>
      <c r="H7" s="981"/>
      <c r="I7" s="981"/>
      <c r="J7" s="981"/>
      <c r="K7" s="981"/>
      <c r="L7" s="981"/>
      <c r="M7" s="981"/>
      <c r="N7" s="981"/>
    </row>
    <row r="8" spans="1:14" ht="15.75" customHeight="1">
      <c r="A8" s="974" t="s">
        <v>20</v>
      </c>
      <c r="B8" s="982" t="s">
        <v>1</v>
      </c>
      <c r="C8" s="983"/>
      <c r="D8" s="974" t="s">
        <v>0</v>
      </c>
      <c r="E8" s="974" t="s">
        <v>14</v>
      </c>
      <c r="F8" s="973" t="s">
        <v>21</v>
      </c>
      <c r="G8" s="973"/>
      <c r="H8" s="973"/>
      <c r="I8" s="973"/>
      <c r="J8" s="973"/>
      <c r="K8" s="973"/>
      <c r="L8" s="973" t="s">
        <v>31</v>
      </c>
      <c r="M8" s="973"/>
      <c r="N8" s="973"/>
    </row>
    <row r="9" spans="1:14" ht="15.75" customHeight="1">
      <c r="A9" s="974"/>
      <c r="B9" s="984"/>
      <c r="C9" s="985"/>
      <c r="D9" s="974"/>
      <c r="E9" s="974"/>
      <c r="F9" s="973" t="s">
        <v>179</v>
      </c>
      <c r="G9" s="973"/>
      <c r="H9" s="973"/>
      <c r="I9" s="973" t="s">
        <v>180</v>
      </c>
      <c r="J9" s="973"/>
      <c r="K9" s="973"/>
      <c r="L9" s="974" t="s">
        <v>181</v>
      </c>
      <c r="M9" s="974" t="s">
        <v>182</v>
      </c>
      <c r="N9" s="974" t="s">
        <v>183</v>
      </c>
    </row>
    <row r="10" spans="1:14" ht="15.75" customHeight="1">
      <c r="A10" s="974"/>
      <c r="B10" s="976" t="s">
        <v>15</v>
      </c>
      <c r="C10" s="976" t="s">
        <v>32</v>
      </c>
      <c r="D10" s="974"/>
      <c r="E10" s="974"/>
      <c r="F10" s="978" t="s">
        <v>181</v>
      </c>
      <c r="G10" s="978" t="s">
        <v>182</v>
      </c>
      <c r="H10" s="978" t="s">
        <v>183</v>
      </c>
      <c r="I10" s="978" t="s">
        <v>181</v>
      </c>
      <c r="J10" s="978" t="s">
        <v>182</v>
      </c>
      <c r="K10" s="978" t="s">
        <v>183</v>
      </c>
      <c r="L10" s="975"/>
      <c r="M10" s="975"/>
      <c r="N10" s="975"/>
    </row>
    <row r="11" spans="1:14">
      <c r="A11" s="974"/>
      <c r="B11" s="977"/>
      <c r="C11" s="977"/>
      <c r="D11" s="974"/>
      <c r="E11" s="974"/>
      <c r="F11" s="979"/>
      <c r="G11" s="979"/>
      <c r="H11" s="979"/>
      <c r="I11" s="979"/>
      <c r="J11" s="979"/>
      <c r="K11" s="979"/>
      <c r="L11" s="975"/>
      <c r="M11" s="975"/>
      <c r="N11" s="975"/>
    </row>
    <row r="12" spans="1:14" s="260" customFormat="1">
      <c r="A12" s="262" t="s">
        <v>2</v>
      </c>
      <c r="B12" s="263" t="s">
        <v>3</v>
      </c>
      <c r="C12" s="262" t="s">
        <v>4</v>
      </c>
      <c r="D12" s="262" t="s">
        <v>5</v>
      </c>
      <c r="E12" s="262" t="s">
        <v>6</v>
      </c>
      <c r="F12" s="262">
        <v>1</v>
      </c>
      <c r="G12" s="262"/>
      <c r="H12" s="262"/>
      <c r="I12" s="262"/>
      <c r="J12" s="262"/>
      <c r="K12" s="262"/>
      <c r="L12" s="262"/>
      <c r="M12" s="262"/>
      <c r="N12" s="262"/>
    </row>
    <row r="13" spans="1:14">
      <c r="A13" s="264"/>
      <c r="B13" s="264"/>
      <c r="C13" s="832"/>
      <c r="D13" s="265" t="s">
        <v>7</v>
      </c>
      <c r="E13" s="264"/>
      <c r="F13" s="264"/>
      <c r="G13" s="264"/>
      <c r="H13" s="264"/>
      <c r="I13" s="264"/>
      <c r="J13" s="264"/>
      <c r="K13" s="264"/>
      <c r="L13" s="266">
        <f>CDPS!$D$39</f>
        <v>1900000000</v>
      </c>
      <c r="M13" s="264"/>
      <c r="N13" s="264"/>
    </row>
    <row r="14" spans="1:14">
      <c r="A14" s="831">
        <v>40634</v>
      </c>
      <c r="B14" s="702" t="s">
        <v>372</v>
      </c>
      <c r="C14" s="831">
        <v>40634</v>
      </c>
      <c r="D14" s="267" t="s">
        <v>440</v>
      </c>
      <c r="E14" s="702" t="s">
        <v>47</v>
      </c>
      <c r="F14" s="267"/>
      <c r="G14" s="267"/>
      <c r="H14" s="267"/>
      <c r="I14" s="343">
        <v>1700000000</v>
      </c>
      <c r="J14" s="267"/>
      <c r="K14" s="267"/>
      <c r="L14" s="705">
        <f>L13+I14-G14</f>
        <v>3600000000</v>
      </c>
      <c r="M14" s="267"/>
      <c r="N14" s="267"/>
    </row>
    <row r="15" spans="1:14">
      <c r="A15" s="831">
        <v>40634</v>
      </c>
      <c r="B15" s="702" t="s">
        <v>373</v>
      </c>
      <c r="C15" s="831">
        <v>40634</v>
      </c>
      <c r="D15" s="268" t="s">
        <v>441</v>
      </c>
      <c r="E15" s="703" t="s">
        <v>47</v>
      </c>
      <c r="F15" s="268"/>
      <c r="G15" s="268"/>
      <c r="H15" s="268"/>
      <c r="I15" s="358">
        <v>100000000</v>
      </c>
      <c r="J15" s="268"/>
      <c r="K15" s="268"/>
      <c r="L15" s="705">
        <f t="shared" ref="L15:L16" si="0">L14+I15-G15</f>
        <v>3700000000</v>
      </c>
      <c r="M15" s="268"/>
      <c r="N15" s="268"/>
    </row>
    <row r="16" spans="1:14">
      <c r="A16" s="831">
        <v>40634</v>
      </c>
      <c r="B16" s="702" t="s">
        <v>392</v>
      </c>
      <c r="C16" s="831">
        <v>40634</v>
      </c>
      <c r="D16" s="268" t="s">
        <v>442</v>
      </c>
      <c r="E16" s="703" t="s">
        <v>47</v>
      </c>
      <c r="F16" s="268"/>
      <c r="G16" s="268"/>
      <c r="H16" s="268"/>
      <c r="I16" s="358">
        <v>100000000</v>
      </c>
      <c r="J16" s="268"/>
      <c r="K16" s="268"/>
      <c r="L16" s="705">
        <f t="shared" si="0"/>
        <v>3800000000</v>
      </c>
      <c r="M16" s="268"/>
      <c r="N16" s="268"/>
    </row>
    <row r="17" spans="1:14">
      <c r="A17" s="702"/>
      <c r="B17" s="267"/>
      <c r="C17" s="702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</row>
    <row r="18" spans="1:14">
      <c r="A18" s="702"/>
      <c r="B18" s="267"/>
      <c r="C18" s="702"/>
      <c r="D18" s="269" t="s">
        <v>131</v>
      </c>
      <c r="E18" s="486" t="s">
        <v>19</v>
      </c>
      <c r="F18" s="270"/>
      <c r="G18" s="270"/>
      <c r="H18" s="270"/>
      <c r="I18" s="704">
        <f>SUM(I13:I17)</f>
        <v>1900000000</v>
      </c>
      <c r="J18" s="270"/>
      <c r="K18" s="270"/>
      <c r="L18" s="706">
        <f>L13+I18-F18</f>
        <v>3800000000</v>
      </c>
      <c r="M18" s="270"/>
      <c r="N18" s="270"/>
    </row>
    <row r="19" spans="1:14">
      <c r="A19" s="271"/>
      <c r="B19" s="271"/>
      <c r="C19" s="271"/>
      <c r="D19" s="272" t="s">
        <v>10</v>
      </c>
      <c r="E19" s="487" t="s">
        <v>19</v>
      </c>
      <c r="F19" s="271"/>
      <c r="G19" s="271"/>
      <c r="H19" s="271"/>
      <c r="I19" s="271"/>
      <c r="J19" s="271"/>
      <c r="K19" s="271"/>
      <c r="L19" s="273">
        <f>L13+L18</f>
        <v>5700000000</v>
      </c>
      <c r="M19" s="271"/>
      <c r="N19" s="271"/>
    </row>
    <row r="21" spans="1:14">
      <c r="C21" s="274" t="s">
        <v>184</v>
      </c>
    </row>
    <row r="22" spans="1:14">
      <c r="C22" s="177" t="str">
        <f>"- Ngày mở sổ: "&amp;DAY($A$15)&amp;"/"&amp;MONTH($A$15)&amp;"/ " &amp;YEAR($A$15)</f>
        <v>- Ngày mở sổ: 1/4/ 2011</v>
      </c>
    </row>
    <row r="23" spans="1:14">
      <c r="B23" s="275"/>
      <c r="C23" s="275"/>
      <c r="D23" s="275"/>
      <c r="E23" s="972" t="str">
        <f>"Ngày 31 tháng  12  năm  "&amp;YEAR($A$14)</f>
        <v>Ngày 31 tháng  12  năm  2011</v>
      </c>
      <c r="F23" s="972"/>
      <c r="G23" s="972"/>
      <c r="H23" s="972"/>
      <c r="I23" s="972"/>
      <c r="J23" s="972"/>
      <c r="K23" s="972"/>
      <c r="L23" s="972"/>
      <c r="M23" s="972"/>
      <c r="N23" s="972"/>
    </row>
    <row r="24" spans="1:14">
      <c r="A24" s="972" t="s">
        <v>11</v>
      </c>
      <c r="B24" s="972"/>
      <c r="C24" s="972"/>
      <c r="D24" s="972"/>
      <c r="E24" s="972" t="s">
        <v>12</v>
      </c>
      <c r="F24" s="972"/>
      <c r="G24" s="972"/>
      <c r="H24" s="972"/>
      <c r="I24" s="972"/>
      <c r="J24" s="972"/>
      <c r="K24" s="972"/>
      <c r="L24" s="972"/>
      <c r="M24" s="972"/>
      <c r="N24" s="972"/>
    </row>
    <row r="25" spans="1:14">
      <c r="A25" s="972" t="s">
        <v>13</v>
      </c>
      <c r="B25" s="972"/>
      <c r="C25" s="972"/>
      <c r="D25" s="972"/>
      <c r="E25" s="972" t="s">
        <v>13</v>
      </c>
      <c r="F25" s="972"/>
      <c r="G25" s="972"/>
      <c r="H25" s="972"/>
      <c r="I25" s="972"/>
      <c r="J25" s="972"/>
      <c r="K25" s="972"/>
      <c r="L25" s="972"/>
      <c r="M25" s="972"/>
      <c r="N25" s="97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1" customWidth="1"/>
    <col min="2" max="2" width="3.42578125" style="281" customWidth="1"/>
    <col min="3" max="3" width="34" style="281" customWidth="1"/>
    <col min="4" max="4" width="7.7109375" style="284" customWidth="1"/>
    <col min="5" max="5" width="8.42578125" style="302" customWidth="1"/>
    <col min="6" max="6" width="12.7109375" style="302" customWidth="1"/>
    <col min="7" max="7" width="8" style="286" customWidth="1"/>
    <col min="8" max="8" width="12.140625" style="286" customWidth="1"/>
    <col min="9" max="9" width="7.85546875" style="286" customWidth="1"/>
    <col min="10" max="10" width="11.7109375" style="286" customWidth="1"/>
    <col min="11" max="11" width="9" style="286" customWidth="1"/>
    <col min="12" max="12" width="13.140625" style="286" customWidth="1"/>
    <col min="13" max="13" width="9" style="281" customWidth="1"/>
    <col min="14" max="14" width="11.140625" style="286" bestFit="1" customWidth="1"/>
    <col min="15" max="16384" width="9.140625" style="281"/>
  </cols>
  <sheetData>
    <row r="1" spans="1:14" s="256" customFormat="1" ht="14.25" customHeight="1">
      <c r="B1" s="827" t="str">
        <f>TH!$A$1</f>
        <v>Đơn vị: CÔNG TY TNHH SX TM KIM DUNG PHÁT</v>
      </c>
      <c r="C1" s="276"/>
      <c r="D1" s="276"/>
      <c r="E1" s="276"/>
      <c r="F1" s="277"/>
      <c r="G1" s="277"/>
      <c r="H1" s="964" t="s">
        <v>185</v>
      </c>
      <c r="I1" s="964"/>
      <c r="J1" s="964"/>
      <c r="K1" s="964"/>
      <c r="L1" s="964"/>
      <c r="M1" s="707"/>
      <c r="N1" s="708"/>
    </row>
    <row r="2" spans="1:14" s="256" customFormat="1" ht="14.25" customHeight="1">
      <c r="B2" s="828" t="str">
        <f>TH!$A$2</f>
        <v>Địa chỉ: 1A227/1 Ấp 1, Phạm Văn Hai, Bình Chánh, TPHCM</v>
      </c>
      <c r="C2" s="278"/>
      <c r="D2" s="278"/>
      <c r="E2" s="278"/>
      <c r="F2" s="278"/>
      <c r="G2" s="278"/>
      <c r="H2" s="96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5"/>
      <c r="J2" s="965"/>
      <c r="K2" s="965"/>
      <c r="L2" s="965"/>
      <c r="M2" s="713"/>
      <c r="N2" s="708"/>
    </row>
    <row r="3" spans="1:14" s="256" customFormat="1" ht="14.25" customHeight="1">
      <c r="B3" s="278"/>
      <c r="C3" s="278"/>
      <c r="D3" s="278"/>
      <c r="E3" s="278"/>
      <c r="F3" s="278"/>
      <c r="G3" s="278"/>
      <c r="H3" s="965"/>
      <c r="I3" s="965"/>
      <c r="J3" s="965"/>
      <c r="K3" s="965"/>
      <c r="L3" s="965"/>
      <c r="M3" s="714"/>
      <c r="N3" s="708"/>
    </row>
    <row r="4" spans="1:14" s="279" customFormat="1" ht="27.75" customHeight="1">
      <c r="B4" s="987" t="s">
        <v>186</v>
      </c>
      <c r="C4" s="987"/>
      <c r="D4" s="987"/>
      <c r="E4" s="987"/>
      <c r="F4" s="987"/>
      <c r="G4" s="987"/>
      <c r="H4" s="987"/>
      <c r="I4" s="987"/>
      <c r="J4" s="987"/>
      <c r="K4" s="987"/>
      <c r="L4" s="987"/>
      <c r="N4" s="709"/>
    </row>
    <row r="5" spans="1:14" s="279" customFormat="1" ht="15" customHeight="1">
      <c r="B5" s="986" t="s">
        <v>187</v>
      </c>
      <c r="C5" s="986"/>
      <c r="D5" s="986"/>
      <c r="E5" s="986"/>
      <c r="F5" s="986"/>
      <c r="G5" s="986"/>
      <c r="H5" s="986"/>
      <c r="I5" s="986"/>
      <c r="J5" s="986"/>
      <c r="K5" s="986"/>
      <c r="L5" s="986"/>
      <c r="N5" s="709"/>
    </row>
    <row r="6" spans="1:14" s="279" customFormat="1" ht="12.75" hidden="1" customHeight="1">
      <c r="B6" s="986" t="s">
        <v>188</v>
      </c>
      <c r="C6" s="986"/>
      <c r="D6" s="986"/>
      <c r="E6" s="986"/>
      <c r="F6" s="986"/>
      <c r="G6" s="986"/>
      <c r="H6" s="986"/>
      <c r="I6" s="986"/>
      <c r="J6" s="986"/>
      <c r="K6" s="986"/>
      <c r="L6" s="986"/>
      <c r="N6" s="709"/>
    </row>
    <row r="7" spans="1:14" s="280" customFormat="1" ht="24" hidden="1" customHeight="1">
      <c r="C7" s="994" t="s">
        <v>189</v>
      </c>
      <c r="D7" s="994"/>
      <c r="E7" s="994"/>
      <c r="F7" s="994"/>
      <c r="G7" s="994"/>
      <c r="H7" s="994"/>
      <c r="I7" s="994"/>
      <c r="J7" s="994"/>
      <c r="K7" s="994"/>
      <c r="L7" s="994"/>
      <c r="N7" s="710"/>
    </row>
    <row r="8" spans="1:14" ht="20.25" customHeight="1">
      <c r="B8" s="988" t="s">
        <v>35</v>
      </c>
      <c r="C8" s="989" t="s">
        <v>190</v>
      </c>
      <c r="D8" s="990" t="s">
        <v>191</v>
      </c>
      <c r="E8" s="992" t="s">
        <v>137</v>
      </c>
      <c r="F8" s="992"/>
      <c r="G8" s="992"/>
      <c r="H8" s="992"/>
      <c r="I8" s="992"/>
      <c r="J8" s="992"/>
      <c r="K8" s="992"/>
      <c r="L8" s="992"/>
    </row>
    <row r="9" spans="1:14" ht="20.25" customHeight="1">
      <c r="B9" s="988"/>
      <c r="C9" s="989"/>
      <c r="D9" s="991"/>
      <c r="E9" s="992" t="s">
        <v>192</v>
      </c>
      <c r="F9" s="992"/>
      <c r="G9" s="993" t="s">
        <v>193</v>
      </c>
      <c r="H9" s="993"/>
      <c r="I9" s="993" t="s">
        <v>194</v>
      </c>
      <c r="J9" s="993"/>
      <c r="K9" s="993" t="s">
        <v>195</v>
      </c>
      <c r="L9" s="993"/>
    </row>
    <row r="10" spans="1:14" ht="20.25" hidden="1" customHeight="1">
      <c r="B10" s="988"/>
      <c r="C10" s="989"/>
      <c r="D10" s="282"/>
      <c r="E10" s="283" t="s">
        <v>196</v>
      </c>
      <c r="F10" s="283" t="s">
        <v>197</v>
      </c>
      <c r="G10" s="283" t="s">
        <v>196</v>
      </c>
      <c r="H10" s="283" t="s">
        <v>197</v>
      </c>
      <c r="I10" s="283" t="s">
        <v>196</v>
      </c>
      <c r="J10" s="283" t="s">
        <v>197</v>
      </c>
      <c r="K10" s="283" t="s">
        <v>196</v>
      </c>
      <c r="L10" s="283" t="s">
        <v>197</v>
      </c>
    </row>
    <row r="11" spans="1:14" s="284" customFormat="1">
      <c r="B11" s="285" t="s">
        <v>2</v>
      </c>
      <c r="C11" s="282" t="s">
        <v>3</v>
      </c>
      <c r="D11" s="282"/>
      <c r="E11" s="283">
        <v>1</v>
      </c>
      <c r="F11" s="283">
        <v>1</v>
      </c>
      <c r="G11" s="283">
        <v>2</v>
      </c>
      <c r="H11" s="283">
        <v>2</v>
      </c>
      <c r="I11" s="283">
        <v>3</v>
      </c>
      <c r="J11" s="283">
        <v>3</v>
      </c>
      <c r="K11" s="283">
        <v>4</v>
      </c>
      <c r="L11" s="283">
        <v>4</v>
      </c>
      <c r="N11" s="711"/>
    </row>
    <row r="12" spans="1:14" ht="18" customHeight="1">
      <c r="A12" s="286" t="str">
        <f>IF(B12&lt;&gt;"","VL","")</f>
        <v>VL</v>
      </c>
      <c r="B12" s="287">
        <f>IF(C12&lt;&gt;"",ROW()-11,"")</f>
        <v>1</v>
      </c>
      <c r="C12" s="186" t="s">
        <v>369</v>
      </c>
      <c r="D12" s="289" t="s">
        <v>341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86"/>
    </row>
    <row r="13" spans="1:14" ht="18" customHeight="1">
      <c r="A13" s="286" t="str">
        <f>IF(B13&lt;&gt;"","VL","")</f>
        <v>VL</v>
      </c>
      <c r="B13" s="287">
        <f>IF(C13&lt;&gt;"",ROW()-11,"")</f>
        <v>2</v>
      </c>
      <c r="C13" s="186" t="s">
        <v>342</v>
      </c>
      <c r="D13" s="289" t="s">
        <v>341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86"/>
    </row>
    <row r="14" spans="1:14" ht="18" customHeight="1">
      <c r="A14" s="286" t="str">
        <f>IF(B14&lt;&gt;"","VL","")</f>
        <v>VL</v>
      </c>
      <c r="B14" s="287">
        <f>IF(C14&lt;&gt;"",ROW()-11,"")</f>
        <v>3</v>
      </c>
      <c r="C14" s="787" t="s">
        <v>545</v>
      </c>
      <c r="D14" s="289" t="s">
        <v>341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86"/>
    </row>
    <row r="15" spans="1:14" ht="18.75" customHeight="1">
      <c r="A15" s="286" t="str">
        <f>IF(B15&lt;&gt;"","VL","")</f>
        <v/>
      </c>
      <c r="B15" s="287" t="str">
        <f>IF(C15&lt;&gt;"",ROW()-11,"")</f>
        <v/>
      </c>
      <c r="C15" s="291"/>
      <c r="D15" s="292"/>
      <c r="E15" s="293"/>
      <c r="F15" s="293"/>
      <c r="G15" s="25"/>
      <c r="H15" s="293"/>
      <c r="I15" s="293"/>
      <c r="J15" s="293"/>
      <c r="K15" s="293"/>
      <c r="L15" s="293"/>
      <c r="M15" s="286"/>
    </row>
    <row r="16" spans="1:14" ht="18.75" customHeight="1">
      <c r="A16" s="286" t="str">
        <f>IF(B16&lt;&gt;"","VL","")</f>
        <v/>
      </c>
      <c r="B16" s="285"/>
      <c r="C16" s="294" t="s">
        <v>340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86"/>
    </row>
    <row r="17" spans="1:13" ht="18.75" customHeight="1">
      <c r="A17" s="286"/>
      <c r="B17" s="471"/>
      <c r="C17" s="472"/>
      <c r="D17" s="473"/>
      <c r="E17" s="473"/>
      <c r="F17" s="473">
        <f>F16-CDPS!C20</f>
        <v>0</v>
      </c>
      <c r="G17" s="473"/>
      <c r="H17" s="473">
        <f>H16-CDPS!E20</f>
        <v>0</v>
      </c>
      <c r="I17" s="473"/>
      <c r="J17" s="473">
        <f>J16-CDPS!F20</f>
        <v>0</v>
      </c>
      <c r="K17" s="473"/>
      <c r="L17" s="473">
        <f>L16-CDPS!G20</f>
        <v>0</v>
      </c>
      <c r="M17" s="286"/>
    </row>
    <row r="18" spans="1:13" ht="18.75" customHeight="1">
      <c r="A18" s="286" t="str">
        <f t="shared" ref="A18:A81" si="2">IF(B18&lt;&gt;"","NL","")</f>
        <v>NL</v>
      </c>
      <c r="B18" s="470">
        <f t="shared" ref="B18:B49" si="3">IF(C18&lt;&gt;"",ROW()-17,"")</f>
        <v>1</v>
      </c>
      <c r="C18" s="801" t="s">
        <v>1135</v>
      </c>
      <c r="D18" s="289" t="s">
        <v>1136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86"/>
    </row>
    <row r="19" spans="1:13" ht="18.75" customHeight="1">
      <c r="A19" s="286" t="str">
        <f t="shared" si="2"/>
        <v>NL</v>
      </c>
      <c r="B19" s="470">
        <f t="shared" si="3"/>
        <v>2</v>
      </c>
      <c r="C19" s="801" t="s">
        <v>1137</v>
      </c>
      <c r="D19" s="289" t="s">
        <v>1136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86"/>
    </row>
    <row r="20" spans="1:13" ht="18.75" customHeight="1">
      <c r="A20" s="286" t="str">
        <f t="shared" si="2"/>
        <v>NL</v>
      </c>
      <c r="B20" s="470">
        <f t="shared" si="3"/>
        <v>3</v>
      </c>
      <c r="C20" s="801" t="s">
        <v>1138</v>
      </c>
      <c r="D20" s="289" t="s">
        <v>1136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86"/>
    </row>
    <row r="21" spans="1:13" ht="18.75" customHeight="1">
      <c r="A21" s="286" t="str">
        <f t="shared" si="2"/>
        <v>NL</v>
      </c>
      <c r="B21" s="470">
        <f t="shared" si="3"/>
        <v>4</v>
      </c>
      <c r="C21" s="801" t="s">
        <v>1139</v>
      </c>
      <c r="D21" s="289" t="s">
        <v>1136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86"/>
    </row>
    <row r="22" spans="1:13" ht="18.75" customHeight="1">
      <c r="A22" s="286" t="str">
        <f t="shared" si="2"/>
        <v>NL</v>
      </c>
      <c r="B22" s="470">
        <f t="shared" si="3"/>
        <v>5</v>
      </c>
      <c r="C22" s="801" t="s">
        <v>1140</v>
      </c>
      <c r="D22" s="289" t="s">
        <v>1136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86"/>
    </row>
    <row r="23" spans="1:13" ht="18.75" customHeight="1">
      <c r="A23" s="286" t="str">
        <f t="shared" si="2"/>
        <v>NL</v>
      </c>
      <c r="B23" s="470">
        <f t="shared" si="3"/>
        <v>6</v>
      </c>
      <c r="C23" s="801" t="s">
        <v>1141</v>
      </c>
      <c r="D23" s="289" t="s">
        <v>1136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86"/>
    </row>
    <row r="24" spans="1:13" ht="18.75" customHeight="1">
      <c r="A24" s="286" t="str">
        <f t="shared" si="2"/>
        <v>NL</v>
      </c>
      <c r="B24" s="470">
        <f t="shared" si="3"/>
        <v>7</v>
      </c>
      <c r="C24" s="801" t="s">
        <v>1142</v>
      </c>
      <c r="D24" s="289" t="s">
        <v>1136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86"/>
    </row>
    <row r="25" spans="1:13" ht="18.75" customHeight="1">
      <c r="A25" s="286" t="str">
        <f t="shared" si="2"/>
        <v>NL</v>
      </c>
      <c r="B25" s="470">
        <f t="shared" si="3"/>
        <v>8</v>
      </c>
      <c r="C25" s="801" t="s">
        <v>1143</v>
      </c>
      <c r="D25" s="289" t="s">
        <v>1136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86"/>
    </row>
    <row r="26" spans="1:13" ht="18.75" customHeight="1">
      <c r="A26" s="286" t="str">
        <f t="shared" si="2"/>
        <v>NL</v>
      </c>
      <c r="B26" s="470">
        <f t="shared" si="3"/>
        <v>9</v>
      </c>
      <c r="C26" s="801" t="s">
        <v>1144</v>
      </c>
      <c r="D26" s="289" t="s">
        <v>1136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86"/>
    </row>
    <row r="27" spans="1:13" ht="18.75" customHeight="1">
      <c r="A27" s="286" t="str">
        <f t="shared" si="2"/>
        <v>NL</v>
      </c>
      <c r="B27" s="470">
        <f t="shared" si="3"/>
        <v>10</v>
      </c>
      <c r="C27" s="801" t="s">
        <v>1145</v>
      </c>
      <c r="D27" s="289" t="s">
        <v>1136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86"/>
    </row>
    <row r="28" spans="1:13" ht="18.75" customHeight="1">
      <c r="A28" s="286" t="str">
        <f t="shared" si="2"/>
        <v>NL</v>
      </c>
      <c r="B28" s="470">
        <f t="shared" si="3"/>
        <v>11</v>
      </c>
      <c r="C28" s="801" t="s">
        <v>1146</v>
      </c>
      <c r="D28" s="289" t="s">
        <v>1136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86"/>
    </row>
    <row r="29" spans="1:13" ht="18.75" customHeight="1">
      <c r="A29" s="286" t="str">
        <f t="shared" si="2"/>
        <v>NL</v>
      </c>
      <c r="B29" s="470">
        <f t="shared" si="3"/>
        <v>12</v>
      </c>
      <c r="C29" s="801" t="s">
        <v>1147</v>
      </c>
      <c r="D29" s="289" t="s">
        <v>1136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86"/>
    </row>
    <row r="30" spans="1:13" ht="18.75" customHeight="1">
      <c r="A30" s="286" t="str">
        <f t="shared" si="2"/>
        <v>NL</v>
      </c>
      <c r="B30" s="470">
        <f t="shared" si="3"/>
        <v>13</v>
      </c>
      <c r="C30" s="801" t="s">
        <v>1148</v>
      </c>
      <c r="D30" s="289" t="s">
        <v>1136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86"/>
    </row>
    <row r="31" spans="1:13" ht="18.75" customHeight="1">
      <c r="A31" s="286" t="str">
        <f t="shared" si="2"/>
        <v>NL</v>
      </c>
      <c r="B31" s="470">
        <f t="shared" si="3"/>
        <v>14</v>
      </c>
      <c r="C31" s="801" t="s">
        <v>1149</v>
      </c>
      <c r="D31" s="289" t="s">
        <v>1136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86"/>
    </row>
    <row r="32" spans="1:13" ht="18.75" customHeight="1">
      <c r="A32" s="286" t="str">
        <f t="shared" si="2"/>
        <v>NL</v>
      </c>
      <c r="B32" s="470">
        <f t="shared" si="3"/>
        <v>15</v>
      </c>
      <c r="C32" s="801" t="s">
        <v>1150</v>
      </c>
      <c r="D32" s="289" t="s">
        <v>1136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86"/>
    </row>
    <row r="33" spans="1:13" ht="18.75" customHeight="1">
      <c r="A33" s="286" t="str">
        <f t="shared" si="2"/>
        <v>NL</v>
      </c>
      <c r="B33" s="470">
        <f t="shared" si="3"/>
        <v>16</v>
      </c>
      <c r="C33" s="801" t="s">
        <v>1151</v>
      </c>
      <c r="D33" s="289" t="s">
        <v>1136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86"/>
    </row>
    <row r="34" spans="1:13" ht="18.75" customHeight="1">
      <c r="A34" s="286" t="str">
        <f t="shared" si="2"/>
        <v>NL</v>
      </c>
      <c r="B34" s="470">
        <f t="shared" si="3"/>
        <v>17</v>
      </c>
      <c r="C34" s="801" t="s">
        <v>1152</v>
      </c>
      <c r="D34" s="289" t="s">
        <v>1136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86"/>
    </row>
    <row r="35" spans="1:13" ht="18.75" customHeight="1">
      <c r="A35" s="286" t="str">
        <f t="shared" si="2"/>
        <v>NL</v>
      </c>
      <c r="B35" s="470">
        <f t="shared" si="3"/>
        <v>18</v>
      </c>
      <c r="C35" s="801" t="s">
        <v>1153</v>
      </c>
      <c r="D35" s="289" t="s">
        <v>1136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86"/>
    </row>
    <row r="36" spans="1:13" ht="18.75" customHeight="1">
      <c r="A36" s="286" t="str">
        <f t="shared" si="2"/>
        <v>NL</v>
      </c>
      <c r="B36" s="470">
        <f t="shared" si="3"/>
        <v>19</v>
      </c>
      <c r="C36" s="801" t="s">
        <v>1154</v>
      </c>
      <c r="D36" s="289" t="s">
        <v>1136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86"/>
    </row>
    <row r="37" spans="1:13" ht="18.75" customHeight="1">
      <c r="A37" s="286" t="str">
        <f t="shared" si="2"/>
        <v>NL</v>
      </c>
      <c r="B37" s="470">
        <f t="shared" si="3"/>
        <v>20</v>
      </c>
      <c r="C37" s="801" t="s">
        <v>1155</v>
      </c>
      <c r="D37" s="289" t="s">
        <v>1136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86"/>
    </row>
    <row r="38" spans="1:13" ht="18.75" customHeight="1">
      <c r="A38" s="286" t="str">
        <f t="shared" si="2"/>
        <v>NL</v>
      </c>
      <c r="B38" s="470">
        <f t="shared" si="3"/>
        <v>21</v>
      </c>
      <c r="C38" s="801" t="s">
        <v>1156</v>
      </c>
      <c r="D38" s="289" t="s">
        <v>1136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86"/>
    </row>
    <row r="39" spans="1:13" ht="18.75" customHeight="1">
      <c r="A39" s="286" t="str">
        <f t="shared" si="2"/>
        <v>NL</v>
      </c>
      <c r="B39" s="470">
        <f t="shared" si="3"/>
        <v>22</v>
      </c>
      <c r="C39" s="801" t="s">
        <v>1157</v>
      </c>
      <c r="D39" s="289" t="s">
        <v>1136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86"/>
    </row>
    <row r="40" spans="1:13" ht="18.75" customHeight="1">
      <c r="A40" s="286" t="str">
        <f t="shared" si="2"/>
        <v>NL</v>
      </c>
      <c r="B40" s="470">
        <f t="shared" si="3"/>
        <v>23</v>
      </c>
      <c r="C40" s="801" t="s">
        <v>1158</v>
      </c>
      <c r="D40" s="289" t="s">
        <v>1136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86"/>
    </row>
    <row r="41" spans="1:13" ht="18.75" customHeight="1">
      <c r="A41" s="286" t="str">
        <f t="shared" si="2"/>
        <v>NL</v>
      </c>
      <c r="B41" s="470">
        <f t="shared" si="3"/>
        <v>24</v>
      </c>
      <c r="C41" s="801" t="s">
        <v>1159</v>
      </c>
      <c r="D41" s="289" t="s">
        <v>1136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86"/>
    </row>
    <row r="42" spans="1:13" ht="18.75" customHeight="1">
      <c r="A42" s="286" t="str">
        <f t="shared" si="2"/>
        <v>NL</v>
      </c>
      <c r="B42" s="470">
        <f t="shared" si="3"/>
        <v>25</v>
      </c>
      <c r="C42" s="801" t="s">
        <v>1160</v>
      </c>
      <c r="D42" s="289" t="s">
        <v>1136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86"/>
    </row>
    <row r="43" spans="1:13" ht="18.75" customHeight="1">
      <c r="A43" s="286" t="str">
        <f t="shared" si="2"/>
        <v>NL</v>
      </c>
      <c r="B43" s="470">
        <f t="shared" si="3"/>
        <v>26</v>
      </c>
      <c r="C43" s="801" t="s">
        <v>1161</v>
      </c>
      <c r="D43" s="289" t="s">
        <v>1136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86"/>
    </row>
    <row r="44" spans="1:13" ht="18.75" customHeight="1">
      <c r="A44" s="286" t="str">
        <f t="shared" si="2"/>
        <v>NL</v>
      </c>
      <c r="B44" s="470">
        <f t="shared" si="3"/>
        <v>27</v>
      </c>
      <c r="C44" s="801" t="s">
        <v>1162</v>
      </c>
      <c r="D44" s="289" t="s">
        <v>1136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86"/>
    </row>
    <row r="45" spans="1:13" ht="18.75" customHeight="1">
      <c r="A45" s="286" t="str">
        <f t="shared" si="2"/>
        <v>NL</v>
      </c>
      <c r="B45" s="470">
        <f t="shared" si="3"/>
        <v>28</v>
      </c>
      <c r="C45" s="801" t="s">
        <v>1163</v>
      </c>
      <c r="D45" s="289" t="s">
        <v>1136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86"/>
    </row>
    <row r="46" spans="1:13" ht="18.75" customHeight="1">
      <c r="A46" s="286" t="str">
        <f t="shared" si="2"/>
        <v>NL</v>
      </c>
      <c r="B46" s="470">
        <f t="shared" si="3"/>
        <v>29</v>
      </c>
      <c r="C46" s="801" t="s">
        <v>1164</v>
      </c>
      <c r="D46" s="289" t="s">
        <v>1136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86"/>
    </row>
    <row r="47" spans="1:13" ht="18.75" customHeight="1">
      <c r="A47" s="286" t="str">
        <f t="shared" si="2"/>
        <v>NL</v>
      </c>
      <c r="B47" s="470">
        <f t="shared" si="3"/>
        <v>30</v>
      </c>
      <c r="C47" s="801" t="s">
        <v>1165</v>
      </c>
      <c r="D47" s="289" t="s">
        <v>1136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86"/>
    </row>
    <row r="48" spans="1:13" ht="18.75" customHeight="1">
      <c r="A48" s="286" t="str">
        <f t="shared" si="2"/>
        <v>NL</v>
      </c>
      <c r="B48" s="470">
        <f t="shared" si="3"/>
        <v>31</v>
      </c>
      <c r="C48" s="801" t="s">
        <v>1166</v>
      </c>
      <c r="D48" s="289" t="s">
        <v>1136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86"/>
    </row>
    <row r="49" spans="1:13" ht="18.75" customHeight="1">
      <c r="A49" s="286" t="str">
        <f t="shared" si="2"/>
        <v>NL</v>
      </c>
      <c r="B49" s="470">
        <f t="shared" si="3"/>
        <v>32</v>
      </c>
      <c r="C49" s="801" t="s">
        <v>1167</v>
      </c>
      <c r="D49" s="289" t="s">
        <v>1136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86"/>
    </row>
    <row r="50" spans="1:13" ht="18.75" customHeight="1">
      <c r="A50" s="286" t="str">
        <f t="shared" si="2"/>
        <v>NL</v>
      </c>
      <c r="B50" s="470">
        <f t="shared" ref="B50:B81" si="6">IF(C50&lt;&gt;"",ROW()-17,"")</f>
        <v>33</v>
      </c>
      <c r="C50" s="801" t="s">
        <v>1168</v>
      </c>
      <c r="D50" s="289" t="s">
        <v>1136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86"/>
    </row>
    <row r="51" spans="1:13" ht="18.75" customHeight="1">
      <c r="A51" s="286" t="str">
        <f t="shared" si="2"/>
        <v>NL</v>
      </c>
      <c r="B51" s="470">
        <f t="shared" si="6"/>
        <v>34</v>
      </c>
      <c r="C51" s="801" t="s">
        <v>1169</v>
      </c>
      <c r="D51" s="289" t="s">
        <v>1136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86"/>
    </row>
    <row r="52" spans="1:13" ht="18.75" customHeight="1">
      <c r="A52" s="286" t="str">
        <f t="shared" si="2"/>
        <v>NL</v>
      </c>
      <c r="B52" s="470">
        <f t="shared" si="6"/>
        <v>35</v>
      </c>
      <c r="C52" s="801" t="s">
        <v>1170</v>
      </c>
      <c r="D52" s="289" t="s">
        <v>1136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86"/>
    </row>
    <row r="53" spans="1:13" ht="18.75" customHeight="1">
      <c r="A53" s="286" t="str">
        <f t="shared" si="2"/>
        <v>NL</v>
      </c>
      <c r="B53" s="470">
        <f t="shared" si="6"/>
        <v>36</v>
      </c>
      <c r="C53" s="801" t="s">
        <v>1171</v>
      </c>
      <c r="D53" s="289" t="s">
        <v>1136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86"/>
    </row>
    <row r="54" spans="1:13" ht="18.75" customHeight="1">
      <c r="A54" s="286" t="str">
        <f t="shared" si="2"/>
        <v>NL</v>
      </c>
      <c r="B54" s="470">
        <f t="shared" si="6"/>
        <v>37</v>
      </c>
      <c r="C54" s="801" t="s">
        <v>1172</v>
      </c>
      <c r="D54" s="289" t="s">
        <v>1136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86"/>
    </row>
    <row r="55" spans="1:13" ht="18.75" customHeight="1">
      <c r="A55" s="286" t="str">
        <f t="shared" si="2"/>
        <v>NL</v>
      </c>
      <c r="B55" s="470">
        <f t="shared" si="6"/>
        <v>38</v>
      </c>
      <c r="C55" s="801" t="s">
        <v>1173</v>
      </c>
      <c r="D55" s="289" t="s">
        <v>1136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86"/>
    </row>
    <row r="56" spans="1:13" ht="18.75" customHeight="1">
      <c r="A56" s="286" t="str">
        <f t="shared" si="2"/>
        <v>NL</v>
      </c>
      <c r="B56" s="470">
        <f t="shared" si="6"/>
        <v>39</v>
      </c>
      <c r="C56" s="801" t="s">
        <v>1174</v>
      </c>
      <c r="D56" s="289" t="s">
        <v>1136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86"/>
    </row>
    <row r="57" spans="1:13" ht="18.75" customHeight="1">
      <c r="A57" s="286" t="str">
        <f t="shared" si="2"/>
        <v>NL</v>
      </c>
      <c r="B57" s="470">
        <f t="shared" si="6"/>
        <v>40</v>
      </c>
      <c r="C57" s="801" t="s">
        <v>1175</v>
      </c>
      <c r="D57" s="289" t="s">
        <v>1136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86"/>
    </row>
    <row r="58" spans="1:13" ht="18.75" customHeight="1">
      <c r="A58" s="286" t="str">
        <f t="shared" si="2"/>
        <v>NL</v>
      </c>
      <c r="B58" s="470">
        <f t="shared" si="6"/>
        <v>41</v>
      </c>
      <c r="C58" s="801" t="s">
        <v>1176</v>
      </c>
      <c r="D58" s="289" t="s">
        <v>1136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86"/>
    </row>
    <row r="59" spans="1:13" ht="18.75" customHeight="1">
      <c r="A59" s="286" t="str">
        <f t="shared" si="2"/>
        <v>NL</v>
      </c>
      <c r="B59" s="470">
        <f t="shared" si="6"/>
        <v>42</v>
      </c>
      <c r="C59" s="801" t="s">
        <v>1177</v>
      </c>
      <c r="D59" s="289" t="s">
        <v>1136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86"/>
    </row>
    <row r="60" spans="1:13" ht="18.75" customHeight="1">
      <c r="A60" s="286" t="str">
        <f t="shared" si="2"/>
        <v>NL</v>
      </c>
      <c r="B60" s="470">
        <f t="shared" si="6"/>
        <v>43</v>
      </c>
      <c r="C60" s="801" t="s">
        <v>1178</v>
      </c>
      <c r="D60" s="289" t="s">
        <v>1136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86"/>
    </row>
    <row r="61" spans="1:13" ht="18.75" customHeight="1">
      <c r="A61" s="286" t="str">
        <f t="shared" si="2"/>
        <v>NL</v>
      </c>
      <c r="B61" s="470">
        <f t="shared" si="6"/>
        <v>44</v>
      </c>
      <c r="C61" s="801" t="s">
        <v>1179</v>
      </c>
      <c r="D61" s="289" t="s">
        <v>1136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86"/>
    </row>
    <row r="62" spans="1:13" ht="18.75" customHeight="1">
      <c r="A62" s="286" t="str">
        <f t="shared" si="2"/>
        <v>NL</v>
      </c>
      <c r="B62" s="470">
        <f t="shared" si="6"/>
        <v>45</v>
      </c>
      <c r="C62" s="801" t="s">
        <v>1180</v>
      </c>
      <c r="D62" s="289" t="s">
        <v>1136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86"/>
    </row>
    <row r="63" spans="1:13" ht="18.75" customHeight="1">
      <c r="A63" s="286" t="str">
        <f t="shared" si="2"/>
        <v>NL</v>
      </c>
      <c r="B63" s="470">
        <f t="shared" si="6"/>
        <v>46</v>
      </c>
      <c r="C63" s="801" t="s">
        <v>1181</v>
      </c>
      <c r="D63" s="289" t="s">
        <v>1136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86"/>
    </row>
    <row r="64" spans="1:13" ht="18.75" customHeight="1">
      <c r="A64" s="286" t="str">
        <f t="shared" si="2"/>
        <v>NL</v>
      </c>
      <c r="B64" s="470">
        <f t="shared" si="6"/>
        <v>47</v>
      </c>
      <c r="C64" s="801" t="s">
        <v>1182</v>
      </c>
      <c r="D64" s="289" t="s">
        <v>1136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86"/>
    </row>
    <row r="65" spans="1:13" ht="18.75" customHeight="1">
      <c r="A65" s="286" t="str">
        <f t="shared" si="2"/>
        <v>NL</v>
      </c>
      <c r="B65" s="470">
        <f t="shared" si="6"/>
        <v>48</v>
      </c>
      <c r="C65" s="801" t="s">
        <v>1183</v>
      </c>
      <c r="D65" s="289" t="s">
        <v>1136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86"/>
    </row>
    <row r="66" spans="1:13" ht="18.75" customHeight="1">
      <c r="A66" s="286" t="str">
        <f t="shared" si="2"/>
        <v>NL</v>
      </c>
      <c r="B66" s="470">
        <f t="shared" si="6"/>
        <v>49</v>
      </c>
      <c r="C66" s="801" t="s">
        <v>1184</v>
      </c>
      <c r="D66" s="289" t="s">
        <v>1136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86"/>
    </row>
    <row r="67" spans="1:13" ht="18.75" customHeight="1">
      <c r="A67" s="286" t="str">
        <f t="shared" si="2"/>
        <v>NL</v>
      </c>
      <c r="B67" s="470">
        <f t="shared" si="6"/>
        <v>50</v>
      </c>
      <c r="C67" s="801" t="s">
        <v>1185</v>
      </c>
      <c r="D67" s="289" t="s">
        <v>1136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86"/>
    </row>
    <row r="68" spans="1:13" ht="18.75" customHeight="1">
      <c r="A68" s="286" t="str">
        <f t="shared" si="2"/>
        <v>NL</v>
      </c>
      <c r="B68" s="470">
        <f t="shared" si="6"/>
        <v>51</v>
      </c>
      <c r="C68" s="801" t="s">
        <v>1186</v>
      </c>
      <c r="D68" s="289" t="s">
        <v>1136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86"/>
    </row>
    <row r="69" spans="1:13" ht="18.75" customHeight="1">
      <c r="A69" s="286" t="str">
        <f t="shared" si="2"/>
        <v>NL</v>
      </c>
      <c r="B69" s="470">
        <f t="shared" si="6"/>
        <v>52</v>
      </c>
      <c r="C69" s="801" t="s">
        <v>1187</v>
      </c>
      <c r="D69" s="289" t="s">
        <v>1136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86"/>
    </row>
    <row r="70" spans="1:13" ht="18.75" customHeight="1">
      <c r="A70" s="286" t="str">
        <f t="shared" si="2"/>
        <v>NL</v>
      </c>
      <c r="B70" s="470">
        <f t="shared" si="6"/>
        <v>53</v>
      </c>
      <c r="C70" s="801" t="s">
        <v>1188</v>
      </c>
      <c r="D70" s="289" t="s">
        <v>1136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86"/>
    </row>
    <row r="71" spans="1:13" ht="18.75" customHeight="1">
      <c r="A71" s="286" t="str">
        <f t="shared" si="2"/>
        <v>NL</v>
      </c>
      <c r="B71" s="470">
        <f t="shared" si="6"/>
        <v>54</v>
      </c>
      <c r="C71" s="801" t="s">
        <v>1189</v>
      </c>
      <c r="D71" s="289" t="s">
        <v>1136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86"/>
    </row>
    <row r="72" spans="1:13" ht="18.75" customHeight="1">
      <c r="A72" s="286" t="str">
        <f t="shared" si="2"/>
        <v>NL</v>
      </c>
      <c r="B72" s="470">
        <f t="shared" si="6"/>
        <v>55</v>
      </c>
      <c r="C72" s="801" t="s">
        <v>1190</v>
      </c>
      <c r="D72" s="289" t="s">
        <v>1136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86"/>
    </row>
    <row r="73" spans="1:13" ht="18.75" customHeight="1">
      <c r="A73" s="286" t="str">
        <f t="shared" si="2"/>
        <v>NL</v>
      </c>
      <c r="B73" s="470">
        <f t="shared" si="6"/>
        <v>56</v>
      </c>
      <c r="C73" s="801" t="s">
        <v>1191</v>
      </c>
      <c r="D73" s="289" t="s">
        <v>1136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86"/>
    </row>
    <row r="74" spans="1:13" ht="18.75" customHeight="1">
      <c r="A74" s="286" t="str">
        <f t="shared" si="2"/>
        <v>NL</v>
      </c>
      <c r="B74" s="470">
        <f t="shared" si="6"/>
        <v>57</v>
      </c>
      <c r="C74" s="801" t="s">
        <v>1192</v>
      </c>
      <c r="D74" s="289" t="s">
        <v>1136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86"/>
    </row>
    <row r="75" spans="1:13" ht="18.75" customHeight="1">
      <c r="A75" s="286" t="str">
        <f t="shared" si="2"/>
        <v>NL</v>
      </c>
      <c r="B75" s="470">
        <f t="shared" si="6"/>
        <v>58</v>
      </c>
      <c r="C75" s="801" t="s">
        <v>1193</v>
      </c>
      <c r="D75" s="289" t="s">
        <v>1136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86"/>
    </row>
    <row r="76" spans="1:13" ht="18.75" customHeight="1">
      <c r="A76" s="286" t="str">
        <f t="shared" si="2"/>
        <v>NL</v>
      </c>
      <c r="B76" s="470">
        <f t="shared" si="6"/>
        <v>59</v>
      </c>
      <c r="C76" s="801" t="s">
        <v>1194</v>
      </c>
      <c r="D76" s="289" t="s">
        <v>1136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86"/>
    </row>
    <row r="77" spans="1:13" ht="18.75" customHeight="1">
      <c r="A77" s="286" t="str">
        <f t="shared" si="2"/>
        <v>NL</v>
      </c>
      <c r="B77" s="470">
        <f t="shared" si="6"/>
        <v>60</v>
      </c>
      <c r="C77" s="801" t="s">
        <v>1195</v>
      </c>
      <c r="D77" s="289" t="s">
        <v>1136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86"/>
    </row>
    <row r="78" spans="1:13" ht="18.75" customHeight="1">
      <c r="A78" s="286" t="str">
        <f t="shared" si="2"/>
        <v>NL</v>
      </c>
      <c r="B78" s="470">
        <f t="shared" si="6"/>
        <v>61</v>
      </c>
      <c r="C78" s="801" t="s">
        <v>1196</v>
      </c>
      <c r="D78" s="289" t="s">
        <v>1136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86"/>
    </row>
    <row r="79" spans="1:13" ht="18.75" customHeight="1">
      <c r="A79" s="286" t="str">
        <f t="shared" si="2"/>
        <v>NL</v>
      </c>
      <c r="B79" s="470">
        <f t="shared" si="6"/>
        <v>62</v>
      </c>
      <c r="C79" s="801" t="s">
        <v>1197</v>
      </c>
      <c r="D79" s="289" t="s">
        <v>1136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86"/>
    </row>
    <row r="80" spans="1:13" ht="18.75" customHeight="1">
      <c r="A80" s="286" t="str">
        <f t="shared" si="2"/>
        <v>NL</v>
      </c>
      <c r="B80" s="470">
        <f t="shared" si="6"/>
        <v>63</v>
      </c>
      <c r="C80" s="801" t="s">
        <v>1198</v>
      </c>
      <c r="D80" s="289" t="s">
        <v>1136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86"/>
    </row>
    <row r="81" spans="1:13" ht="18.75" customHeight="1">
      <c r="A81" s="286" t="str">
        <f t="shared" si="2"/>
        <v>NL</v>
      </c>
      <c r="B81" s="470">
        <f t="shared" si="6"/>
        <v>64</v>
      </c>
      <c r="C81" s="801" t="s">
        <v>1199</v>
      </c>
      <c r="D81" s="289" t="s">
        <v>1136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86"/>
    </row>
    <row r="82" spans="1:13" ht="18.75" customHeight="1">
      <c r="A82" s="286" t="str">
        <f t="shared" ref="A82:A132" si="7">IF(B82&lt;&gt;"","NL","")</f>
        <v>NL</v>
      </c>
      <c r="B82" s="470">
        <f t="shared" ref="B82:B113" si="8">IF(C82&lt;&gt;"",ROW()-17,"")</f>
        <v>65</v>
      </c>
      <c r="C82" s="801" t="s">
        <v>1200</v>
      </c>
      <c r="D82" s="289" t="s">
        <v>1136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86"/>
    </row>
    <row r="83" spans="1:13" ht="18.75" customHeight="1">
      <c r="A83" s="286" t="str">
        <f t="shared" si="7"/>
        <v>NL</v>
      </c>
      <c r="B83" s="470">
        <f t="shared" si="8"/>
        <v>66</v>
      </c>
      <c r="C83" s="801" t="s">
        <v>1201</v>
      </c>
      <c r="D83" s="289" t="s">
        <v>1136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86"/>
    </row>
    <row r="84" spans="1:13" ht="18.75" customHeight="1">
      <c r="A84" s="286" t="str">
        <f t="shared" si="7"/>
        <v>NL</v>
      </c>
      <c r="B84" s="470">
        <f t="shared" si="8"/>
        <v>67</v>
      </c>
      <c r="C84" s="801" t="s">
        <v>1202</v>
      </c>
      <c r="D84" s="289" t="s">
        <v>1136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86"/>
    </row>
    <row r="85" spans="1:13" ht="18.75" customHeight="1">
      <c r="A85" s="286" t="str">
        <f t="shared" si="7"/>
        <v>NL</v>
      </c>
      <c r="B85" s="470">
        <f t="shared" si="8"/>
        <v>68</v>
      </c>
      <c r="C85" s="801" t="s">
        <v>1203</v>
      </c>
      <c r="D85" s="289" t="s">
        <v>1136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86"/>
    </row>
    <row r="86" spans="1:13" ht="18.75" customHeight="1">
      <c r="A86" s="286" t="str">
        <f t="shared" si="7"/>
        <v>NL</v>
      </c>
      <c r="B86" s="470">
        <f t="shared" si="8"/>
        <v>69</v>
      </c>
      <c r="C86" s="801" t="s">
        <v>1204</v>
      </c>
      <c r="D86" s="289" t="s">
        <v>1136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86"/>
    </row>
    <row r="87" spans="1:13" ht="18.75" customHeight="1">
      <c r="A87" s="286" t="str">
        <f t="shared" si="7"/>
        <v>NL</v>
      </c>
      <c r="B87" s="470">
        <f t="shared" si="8"/>
        <v>70</v>
      </c>
      <c r="C87" s="801" t="s">
        <v>1205</v>
      </c>
      <c r="D87" s="289" t="s">
        <v>1136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86"/>
    </row>
    <row r="88" spans="1:13" ht="18.75" customHeight="1">
      <c r="A88" s="286" t="str">
        <f t="shared" si="7"/>
        <v>NL</v>
      </c>
      <c r="B88" s="470">
        <f t="shared" si="8"/>
        <v>71</v>
      </c>
      <c r="C88" s="801" t="s">
        <v>1206</v>
      </c>
      <c r="D88" s="289" t="s">
        <v>1136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86"/>
    </row>
    <row r="89" spans="1:13" ht="18.75" customHeight="1">
      <c r="A89" s="286" t="str">
        <f t="shared" si="7"/>
        <v>NL</v>
      </c>
      <c r="B89" s="470">
        <f t="shared" si="8"/>
        <v>72</v>
      </c>
      <c r="C89" s="801" t="s">
        <v>1207</v>
      </c>
      <c r="D89" s="289" t="s">
        <v>1136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86"/>
    </row>
    <row r="90" spans="1:13" ht="18.75" customHeight="1">
      <c r="A90" s="286" t="str">
        <f t="shared" si="7"/>
        <v>NL</v>
      </c>
      <c r="B90" s="470">
        <f t="shared" si="8"/>
        <v>73</v>
      </c>
      <c r="C90" s="801" t="s">
        <v>1208</v>
      </c>
      <c r="D90" s="289" t="s">
        <v>1136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86"/>
    </row>
    <row r="91" spans="1:13" ht="18.75" customHeight="1">
      <c r="A91" s="286" t="str">
        <f t="shared" si="7"/>
        <v>NL</v>
      </c>
      <c r="B91" s="470">
        <f t="shared" si="8"/>
        <v>74</v>
      </c>
      <c r="C91" s="801" t="s">
        <v>1209</v>
      </c>
      <c r="D91" s="289" t="s">
        <v>1136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86"/>
    </row>
    <row r="92" spans="1:13" ht="18.75" customHeight="1">
      <c r="A92" s="286" t="str">
        <f t="shared" si="7"/>
        <v>NL</v>
      </c>
      <c r="B92" s="470">
        <f t="shared" si="8"/>
        <v>75</v>
      </c>
      <c r="C92" s="801" t="s">
        <v>1210</v>
      </c>
      <c r="D92" s="289" t="s">
        <v>1136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86"/>
    </row>
    <row r="93" spans="1:13" ht="18.75" customHeight="1">
      <c r="A93" s="286" t="str">
        <f t="shared" si="7"/>
        <v>NL</v>
      </c>
      <c r="B93" s="470">
        <f t="shared" si="8"/>
        <v>76</v>
      </c>
      <c r="C93" s="801" t="s">
        <v>1211</v>
      </c>
      <c r="D93" s="289" t="s">
        <v>1136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86"/>
    </row>
    <row r="94" spans="1:13" ht="18.75" customHeight="1">
      <c r="A94" s="286" t="str">
        <f t="shared" si="7"/>
        <v>NL</v>
      </c>
      <c r="B94" s="470">
        <f t="shared" si="8"/>
        <v>77</v>
      </c>
      <c r="C94" s="801" t="s">
        <v>1212</v>
      </c>
      <c r="D94" s="289" t="s">
        <v>1136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86"/>
    </row>
    <row r="95" spans="1:13" ht="18.75" customHeight="1">
      <c r="A95" s="286" t="str">
        <f t="shared" si="7"/>
        <v>NL</v>
      </c>
      <c r="B95" s="470">
        <f t="shared" si="8"/>
        <v>78</v>
      </c>
      <c r="C95" s="801" t="s">
        <v>1213</v>
      </c>
      <c r="D95" s="289" t="s">
        <v>1136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86"/>
    </row>
    <row r="96" spans="1:13" ht="18.75" customHeight="1">
      <c r="A96" s="286" t="str">
        <f t="shared" si="7"/>
        <v>NL</v>
      </c>
      <c r="B96" s="470">
        <f t="shared" si="8"/>
        <v>79</v>
      </c>
      <c r="C96" s="801" t="s">
        <v>1214</v>
      </c>
      <c r="D96" s="289" t="s">
        <v>1136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86"/>
    </row>
    <row r="97" spans="1:13" ht="18.75" customHeight="1">
      <c r="A97" s="286" t="str">
        <f t="shared" si="7"/>
        <v>NL</v>
      </c>
      <c r="B97" s="470">
        <f t="shared" si="8"/>
        <v>80</v>
      </c>
      <c r="C97" s="801" t="s">
        <v>1215</v>
      </c>
      <c r="D97" s="289" t="s">
        <v>1136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86"/>
    </row>
    <row r="98" spans="1:13" ht="18.75" customHeight="1">
      <c r="A98" s="286" t="str">
        <f t="shared" si="7"/>
        <v>NL</v>
      </c>
      <c r="B98" s="470">
        <f t="shared" si="8"/>
        <v>81</v>
      </c>
      <c r="C98" s="801" t="s">
        <v>1216</v>
      </c>
      <c r="D98" s="289" t="s">
        <v>1136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86"/>
    </row>
    <row r="99" spans="1:13" ht="18.75" customHeight="1">
      <c r="A99" s="286" t="str">
        <f t="shared" si="7"/>
        <v>NL</v>
      </c>
      <c r="B99" s="470">
        <f t="shared" si="8"/>
        <v>82</v>
      </c>
      <c r="C99" s="801" t="s">
        <v>1217</v>
      </c>
      <c r="D99" s="289" t="s">
        <v>1136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86"/>
    </row>
    <row r="100" spans="1:13" ht="18.75" customHeight="1">
      <c r="A100" s="286" t="str">
        <f t="shared" si="7"/>
        <v>NL</v>
      </c>
      <c r="B100" s="470">
        <f t="shared" si="8"/>
        <v>83</v>
      </c>
      <c r="C100" s="801" t="s">
        <v>1218</v>
      </c>
      <c r="D100" s="289" t="s">
        <v>1136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86"/>
    </row>
    <row r="101" spans="1:13" ht="18.75" customHeight="1">
      <c r="A101" s="286" t="str">
        <f t="shared" si="7"/>
        <v>NL</v>
      </c>
      <c r="B101" s="470">
        <f t="shared" si="8"/>
        <v>84</v>
      </c>
      <c r="C101" s="801" t="s">
        <v>1219</v>
      </c>
      <c r="D101" s="289" t="s">
        <v>1136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86"/>
    </row>
    <row r="102" spans="1:13" ht="18.75" customHeight="1">
      <c r="A102" s="286" t="str">
        <f t="shared" si="7"/>
        <v>NL</v>
      </c>
      <c r="B102" s="470">
        <f t="shared" si="8"/>
        <v>85</v>
      </c>
      <c r="C102" s="801" t="s">
        <v>1220</v>
      </c>
      <c r="D102" s="289" t="s">
        <v>1136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86"/>
    </row>
    <row r="103" spans="1:13" ht="18.75" customHeight="1">
      <c r="A103" s="286" t="str">
        <f t="shared" si="7"/>
        <v>NL</v>
      </c>
      <c r="B103" s="470">
        <f t="shared" si="8"/>
        <v>86</v>
      </c>
      <c r="C103" s="801" t="s">
        <v>1221</v>
      </c>
      <c r="D103" s="289" t="s">
        <v>1136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86"/>
    </row>
    <row r="104" spans="1:13" ht="18.75" customHeight="1">
      <c r="A104" s="286" t="str">
        <f t="shared" si="7"/>
        <v>NL</v>
      </c>
      <c r="B104" s="470">
        <f t="shared" si="8"/>
        <v>87</v>
      </c>
      <c r="C104" s="801" t="s">
        <v>1222</v>
      </c>
      <c r="D104" s="289" t="s">
        <v>1136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86"/>
    </row>
    <row r="105" spans="1:13" ht="18.75" customHeight="1">
      <c r="A105" s="286" t="str">
        <f t="shared" si="7"/>
        <v>NL</v>
      </c>
      <c r="B105" s="470">
        <f t="shared" si="8"/>
        <v>88</v>
      </c>
      <c r="C105" s="801" t="s">
        <v>1223</v>
      </c>
      <c r="D105" s="289" t="s">
        <v>1136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86"/>
    </row>
    <row r="106" spans="1:13" ht="18.75" customHeight="1">
      <c r="A106" s="286" t="str">
        <f t="shared" si="7"/>
        <v>NL</v>
      </c>
      <c r="B106" s="470">
        <f t="shared" si="8"/>
        <v>89</v>
      </c>
      <c r="C106" s="801" t="s">
        <v>1224</v>
      </c>
      <c r="D106" s="289" t="s">
        <v>1136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86"/>
    </row>
    <row r="107" spans="1:13" ht="18.75" customHeight="1">
      <c r="A107" s="286" t="str">
        <f t="shared" si="7"/>
        <v>NL</v>
      </c>
      <c r="B107" s="470">
        <f t="shared" si="8"/>
        <v>90</v>
      </c>
      <c r="C107" s="801" t="s">
        <v>1225</v>
      </c>
      <c r="D107" s="289" t="s">
        <v>1136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86"/>
    </row>
    <row r="108" spans="1:13" ht="18.75" customHeight="1">
      <c r="A108" s="286" t="str">
        <f t="shared" si="7"/>
        <v>NL</v>
      </c>
      <c r="B108" s="470">
        <f t="shared" si="8"/>
        <v>91</v>
      </c>
      <c r="C108" s="801" t="s">
        <v>1226</v>
      </c>
      <c r="D108" s="289" t="s">
        <v>1136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86"/>
    </row>
    <row r="109" spans="1:13" ht="18.75" customHeight="1">
      <c r="A109" s="286" t="str">
        <f t="shared" si="7"/>
        <v>NL</v>
      </c>
      <c r="B109" s="470">
        <f t="shared" si="8"/>
        <v>92</v>
      </c>
      <c r="C109" s="801" t="s">
        <v>1227</v>
      </c>
      <c r="D109" s="289" t="s">
        <v>1136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86"/>
    </row>
    <row r="110" spans="1:13" ht="18.75" customHeight="1">
      <c r="A110" s="286" t="str">
        <f t="shared" si="7"/>
        <v>NL</v>
      </c>
      <c r="B110" s="470">
        <f t="shared" si="8"/>
        <v>93</v>
      </c>
      <c r="C110" s="801" t="s">
        <v>1228</v>
      </c>
      <c r="D110" s="289" t="s">
        <v>1136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86"/>
    </row>
    <row r="111" spans="1:13" ht="18.75" customHeight="1">
      <c r="A111" s="286" t="str">
        <f t="shared" si="7"/>
        <v>NL</v>
      </c>
      <c r="B111" s="470">
        <f t="shared" si="8"/>
        <v>94</v>
      </c>
      <c r="C111" s="801" t="s">
        <v>1229</v>
      </c>
      <c r="D111" s="289" t="s">
        <v>1136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86"/>
    </row>
    <row r="112" spans="1:13" ht="18.75" customHeight="1">
      <c r="A112" s="286" t="str">
        <f t="shared" si="7"/>
        <v>NL</v>
      </c>
      <c r="B112" s="470">
        <f t="shared" si="8"/>
        <v>95</v>
      </c>
      <c r="C112" s="801" t="s">
        <v>1230</v>
      </c>
      <c r="D112" s="289" t="s">
        <v>1136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86"/>
    </row>
    <row r="113" spans="1:13" ht="18.75" customHeight="1">
      <c r="A113" s="286" t="str">
        <f t="shared" si="7"/>
        <v>NL</v>
      </c>
      <c r="B113" s="470">
        <f t="shared" si="8"/>
        <v>96</v>
      </c>
      <c r="C113" s="801" t="s">
        <v>1231</v>
      </c>
      <c r="D113" s="289" t="s">
        <v>1136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86"/>
    </row>
    <row r="114" spans="1:13" ht="18.75" customHeight="1">
      <c r="A114" s="286" t="str">
        <f t="shared" si="7"/>
        <v>NL</v>
      </c>
      <c r="B114" s="470">
        <f t="shared" ref="B114:B132" si="11">IF(C114&lt;&gt;"",ROW()-17,"")</f>
        <v>97</v>
      </c>
      <c r="C114" s="801" t="s">
        <v>1232</v>
      </c>
      <c r="D114" s="289" t="s">
        <v>1136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86"/>
    </row>
    <row r="115" spans="1:13" ht="18.75" customHeight="1">
      <c r="A115" s="286" t="str">
        <f t="shared" si="7"/>
        <v>NL</v>
      </c>
      <c r="B115" s="470">
        <f t="shared" si="11"/>
        <v>98</v>
      </c>
      <c r="C115" s="801" t="s">
        <v>1233</v>
      </c>
      <c r="D115" s="289" t="s">
        <v>1136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86"/>
    </row>
    <row r="116" spans="1:13" ht="18.75" customHeight="1">
      <c r="A116" s="286" t="str">
        <f t="shared" si="7"/>
        <v>NL</v>
      </c>
      <c r="B116" s="470">
        <f t="shared" si="11"/>
        <v>99</v>
      </c>
      <c r="C116" s="801" t="s">
        <v>1234</v>
      </c>
      <c r="D116" s="289" t="s">
        <v>1136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86"/>
    </row>
    <row r="117" spans="1:13" ht="18.75" customHeight="1">
      <c r="A117" s="286" t="str">
        <f t="shared" si="7"/>
        <v>NL</v>
      </c>
      <c r="B117" s="470">
        <f t="shared" si="11"/>
        <v>100</v>
      </c>
      <c r="C117" s="801" t="s">
        <v>1235</v>
      </c>
      <c r="D117" s="289" t="s">
        <v>1136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86"/>
    </row>
    <row r="118" spans="1:13" ht="18.75" customHeight="1">
      <c r="A118" s="286" t="str">
        <f t="shared" si="7"/>
        <v>NL</v>
      </c>
      <c r="B118" s="470">
        <f t="shared" si="11"/>
        <v>101</v>
      </c>
      <c r="C118" s="801" t="s">
        <v>1236</v>
      </c>
      <c r="D118" s="289" t="s">
        <v>1136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86"/>
    </row>
    <row r="119" spans="1:13" ht="18.75" customHeight="1">
      <c r="A119" s="286" t="str">
        <f t="shared" si="7"/>
        <v>NL</v>
      </c>
      <c r="B119" s="470">
        <f t="shared" si="11"/>
        <v>102</v>
      </c>
      <c r="C119" s="801" t="s">
        <v>1237</v>
      </c>
      <c r="D119" s="289" t="s">
        <v>1136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86"/>
    </row>
    <row r="120" spans="1:13" ht="18.75" customHeight="1">
      <c r="A120" s="286" t="str">
        <f t="shared" si="7"/>
        <v>NL</v>
      </c>
      <c r="B120" s="470">
        <f t="shared" si="11"/>
        <v>103</v>
      </c>
      <c r="C120" s="801" t="s">
        <v>1238</v>
      </c>
      <c r="D120" s="289" t="s">
        <v>1136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86"/>
    </row>
    <row r="121" spans="1:13" ht="18.75" customHeight="1">
      <c r="A121" s="286" t="str">
        <f t="shared" si="7"/>
        <v>NL</v>
      </c>
      <c r="B121" s="470">
        <f t="shared" si="11"/>
        <v>104</v>
      </c>
      <c r="C121" s="801" t="s">
        <v>1239</v>
      </c>
      <c r="D121" s="289" t="s">
        <v>1136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86"/>
    </row>
    <row r="122" spans="1:13" ht="18.75" customHeight="1">
      <c r="A122" s="286" t="str">
        <f t="shared" si="7"/>
        <v>NL</v>
      </c>
      <c r="B122" s="470">
        <f t="shared" si="11"/>
        <v>105</v>
      </c>
      <c r="C122" s="801" t="s">
        <v>1240</v>
      </c>
      <c r="D122" s="289" t="s">
        <v>1136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86"/>
    </row>
    <row r="123" spans="1:13" ht="18.75" customHeight="1">
      <c r="A123" s="286" t="str">
        <f t="shared" si="7"/>
        <v>NL</v>
      </c>
      <c r="B123" s="470">
        <f t="shared" si="11"/>
        <v>106</v>
      </c>
      <c r="C123" s="801" t="s">
        <v>1241</v>
      </c>
      <c r="D123" s="289" t="s">
        <v>1136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86"/>
    </row>
    <row r="124" spans="1:13" ht="18.75" customHeight="1">
      <c r="A124" s="286" t="str">
        <f t="shared" si="7"/>
        <v>NL</v>
      </c>
      <c r="B124" s="470">
        <f t="shared" si="11"/>
        <v>107</v>
      </c>
      <c r="C124" s="801" t="s">
        <v>1242</v>
      </c>
      <c r="D124" s="289" t="s">
        <v>1136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86"/>
    </row>
    <row r="125" spans="1:13" ht="18.75" customHeight="1">
      <c r="A125" s="286" t="str">
        <f t="shared" si="7"/>
        <v>NL</v>
      </c>
      <c r="B125" s="470">
        <f t="shared" si="11"/>
        <v>108</v>
      </c>
      <c r="C125" s="801" t="s">
        <v>1243</v>
      </c>
      <c r="D125" s="289" t="s">
        <v>1136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86"/>
    </row>
    <row r="126" spans="1:13" ht="18.75" customHeight="1">
      <c r="A126" s="286" t="str">
        <f t="shared" si="7"/>
        <v>NL</v>
      </c>
      <c r="B126" s="470">
        <f t="shared" si="11"/>
        <v>109</v>
      </c>
      <c r="C126" s="801" t="s">
        <v>1244</v>
      </c>
      <c r="D126" s="289" t="s">
        <v>1136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86"/>
    </row>
    <row r="127" spans="1:13" ht="18.75" customHeight="1">
      <c r="A127" s="286" t="str">
        <f t="shared" si="7"/>
        <v>NL</v>
      </c>
      <c r="B127" s="470">
        <f t="shared" si="11"/>
        <v>110</v>
      </c>
      <c r="C127" s="801" t="s">
        <v>1245</v>
      </c>
      <c r="D127" s="289" t="s">
        <v>1136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86"/>
    </row>
    <row r="128" spans="1:13" ht="18.75" customHeight="1">
      <c r="A128" s="286" t="str">
        <f t="shared" si="7"/>
        <v>NL</v>
      </c>
      <c r="B128" s="470">
        <f t="shared" si="11"/>
        <v>111</v>
      </c>
      <c r="C128" s="801" t="s">
        <v>1246</v>
      </c>
      <c r="D128" s="289" t="s">
        <v>1136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86"/>
    </row>
    <row r="129" spans="1:13" ht="18.75" customHeight="1">
      <c r="A129" s="286" t="str">
        <f t="shared" si="7"/>
        <v>NL</v>
      </c>
      <c r="B129" s="470">
        <f t="shared" si="11"/>
        <v>112</v>
      </c>
      <c r="C129" s="801" t="s">
        <v>1247</v>
      </c>
      <c r="D129" s="289" t="s">
        <v>1136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86"/>
    </row>
    <row r="130" spans="1:13" ht="18.75" customHeight="1">
      <c r="A130" s="286" t="str">
        <f t="shared" si="7"/>
        <v>NL</v>
      </c>
      <c r="B130" s="470">
        <f t="shared" si="11"/>
        <v>113</v>
      </c>
      <c r="C130" s="801" t="s">
        <v>1248</v>
      </c>
      <c r="D130" s="289" t="s">
        <v>1136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86"/>
    </row>
    <row r="131" spans="1:13" ht="18.75" customHeight="1">
      <c r="A131" s="286" t="str">
        <f t="shared" si="7"/>
        <v>NL</v>
      </c>
      <c r="B131" s="470">
        <f t="shared" si="11"/>
        <v>114</v>
      </c>
      <c r="C131" s="801" t="s">
        <v>1259</v>
      </c>
      <c r="D131" s="289" t="s">
        <v>1136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86"/>
    </row>
    <row r="132" spans="1:13" ht="18.75" customHeight="1">
      <c r="A132" s="286" t="str">
        <f t="shared" si="7"/>
        <v>NL</v>
      </c>
      <c r="B132" s="470">
        <f t="shared" si="11"/>
        <v>115</v>
      </c>
      <c r="C132" s="801" t="s">
        <v>1249</v>
      </c>
      <c r="D132" s="289" t="s">
        <v>1136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86"/>
    </row>
    <row r="133" spans="1:13" ht="18.75" customHeight="1">
      <c r="A133" s="286" t="str">
        <f t="shared" ref="A133:A183" si="12">IF(B133&lt;&gt;"","NL","")</f>
        <v>NL</v>
      </c>
      <c r="B133" s="470">
        <f t="shared" ref="B133:B183" si="13">IF(C133&lt;&gt;"",ROW()-17,"")</f>
        <v>116</v>
      </c>
      <c r="C133" s="801" t="s">
        <v>663</v>
      </c>
      <c r="D133" s="289" t="s">
        <v>1136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86"/>
    </row>
    <row r="134" spans="1:13" ht="18.75" customHeight="1">
      <c r="A134" s="286" t="str">
        <f t="shared" si="12"/>
        <v>NL</v>
      </c>
      <c r="B134" s="470">
        <f t="shared" si="13"/>
        <v>117</v>
      </c>
      <c r="C134" s="189" t="s">
        <v>680</v>
      </c>
      <c r="D134" s="289" t="s">
        <v>1136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86"/>
    </row>
    <row r="135" spans="1:13" ht="18.75" customHeight="1">
      <c r="A135" s="286" t="str">
        <f t="shared" si="12"/>
        <v>NL</v>
      </c>
      <c r="B135" s="470">
        <f t="shared" si="13"/>
        <v>118</v>
      </c>
      <c r="C135" s="189" t="s">
        <v>666</v>
      </c>
      <c r="D135" s="289" t="s">
        <v>1136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86"/>
    </row>
    <row r="136" spans="1:13" ht="18.75" customHeight="1">
      <c r="A136" s="286" t="str">
        <f t="shared" si="12"/>
        <v>NL</v>
      </c>
      <c r="B136" s="470">
        <f t="shared" si="13"/>
        <v>119</v>
      </c>
      <c r="C136" s="189" t="s">
        <v>688</v>
      </c>
      <c r="D136" s="289" t="s">
        <v>1136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86"/>
    </row>
    <row r="137" spans="1:13" ht="18" customHeight="1">
      <c r="A137" s="286" t="str">
        <f t="shared" si="12"/>
        <v>NL</v>
      </c>
      <c r="B137" s="470">
        <f t="shared" si="13"/>
        <v>120</v>
      </c>
      <c r="C137" s="189" t="s">
        <v>667</v>
      </c>
      <c r="D137" s="289" t="s">
        <v>1136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86"/>
    </row>
    <row r="138" spans="1:13" ht="18" customHeight="1">
      <c r="A138" s="286" t="str">
        <f t="shared" si="12"/>
        <v>NL</v>
      </c>
      <c r="B138" s="470">
        <f t="shared" si="13"/>
        <v>121</v>
      </c>
      <c r="C138" s="189" t="s">
        <v>685</v>
      </c>
      <c r="D138" s="289" t="s">
        <v>1136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86"/>
    </row>
    <row r="139" spans="1:13" ht="18" customHeight="1">
      <c r="A139" s="286" t="str">
        <f t="shared" si="12"/>
        <v>NL</v>
      </c>
      <c r="B139" s="470">
        <f t="shared" si="13"/>
        <v>122</v>
      </c>
      <c r="C139" s="189" t="s">
        <v>682</v>
      </c>
      <c r="D139" s="289" t="s">
        <v>1136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86"/>
    </row>
    <row r="140" spans="1:13" ht="18" customHeight="1">
      <c r="A140" s="286" t="str">
        <f t="shared" si="12"/>
        <v>NL</v>
      </c>
      <c r="B140" s="470">
        <f t="shared" si="13"/>
        <v>123</v>
      </c>
      <c r="C140" s="189" t="s">
        <v>671</v>
      </c>
      <c r="D140" s="289" t="s">
        <v>1136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86"/>
    </row>
    <row r="141" spans="1:13" ht="18" customHeight="1">
      <c r="A141" s="286" t="str">
        <f t="shared" si="12"/>
        <v>NL</v>
      </c>
      <c r="B141" s="470">
        <f t="shared" si="13"/>
        <v>124</v>
      </c>
      <c r="C141" s="189" t="s">
        <v>669</v>
      </c>
      <c r="D141" s="289" t="s">
        <v>1136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86"/>
    </row>
    <row r="142" spans="1:13" ht="18" customHeight="1">
      <c r="A142" s="286" t="str">
        <f t="shared" si="12"/>
        <v>NL</v>
      </c>
      <c r="B142" s="470">
        <f t="shared" si="13"/>
        <v>125</v>
      </c>
      <c r="C142" s="189" t="s">
        <v>643</v>
      </c>
      <c r="D142" s="289" t="s">
        <v>1136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86"/>
    </row>
    <row r="143" spans="1:13" ht="18" customHeight="1">
      <c r="A143" s="286" t="str">
        <f t="shared" si="12"/>
        <v>NL</v>
      </c>
      <c r="B143" s="470">
        <f t="shared" si="13"/>
        <v>126</v>
      </c>
      <c r="C143" s="186" t="s">
        <v>650</v>
      </c>
      <c r="D143" s="289" t="s">
        <v>1136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86"/>
    </row>
    <row r="144" spans="1:13" ht="18" customHeight="1">
      <c r="A144" s="286" t="str">
        <f t="shared" si="12"/>
        <v>NL</v>
      </c>
      <c r="B144" s="470">
        <f t="shared" si="13"/>
        <v>127</v>
      </c>
      <c r="C144" s="186" t="s">
        <v>652</v>
      </c>
      <c r="D144" s="289" t="s">
        <v>1136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86"/>
    </row>
    <row r="145" spans="1:13" ht="18" customHeight="1">
      <c r="A145" s="286" t="str">
        <f t="shared" si="12"/>
        <v>NL</v>
      </c>
      <c r="B145" s="470">
        <f t="shared" si="13"/>
        <v>128</v>
      </c>
      <c r="C145" s="189" t="s">
        <v>648</v>
      </c>
      <c r="D145" s="289" t="s">
        <v>1136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86"/>
    </row>
    <row r="146" spans="1:13" ht="18" customHeight="1">
      <c r="A146" s="286" t="str">
        <f t="shared" si="12"/>
        <v>NL</v>
      </c>
      <c r="B146" s="470">
        <f t="shared" si="13"/>
        <v>129</v>
      </c>
      <c r="C146" s="189" t="s">
        <v>646</v>
      </c>
      <c r="D146" s="289" t="s">
        <v>1136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86"/>
    </row>
    <row r="147" spans="1:13" ht="18" customHeight="1">
      <c r="A147" s="286" t="str">
        <f t="shared" si="12"/>
        <v>NL</v>
      </c>
      <c r="B147" s="470">
        <f t="shared" si="13"/>
        <v>130</v>
      </c>
      <c r="C147" s="189" t="s">
        <v>581</v>
      </c>
      <c r="D147" s="289" t="s">
        <v>1136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86"/>
    </row>
    <row r="148" spans="1:13" ht="18" customHeight="1">
      <c r="A148" s="286" t="str">
        <f t="shared" si="12"/>
        <v>NL</v>
      </c>
      <c r="B148" s="470">
        <f t="shared" si="13"/>
        <v>131</v>
      </c>
      <c r="C148" s="189" t="s">
        <v>560</v>
      </c>
      <c r="D148" s="289" t="s">
        <v>1136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86"/>
    </row>
    <row r="149" spans="1:13" ht="18" customHeight="1">
      <c r="A149" s="286" t="str">
        <f t="shared" si="12"/>
        <v>NL</v>
      </c>
      <c r="B149" s="470">
        <f t="shared" si="13"/>
        <v>132</v>
      </c>
      <c r="C149" s="186" t="s">
        <v>594</v>
      </c>
      <c r="D149" s="289" t="s">
        <v>1136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86"/>
    </row>
    <row r="150" spans="1:13" ht="18" customHeight="1">
      <c r="A150" s="286" t="str">
        <f t="shared" si="12"/>
        <v>NL</v>
      </c>
      <c r="B150" s="470">
        <f t="shared" si="13"/>
        <v>133</v>
      </c>
      <c r="C150" s="189" t="s">
        <v>596</v>
      </c>
      <c r="D150" s="289" t="s">
        <v>1136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86"/>
    </row>
    <row r="151" spans="1:13" ht="18" customHeight="1">
      <c r="A151" s="286" t="str">
        <f t="shared" si="12"/>
        <v>NL</v>
      </c>
      <c r="B151" s="470">
        <f t="shared" si="13"/>
        <v>134</v>
      </c>
      <c r="C151" s="189" t="s">
        <v>597</v>
      </c>
      <c r="D151" s="289" t="s">
        <v>1136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86"/>
    </row>
    <row r="152" spans="1:13" ht="18" customHeight="1">
      <c r="A152" s="286" t="str">
        <f t="shared" si="12"/>
        <v>NL</v>
      </c>
      <c r="B152" s="470">
        <f t="shared" si="13"/>
        <v>135</v>
      </c>
      <c r="C152" s="189" t="s">
        <v>604</v>
      </c>
      <c r="D152" s="289" t="s">
        <v>1136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86"/>
    </row>
    <row r="153" spans="1:13" ht="18" customHeight="1">
      <c r="A153" s="286" t="str">
        <f t="shared" si="12"/>
        <v>NL</v>
      </c>
      <c r="B153" s="470">
        <f t="shared" si="13"/>
        <v>136</v>
      </c>
      <c r="C153" s="189" t="s">
        <v>561</v>
      </c>
      <c r="D153" s="289" t="s">
        <v>1136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86"/>
    </row>
    <row r="154" spans="1:13" ht="18" customHeight="1">
      <c r="A154" s="286" t="str">
        <f t="shared" si="12"/>
        <v>NL</v>
      </c>
      <c r="B154" s="470">
        <f t="shared" si="13"/>
        <v>137</v>
      </c>
      <c r="C154" s="189" t="s">
        <v>584</v>
      </c>
      <c r="D154" s="289" t="s">
        <v>1136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86"/>
    </row>
    <row r="155" spans="1:13" ht="18" customHeight="1">
      <c r="A155" s="286" t="str">
        <f t="shared" si="12"/>
        <v>NL</v>
      </c>
      <c r="B155" s="470">
        <f t="shared" si="13"/>
        <v>138</v>
      </c>
      <c r="C155" s="189" t="s">
        <v>567</v>
      </c>
      <c r="D155" s="289" t="s">
        <v>1136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86"/>
    </row>
    <row r="156" spans="1:13" ht="18" customHeight="1">
      <c r="A156" s="286" t="str">
        <f t="shared" si="12"/>
        <v>NL</v>
      </c>
      <c r="B156" s="470">
        <f t="shared" si="13"/>
        <v>139</v>
      </c>
      <c r="C156" s="186" t="s">
        <v>579</v>
      </c>
      <c r="D156" s="289" t="s">
        <v>1136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86"/>
    </row>
    <row r="157" spans="1:13" ht="18" customHeight="1">
      <c r="A157" s="286" t="str">
        <f t="shared" si="12"/>
        <v>NL</v>
      </c>
      <c r="B157" s="470">
        <f t="shared" si="13"/>
        <v>140</v>
      </c>
      <c r="C157" s="189" t="s">
        <v>601</v>
      </c>
      <c r="D157" s="289" t="s">
        <v>1136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86"/>
    </row>
    <row r="158" spans="1:13" ht="18" customHeight="1">
      <c r="A158" s="286" t="str">
        <f t="shared" si="12"/>
        <v>NL</v>
      </c>
      <c r="B158" s="470">
        <f t="shared" si="13"/>
        <v>141</v>
      </c>
      <c r="C158" s="189" t="s">
        <v>577</v>
      </c>
      <c r="D158" s="289" t="s">
        <v>1136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86"/>
    </row>
    <row r="159" spans="1:13" ht="18" customHeight="1">
      <c r="A159" s="286" t="str">
        <f t="shared" si="12"/>
        <v>NL</v>
      </c>
      <c r="B159" s="470">
        <f t="shared" si="13"/>
        <v>142</v>
      </c>
      <c r="C159" s="189" t="s">
        <v>556</v>
      </c>
      <c r="D159" s="289" t="s">
        <v>1136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86"/>
    </row>
    <row r="160" spans="1:13" ht="18" customHeight="1">
      <c r="A160" s="286" t="str">
        <f t="shared" si="12"/>
        <v>NL</v>
      </c>
      <c r="B160" s="470">
        <f t="shared" si="13"/>
        <v>143</v>
      </c>
      <c r="C160" s="189" t="s">
        <v>580</v>
      </c>
      <c r="D160" s="289" t="s">
        <v>1136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86"/>
    </row>
    <row r="161" spans="1:13" ht="18" customHeight="1">
      <c r="A161" s="286" t="str">
        <f t="shared" si="12"/>
        <v>NL</v>
      </c>
      <c r="B161" s="470">
        <f t="shared" si="13"/>
        <v>144</v>
      </c>
      <c r="C161" s="290" t="s">
        <v>608</v>
      </c>
      <c r="D161" s="289" t="s">
        <v>1136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86"/>
    </row>
    <row r="162" spans="1:13" ht="18" customHeight="1">
      <c r="A162" s="286" t="str">
        <f t="shared" si="12"/>
        <v>NL</v>
      </c>
      <c r="B162" s="470">
        <f t="shared" si="13"/>
        <v>145</v>
      </c>
      <c r="C162" s="189" t="s">
        <v>572</v>
      </c>
      <c r="D162" s="289" t="s">
        <v>1136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86"/>
    </row>
    <row r="163" spans="1:13" ht="18" customHeight="1">
      <c r="A163" s="286" t="str">
        <f t="shared" si="12"/>
        <v>NL</v>
      </c>
      <c r="B163" s="470">
        <f t="shared" si="13"/>
        <v>146</v>
      </c>
      <c r="C163" s="189" t="s">
        <v>592</v>
      </c>
      <c r="D163" s="289" t="s">
        <v>1136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86"/>
    </row>
    <row r="164" spans="1:13" ht="18" customHeight="1">
      <c r="A164" s="286" t="str">
        <f t="shared" si="12"/>
        <v>NL</v>
      </c>
      <c r="B164" s="470">
        <f t="shared" si="13"/>
        <v>147</v>
      </c>
      <c r="C164" s="189" t="s">
        <v>591</v>
      </c>
      <c r="D164" s="289" t="s">
        <v>1136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86"/>
    </row>
    <row r="165" spans="1:13" ht="18" customHeight="1">
      <c r="A165" s="286" t="str">
        <f t="shared" si="12"/>
        <v>NL</v>
      </c>
      <c r="B165" s="470">
        <f t="shared" si="13"/>
        <v>148</v>
      </c>
      <c r="C165" s="189" t="s">
        <v>574</v>
      </c>
      <c r="D165" s="289" t="s">
        <v>1136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86"/>
    </row>
    <row r="166" spans="1:13" ht="18" customHeight="1">
      <c r="A166" s="286" t="str">
        <f t="shared" si="12"/>
        <v>NL</v>
      </c>
      <c r="B166" s="470">
        <f t="shared" si="13"/>
        <v>149</v>
      </c>
      <c r="C166" s="189" t="s">
        <v>563</v>
      </c>
      <c r="D166" s="289" t="s">
        <v>1136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86"/>
    </row>
    <row r="167" spans="1:13" ht="18" customHeight="1">
      <c r="A167" s="286" t="str">
        <f t="shared" si="12"/>
        <v>NL</v>
      </c>
      <c r="B167" s="470">
        <f t="shared" si="13"/>
        <v>150</v>
      </c>
      <c r="C167" s="189" t="s">
        <v>583</v>
      </c>
      <c r="D167" s="289" t="s">
        <v>1136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86"/>
    </row>
    <row r="168" spans="1:13" ht="18" customHeight="1">
      <c r="A168" s="286" t="str">
        <f t="shared" si="12"/>
        <v>NL</v>
      </c>
      <c r="B168" s="470">
        <f t="shared" si="13"/>
        <v>151</v>
      </c>
      <c r="C168" s="189" t="s">
        <v>603</v>
      </c>
      <c r="D168" s="289" t="s">
        <v>1136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86"/>
    </row>
    <row r="169" spans="1:13" ht="18" customHeight="1">
      <c r="A169" s="286" t="str">
        <f t="shared" si="12"/>
        <v>NL</v>
      </c>
      <c r="B169" s="470">
        <f t="shared" si="13"/>
        <v>152</v>
      </c>
      <c r="C169" s="189" t="s">
        <v>571</v>
      </c>
      <c r="D169" s="289" t="s">
        <v>1136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86"/>
    </row>
    <row r="170" spans="1:13" ht="18" customHeight="1">
      <c r="A170" s="286" t="str">
        <f t="shared" si="12"/>
        <v>NL</v>
      </c>
      <c r="B170" s="470">
        <f t="shared" si="13"/>
        <v>153</v>
      </c>
      <c r="C170" s="189" t="s">
        <v>593</v>
      </c>
      <c r="D170" s="289" t="s">
        <v>1136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86"/>
    </row>
    <row r="171" spans="1:13" ht="18" customHeight="1">
      <c r="A171" s="286" t="str">
        <f t="shared" si="12"/>
        <v>NL</v>
      </c>
      <c r="B171" s="470">
        <f t="shared" si="13"/>
        <v>154</v>
      </c>
      <c r="C171" s="189" t="s">
        <v>586</v>
      </c>
      <c r="D171" s="289" t="s">
        <v>1136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86"/>
    </row>
    <row r="172" spans="1:13" ht="18" customHeight="1">
      <c r="A172" s="286" t="str">
        <f t="shared" si="12"/>
        <v>NL</v>
      </c>
      <c r="B172" s="470">
        <f t="shared" si="13"/>
        <v>155</v>
      </c>
      <c r="C172" s="189" t="s">
        <v>599</v>
      </c>
      <c r="D172" s="289" t="s">
        <v>1136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86"/>
    </row>
    <row r="173" spans="1:13" ht="18" customHeight="1">
      <c r="A173" s="286" t="str">
        <f t="shared" si="12"/>
        <v>NL</v>
      </c>
      <c r="B173" s="470">
        <f t="shared" si="13"/>
        <v>156</v>
      </c>
      <c r="C173" s="186" t="s">
        <v>585</v>
      </c>
      <c r="D173" s="289" t="s">
        <v>1136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86"/>
    </row>
    <row r="174" spans="1:13" ht="18" customHeight="1">
      <c r="A174" s="286" t="str">
        <f t="shared" si="12"/>
        <v>NL</v>
      </c>
      <c r="B174" s="470">
        <f t="shared" si="13"/>
        <v>157</v>
      </c>
      <c r="C174" s="189" t="s">
        <v>555</v>
      </c>
      <c r="D174" s="289" t="s">
        <v>1136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86"/>
    </row>
    <row r="175" spans="1:13" ht="18" customHeight="1">
      <c r="A175" s="286" t="str">
        <f t="shared" si="12"/>
        <v>NL</v>
      </c>
      <c r="B175" s="470">
        <f t="shared" si="13"/>
        <v>158</v>
      </c>
      <c r="C175" s="189" t="s">
        <v>558</v>
      </c>
      <c r="D175" s="289" t="s">
        <v>1136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86"/>
    </row>
    <row r="176" spans="1:13" ht="18" customHeight="1">
      <c r="A176" s="286" t="str">
        <f t="shared" si="12"/>
        <v>NL</v>
      </c>
      <c r="B176" s="470">
        <f t="shared" si="13"/>
        <v>159</v>
      </c>
      <c r="C176" s="189" t="s">
        <v>569</v>
      </c>
      <c r="D176" s="289" t="s">
        <v>1136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86"/>
    </row>
    <row r="177" spans="1:13" ht="18" customHeight="1">
      <c r="A177" s="286" t="str">
        <f t="shared" si="12"/>
        <v>NL</v>
      </c>
      <c r="B177" s="470">
        <f t="shared" si="13"/>
        <v>160</v>
      </c>
      <c r="C177" s="189" t="s">
        <v>568</v>
      </c>
      <c r="D177" s="289" t="s">
        <v>1136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86"/>
    </row>
    <row r="178" spans="1:13" ht="18" customHeight="1">
      <c r="A178" s="286" t="str">
        <f t="shared" si="12"/>
        <v>NL</v>
      </c>
      <c r="B178" s="470">
        <f t="shared" si="13"/>
        <v>161</v>
      </c>
      <c r="C178" s="189" t="s">
        <v>552</v>
      </c>
      <c r="D178" s="289" t="s">
        <v>1136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86"/>
    </row>
    <row r="179" spans="1:13" ht="18" customHeight="1">
      <c r="A179" s="286" t="str">
        <f t="shared" si="12"/>
        <v>NL</v>
      </c>
      <c r="B179" s="470">
        <f t="shared" si="13"/>
        <v>162</v>
      </c>
      <c r="C179" s="189" t="s">
        <v>588</v>
      </c>
      <c r="D179" s="289" t="s">
        <v>1136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86"/>
    </row>
    <row r="180" spans="1:13" ht="18" customHeight="1">
      <c r="A180" s="286" t="str">
        <f t="shared" si="12"/>
        <v>NL</v>
      </c>
      <c r="B180" s="470">
        <f t="shared" si="13"/>
        <v>163</v>
      </c>
      <c r="C180" s="189" t="s">
        <v>605</v>
      </c>
      <c r="D180" s="289" t="s">
        <v>1136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86"/>
    </row>
    <row r="181" spans="1:13" ht="18" customHeight="1">
      <c r="A181" s="286" t="str">
        <f t="shared" si="12"/>
        <v>NL</v>
      </c>
      <c r="B181" s="470">
        <f t="shared" si="13"/>
        <v>164</v>
      </c>
      <c r="C181" s="189" t="s">
        <v>587</v>
      </c>
      <c r="D181" s="289" t="s">
        <v>1136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86"/>
    </row>
    <row r="182" spans="1:13" ht="18" customHeight="1">
      <c r="A182" s="286" t="str">
        <f t="shared" si="12"/>
        <v>NL</v>
      </c>
      <c r="B182" s="470">
        <f t="shared" si="13"/>
        <v>165</v>
      </c>
      <c r="C182" s="290" t="s">
        <v>565</v>
      </c>
      <c r="D182" s="289" t="s">
        <v>1136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86"/>
    </row>
    <row r="183" spans="1:13" ht="18" customHeight="1">
      <c r="A183" s="286" t="str">
        <f t="shared" si="12"/>
        <v>NL</v>
      </c>
      <c r="B183" s="470">
        <f t="shared" si="13"/>
        <v>166</v>
      </c>
      <c r="C183" s="189" t="s">
        <v>589</v>
      </c>
      <c r="D183" s="289" t="s">
        <v>1136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86"/>
    </row>
    <row r="184" spans="1:13" ht="18" customHeight="1">
      <c r="A184" s="286" t="str">
        <f t="shared" ref="A184:A212" si="20">IF(B184&lt;&gt;"","NL","")</f>
        <v>NL</v>
      </c>
      <c r="B184" s="470">
        <f t="shared" ref="B184:B216" si="21">IF(C184&lt;&gt;"",ROW()-17,"")</f>
        <v>167</v>
      </c>
      <c r="C184" s="189" t="s">
        <v>575</v>
      </c>
      <c r="D184" s="289" t="s">
        <v>1136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86"/>
    </row>
    <row r="185" spans="1:13" ht="18" customHeight="1">
      <c r="A185" s="286" t="str">
        <f t="shared" si="20"/>
        <v>NL</v>
      </c>
      <c r="B185" s="470">
        <f t="shared" si="21"/>
        <v>168</v>
      </c>
      <c r="C185" s="189" t="s">
        <v>566</v>
      </c>
      <c r="D185" s="289" t="s">
        <v>1136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86"/>
    </row>
    <row r="186" spans="1:13" ht="18" customHeight="1">
      <c r="A186" s="286" t="str">
        <f t="shared" si="20"/>
        <v>NL</v>
      </c>
      <c r="B186" s="470">
        <f t="shared" si="21"/>
        <v>169</v>
      </c>
      <c r="C186" s="189" t="s">
        <v>654</v>
      </c>
      <c r="D186" s="289" t="s">
        <v>1136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86"/>
    </row>
    <row r="187" spans="1:13" ht="18" customHeight="1">
      <c r="A187" s="286" t="str">
        <f t="shared" si="20"/>
        <v>NL</v>
      </c>
      <c r="B187" s="470">
        <f t="shared" si="21"/>
        <v>170</v>
      </c>
      <c r="C187" s="189" t="s">
        <v>657</v>
      </c>
      <c r="D187" s="289" t="s">
        <v>1136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86"/>
    </row>
    <row r="188" spans="1:13" ht="18" customHeight="1">
      <c r="A188" s="286" t="str">
        <f t="shared" si="20"/>
        <v>NL</v>
      </c>
      <c r="B188" s="470">
        <f t="shared" si="21"/>
        <v>171</v>
      </c>
      <c r="C188" s="186" t="s">
        <v>642</v>
      </c>
      <c r="D188" s="289" t="s">
        <v>1136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86"/>
    </row>
    <row r="189" spans="1:13" ht="18" customHeight="1">
      <c r="A189" s="286" t="str">
        <f t="shared" si="20"/>
        <v>NL</v>
      </c>
      <c r="B189" s="470">
        <f t="shared" si="21"/>
        <v>172</v>
      </c>
      <c r="C189" s="189" t="s">
        <v>639</v>
      </c>
      <c r="D189" s="289" t="s">
        <v>1136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86"/>
    </row>
    <row r="190" spans="1:13" ht="18" customHeight="1">
      <c r="A190" s="286" t="str">
        <f t="shared" si="20"/>
        <v>NL</v>
      </c>
      <c r="B190" s="470">
        <f t="shared" si="21"/>
        <v>173</v>
      </c>
      <c r="C190" s="189" t="s">
        <v>615</v>
      </c>
      <c r="D190" s="289" t="s">
        <v>1136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86"/>
    </row>
    <row r="191" spans="1:13" ht="18" customHeight="1">
      <c r="A191" s="286" t="str">
        <f t="shared" si="20"/>
        <v>NL</v>
      </c>
      <c r="B191" s="470">
        <f t="shared" si="21"/>
        <v>174</v>
      </c>
      <c r="C191" s="189" t="s">
        <v>617</v>
      </c>
      <c r="D191" s="289" t="s">
        <v>1136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86"/>
    </row>
    <row r="192" spans="1:13" ht="18" customHeight="1">
      <c r="A192" s="286" t="str">
        <f t="shared" si="20"/>
        <v>NL</v>
      </c>
      <c r="B192" s="470">
        <f t="shared" si="21"/>
        <v>175</v>
      </c>
      <c r="C192" s="189" t="s">
        <v>633</v>
      </c>
      <c r="D192" s="289" t="s">
        <v>1136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86"/>
    </row>
    <row r="193" spans="1:13" ht="18" customHeight="1">
      <c r="A193" s="286" t="str">
        <f t="shared" si="20"/>
        <v>NL</v>
      </c>
      <c r="B193" s="470">
        <f t="shared" si="21"/>
        <v>176</v>
      </c>
      <c r="C193" s="189" t="s">
        <v>631</v>
      </c>
      <c r="D193" s="289" t="s">
        <v>1136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86"/>
    </row>
    <row r="194" spans="1:13" ht="18" customHeight="1">
      <c r="A194" s="286" t="str">
        <f t="shared" si="20"/>
        <v>NL</v>
      </c>
      <c r="B194" s="470">
        <f t="shared" si="21"/>
        <v>177</v>
      </c>
      <c r="C194" s="189" t="s">
        <v>613</v>
      </c>
      <c r="D194" s="289" t="s">
        <v>1136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86"/>
    </row>
    <row r="195" spans="1:13" ht="18" customHeight="1">
      <c r="A195" s="286" t="str">
        <f t="shared" si="20"/>
        <v>NL</v>
      </c>
      <c r="B195" s="470">
        <f t="shared" si="21"/>
        <v>178</v>
      </c>
      <c r="C195" s="189" t="s">
        <v>637</v>
      </c>
      <c r="D195" s="289" t="s">
        <v>1136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86"/>
    </row>
    <row r="196" spans="1:13" ht="18" customHeight="1">
      <c r="A196" s="286" t="str">
        <f t="shared" si="20"/>
        <v>NL</v>
      </c>
      <c r="B196" s="470">
        <f t="shared" si="21"/>
        <v>179</v>
      </c>
      <c r="C196" s="189" t="s">
        <v>623</v>
      </c>
      <c r="D196" s="289" t="s">
        <v>1136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86"/>
    </row>
    <row r="197" spans="1:13" ht="18" customHeight="1">
      <c r="A197" s="286" t="str">
        <f t="shared" si="20"/>
        <v>NL</v>
      </c>
      <c r="B197" s="470">
        <f t="shared" si="21"/>
        <v>180</v>
      </c>
      <c r="C197" s="189" t="s">
        <v>632</v>
      </c>
      <c r="D197" s="289" t="s">
        <v>1136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86"/>
    </row>
    <row r="198" spans="1:13" ht="18" customHeight="1">
      <c r="A198" s="286" t="str">
        <f t="shared" si="20"/>
        <v>NL</v>
      </c>
      <c r="B198" s="470">
        <f t="shared" si="21"/>
        <v>181</v>
      </c>
      <c r="C198" s="189" t="s">
        <v>634</v>
      </c>
      <c r="D198" s="289" t="s">
        <v>1136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86"/>
    </row>
    <row r="199" spans="1:13" ht="18" customHeight="1">
      <c r="A199" s="286" t="str">
        <f t="shared" si="20"/>
        <v>NL</v>
      </c>
      <c r="B199" s="470">
        <f t="shared" si="21"/>
        <v>182</v>
      </c>
      <c r="C199" s="189" t="s">
        <v>630</v>
      </c>
      <c r="D199" s="289" t="s">
        <v>1136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86"/>
    </row>
    <row r="200" spans="1:13" ht="18" customHeight="1">
      <c r="A200" s="286" t="str">
        <f t="shared" si="20"/>
        <v>NL</v>
      </c>
      <c r="B200" s="470">
        <f t="shared" si="21"/>
        <v>183</v>
      </c>
      <c r="C200" s="290" t="s">
        <v>622</v>
      </c>
      <c r="D200" s="289" t="s">
        <v>1136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86"/>
    </row>
    <row r="201" spans="1:13" ht="18" customHeight="1">
      <c r="A201" s="286" t="str">
        <f t="shared" si="20"/>
        <v>NL</v>
      </c>
      <c r="B201" s="470">
        <f t="shared" si="21"/>
        <v>184</v>
      </c>
      <c r="C201" s="189" t="s">
        <v>620</v>
      </c>
      <c r="D201" s="289" t="s">
        <v>1136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86"/>
    </row>
    <row r="202" spans="1:13" ht="18" customHeight="1">
      <c r="A202" s="286" t="str">
        <f t="shared" si="20"/>
        <v>NL</v>
      </c>
      <c r="B202" s="470">
        <f t="shared" si="21"/>
        <v>185</v>
      </c>
      <c r="C202" s="189" t="s">
        <v>636</v>
      </c>
      <c r="D202" s="289" t="s">
        <v>1136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86"/>
    </row>
    <row r="203" spans="1:13" ht="18" customHeight="1">
      <c r="A203" s="286" t="str">
        <f t="shared" si="20"/>
        <v>NL</v>
      </c>
      <c r="B203" s="470">
        <f t="shared" si="21"/>
        <v>186</v>
      </c>
      <c r="C203" s="189" t="s">
        <v>618</v>
      </c>
      <c r="D203" s="289" t="s">
        <v>1136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86"/>
    </row>
    <row r="204" spans="1:13" ht="18" customHeight="1">
      <c r="A204" s="286" t="str">
        <f t="shared" si="20"/>
        <v>NL</v>
      </c>
      <c r="B204" s="470">
        <f t="shared" si="21"/>
        <v>187</v>
      </c>
      <c r="C204" s="189" t="s">
        <v>640</v>
      </c>
      <c r="D204" s="289" t="s">
        <v>1136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86"/>
    </row>
    <row r="205" spans="1:13" ht="18" customHeight="1">
      <c r="A205" s="286" t="str">
        <f t="shared" si="20"/>
        <v>NL</v>
      </c>
      <c r="B205" s="470">
        <f t="shared" si="21"/>
        <v>188</v>
      </c>
      <c r="C205" s="189" t="s">
        <v>614</v>
      </c>
      <c r="D205" s="289" t="s">
        <v>1136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86"/>
    </row>
    <row r="206" spans="1:13" ht="18" customHeight="1">
      <c r="A206" s="286" t="str">
        <f t="shared" si="20"/>
        <v>NL</v>
      </c>
      <c r="B206" s="470">
        <f t="shared" si="21"/>
        <v>189</v>
      </c>
      <c r="C206" s="189" t="s">
        <v>628</v>
      </c>
      <c r="D206" s="289" t="s">
        <v>1136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86"/>
    </row>
    <row r="207" spans="1:13" ht="18" customHeight="1">
      <c r="A207" s="286" t="str">
        <f t="shared" si="20"/>
        <v>NL</v>
      </c>
      <c r="B207" s="470">
        <f t="shared" si="21"/>
        <v>190</v>
      </c>
      <c r="C207" s="189" t="s">
        <v>625</v>
      </c>
      <c r="D207" s="289" t="s">
        <v>1136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86"/>
    </row>
    <row r="208" spans="1:13" ht="18" customHeight="1">
      <c r="A208" s="286" t="str">
        <f t="shared" si="20"/>
        <v>NL</v>
      </c>
      <c r="B208" s="470">
        <f t="shared" si="21"/>
        <v>191</v>
      </c>
      <c r="C208" s="189" t="s">
        <v>626</v>
      </c>
      <c r="D208" s="289" t="s">
        <v>1136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86"/>
    </row>
    <row r="209" spans="1:13" ht="18" customHeight="1">
      <c r="A209" s="286" t="str">
        <f t="shared" si="20"/>
        <v>NL</v>
      </c>
      <c r="B209" s="470">
        <f t="shared" si="21"/>
        <v>192</v>
      </c>
      <c r="C209" s="189" t="s">
        <v>619</v>
      </c>
      <c r="D209" s="289" t="s">
        <v>1136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86"/>
    </row>
    <row r="210" spans="1:13" ht="18" customHeight="1">
      <c r="A210" s="286" t="str">
        <f t="shared" si="20"/>
        <v>NL</v>
      </c>
      <c r="B210" s="470">
        <f t="shared" si="21"/>
        <v>193</v>
      </c>
      <c r="C210" s="189" t="s">
        <v>610</v>
      </c>
      <c r="D210" s="289" t="s">
        <v>1136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86"/>
    </row>
    <row r="211" spans="1:13" ht="18" customHeight="1">
      <c r="A211" s="286" t="str">
        <f t="shared" si="20"/>
        <v>NL</v>
      </c>
      <c r="B211" s="470">
        <f t="shared" si="21"/>
        <v>194</v>
      </c>
      <c r="C211" s="189" t="s">
        <v>624</v>
      </c>
      <c r="D211" s="289" t="s">
        <v>1136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86"/>
    </row>
    <row r="212" spans="1:13" ht="18" customHeight="1">
      <c r="A212" s="286" t="str">
        <f t="shared" si="20"/>
        <v>NL</v>
      </c>
      <c r="B212" s="470">
        <f t="shared" si="21"/>
        <v>195</v>
      </c>
      <c r="C212" s="186" t="s">
        <v>677</v>
      </c>
      <c r="D212" s="289" t="s">
        <v>1136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86"/>
    </row>
    <row r="213" spans="1:13" ht="18" customHeight="1">
      <c r="A213" s="286" t="str">
        <f t="shared" ref="A213:A216" si="24">IF(B213&lt;&gt;"","NL","")</f>
        <v>NL</v>
      </c>
      <c r="B213" s="470">
        <f t="shared" si="21"/>
        <v>196</v>
      </c>
      <c r="C213" s="189" t="s">
        <v>675</v>
      </c>
      <c r="D213" s="289" t="s">
        <v>1136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86"/>
    </row>
    <row r="214" spans="1:13" ht="18" customHeight="1">
      <c r="A214" s="286" t="str">
        <f t="shared" si="24"/>
        <v>NL</v>
      </c>
      <c r="B214" s="470">
        <f t="shared" si="21"/>
        <v>197</v>
      </c>
      <c r="C214" s="189" t="s">
        <v>672</v>
      </c>
      <c r="D214" s="289" t="s">
        <v>1136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86"/>
    </row>
    <row r="215" spans="1:13" ht="18" customHeight="1">
      <c r="A215" s="286" t="str">
        <f t="shared" si="24"/>
        <v>NL</v>
      </c>
      <c r="B215" s="470">
        <f t="shared" si="21"/>
        <v>198</v>
      </c>
      <c r="C215" s="189" t="s">
        <v>678</v>
      </c>
      <c r="D215" s="289" t="s">
        <v>1136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86"/>
    </row>
    <row r="216" spans="1:13" ht="19.5" customHeight="1">
      <c r="A216" s="286" t="str">
        <f t="shared" si="24"/>
        <v/>
      </c>
      <c r="B216" s="470" t="str">
        <f t="shared" si="21"/>
        <v/>
      </c>
      <c r="C216" s="295"/>
      <c r="D216" s="296"/>
      <c r="E216" s="297"/>
      <c r="F216" s="297"/>
      <c r="G216" s="297"/>
      <c r="H216" s="297"/>
      <c r="I216" s="297"/>
      <c r="J216" s="297"/>
      <c r="K216" s="8"/>
      <c r="L216" s="8"/>
      <c r="M216" s="286"/>
    </row>
    <row r="217" spans="1:13" ht="19.5" customHeight="1">
      <c r="A217" s="286" t="str">
        <f t="shared" ref="A217" si="25">IF(B217&lt;&gt;"","NL","")</f>
        <v/>
      </c>
      <c r="B217" s="285"/>
      <c r="C217" s="294" t="s">
        <v>348</v>
      </c>
      <c r="D217" s="285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86"/>
    </row>
    <row r="218" spans="1:13" ht="19.5" customHeight="1">
      <c r="A218" s="286"/>
      <c r="B218" s="471"/>
      <c r="C218" s="472"/>
      <c r="D218" s="471"/>
      <c r="E218" s="473"/>
      <c r="F218" s="473">
        <f>F217-CDPS!C19</f>
        <v>0</v>
      </c>
      <c r="G218" s="473"/>
      <c r="H218" s="473">
        <f>H217-CDPS!E19</f>
        <v>0</v>
      </c>
      <c r="I218" s="473"/>
      <c r="J218" s="473">
        <f>J217-CDPS!F19</f>
        <v>0</v>
      </c>
      <c r="K218" s="473"/>
      <c r="L218" s="473">
        <f>L217-CDPS!G19</f>
        <v>0</v>
      </c>
      <c r="M218" s="286"/>
    </row>
    <row r="219" spans="1:13" ht="19.5" customHeight="1">
      <c r="A219" s="286" t="str">
        <f t="shared" ref="A219:A250" si="27">IF(B219&lt;&gt;"","TP","")</f>
        <v>TP</v>
      </c>
      <c r="B219" s="299">
        <f t="shared" ref="B219:B250" si="28">IF(C219&lt;&gt;"",B218+1,"")</f>
        <v>1</v>
      </c>
      <c r="C219" s="189" t="s">
        <v>1103</v>
      </c>
      <c r="D219" s="298" t="s">
        <v>1299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86"/>
    </row>
    <row r="220" spans="1:13" ht="19.5" customHeight="1">
      <c r="A220" s="286" t="str">
        <f t="shared" si="27"/>
        <v>TP</v>
      </c>
      <c r="B220" s="299">
        <f t="shared" si="28"/>
        <v>2</v>
      </c>
      <c r="C220" s="189" t="s">
        <v>704</v>
      </c>
      <c r="D220" s="298" t="s">
        <v>1136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86"/>
    </row>
    <row r="221" spans="1:13" ht="18" customHeight="1">
      <c r="A221" s="286" t="str">
        <f t="shared" si="27"/>
        <v>TP</v>
      </c>
      <c r="B221" s="299">
        <f t="shared" si="28"/>
        <v>3</v>
      </c>
      <c r="C221" s="189" t="s">
        <v>706</v>
      </c>
      <c r="D221" s="298" t="s">
        <v>1136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86"/>
    </row>
    <row r="222" spans="1:13" ht="18" customHeight="1">
      <c r="A222" s="286" t="str">
        <f t="shared" si="27"/>
        <v>TP</v>
      </c>
      <c r="B222" s="299">
        <f t="shared" si="28"/>
        <v>4</v>
      </c>
      <c r="C222" s="189" t="s">
        <v>705</v>
      </c>
      <c r="D222" s="298" t="s">
        <v>1136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86"/>
    </row>
    <row r="223" spans="1:13" ht="18.75" customHeight="1">
      <c r="A223" s="286" t="str">
        <f t="shared" si="27"/>
        <v>TP</v>
      </c>
      <c r="B223" s="299">
        <f t="shared" si="28"/>
        <v>5</v>
      </c>
      <c r="C223" s="189" t="s">
        <v>703</v>
      </c>
      <c r="D223" s="298" t="s">
        <v>1136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86"/>
    </row>
    <row r="224" spans="1:13" ht="18.75" customHeight="1">
      <c r="A224" s="286" t="str">
        <f t="shared" si="27"/>
        <v>TP</v>
      </c>
      <c r="B224" s="299">
        <f t="shared" si="28"/>
        <v>6</v>
      </c>
      <c r="C224" s="189" t="s">
        <v>768</v>
      </c>
      <c r="D224" s="298" t="s">
        <v>1136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86"/>
    </row>
    <row r="225" spans="1:13" ht="18.75" customHeight="1">
      <c r="A225" s="286" t="str">
        <f t="shared" si="27"/>
        <v>TP</v>
      </c>
      <c r="B225" s="299">
        <f t="shared" si="28"/>
        <v>7</v>
      </c>
      <c r="C225" s="189" t="s">
        <v>786</v>
      </c>
      <c r="D225" s="298" t="s">
        <v>1136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86"/>
    </row>
    <row r="226" spans="1:13" ht="18.75" customHeight="1">
      <c r="A226" s="286" t="str">
        <f t="shared" si="27"/>
        <v>TP</v>
      </c>
      <c r="B226" s="299">
        <f t="shared" si="28"/>
        <v>8</v>
      </c>
      <c r="C226" s="189" t="s">
        <v>854</v>
      </c>
      <c r="D226" s="298" t="s">
        <v>1299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86"/>
    </row>
    <row r="227" spans="1:13" ht="18.75" customHeight="1">
      <c r="A227" s="286" t="str">
        <f t="shared" si="27"/>
        <v>TP</v>
      </c>
      <c r="B227" s="299">
        <f t="shared" si="28"/>
        <v>9</v>
      </c>
      <c r="C227" s="189" t="s">
        <v>877</v>
      </c>
      <c r="D227" s="298" t="s">
        <v>1299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86"/>
    </row>
    <row r="228" spans="1:13" ht="18.75" customHeight="1">
      <c r="A228" s="286" t="str">
        <f t="shared" si="27"/>
        <v>TP</v>
      </c>
      <c r="B228" s="299">
        <f t="shared" si="28"/>
        <v>10</v>
      </c>
      <c r="C228" s="189" t="s">
        <v>844</v>
      </c>
      <c r="D228" s="298" t="s">
        <v>1299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86"/>
    </row>
    <row r="229" spans="1:13" ht="18.75" customHeight="1">
      <c r="A229" s="286" t="str">
        <f t="shared" si="27"/>
        <v>TP</v>
      </c>
      <c r="B229" s="299">
        <f t="shared" si="28"/>
        <v>11</v>
      </c>
      <c r="C229" s="189" t="s">
        <v>985</v>
      </c>
      <c r="D229" s="298" t="s">
        <v>1299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86"/>
    </row>
    <row r="230" spans="1:13" ht="18.75" customHeight="1">
      <c r="A230" s="286" t="str">
        <f t="shared" si="27"/>
        <v>TP</v>
      </c>
      <c r="B230" s="299">
        <f t="shared" si="28"/>
        <v>12</v>
      </c>
      <c r="C230" s="189" t="s">
        <v>847</v>
      </c>
      <c r="D230" s="298" t="s">
        <v>1299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86"/>
    </row>
    <row r="231" spans="1:13" ht="18.75" customHeight="1">
      <c r="A231" s="286" t="str">
        <f t="shared" si="27"/>
        <v>TP</v>
      </c>
      <c r="B231" s="299">
        <f t="shared" si="28"/>
        <v>13</v>
      </c>
      <c r="C231" s="189" t="s">
        <v>987</v>
      </c>
      <c r="D231" s="298" t="s">
        <v>1299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86"/>
    </row>
    <row r="232" spans="1:13" ht="18.75" customHeight="1">
      <c r="A232" s="286" t="str">
        <f t="shared" si="27"/>
        <v>TP</v>
      </c>
      <c r="B232" s="299">
        <f t="shared" si="28"/>
        <v>14</v>
      </c>
      <c r="C232" s="189" t="s">
        <v>848</v>
      </c>
      <c r="D232" s="298" t="s">
        <v>1299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86"/>
    </row>
    <row r="233" spans="1:13" ht="18.75" customHeight="1">
      <c r="A233" s="286" t="str">
        <f t="shared" si="27"/>
        <v>TP</v>
      </c>
      <c r="B233" s="299">
        <f t="shared" si="28"/>
        <v>15</v>
      </c>
      <c r="C233" s="189" t="s">
        <v>849</v>
      </c>
      <c r="D233" s="298" t="s">
        <v>1299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86"/>
    </row>
    <row r="234" spans="1:13" ht="18.75" customHeight="1">
      <c r="A234" s="286" t="str">
        <f t="shared" si="27"/>
        <v>TP</v>
      </c>
      <c r="B234" s="299">
        <f t="shared" si="28"/>
        <v>16</v>
      </c>
      <c r="C234" s="189" t="s">
        <v>752</v>
      </c>
      <c r="D234" s="298" t="s">
        <v>1299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86"/>
    </row>
    <row r="235" spans="1:13" ht="18.75" customHeight="1">
      <c r="A235" s="286" t="str">
        <f t="shared" si="27"/>
        <v>TP</v>
      </c>
      <c r="B235" s="299">
        <f t="shared" si="28"/>
        <v>17</v>
      </c>
      <c r="C235" s="189" t="s">
        <v>753</v>
      </c>
      <c r="D235" s="298" t="s">
        <v>1299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86"/>
    </row>
    <row r="236" spans="1:13" ht="18.75" customHeight="1">
      <c r="A236" s="286" t="str">
        <f t="shared" si="27"/>
        <v>TP</v>
      </c>
      <c r="B236" s="299">
        <f t="shared" si="28"/>
        <v>18</v>
      </c>
      <c r="C236" s="189" t="s">
        <v>850</v>
      </c>
      <c r="D236" s="298" t="s">
        <v>1299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86"/>
    </row>
    <row r="237" spans="1:13" ht="18.75" customHeight="1">
      <c r="A237" s="286" t="str">
        <f t="shared" si="27"/>
        <v>TP</v>
      </c>
      <c r="B237" s="299">
        <f t="shared" si="28"/>
        <v>19</v>
      </c>
      <c r="C237" s="189" t="s">
        <v>989</v>
      </c>
      <c r="D237" s="298" t="s">
        <v>1299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86"/>
    </row>
    <row r="238" spans="1:13" ht="18.75" customHeight="1">
      <c r="A238" s="286" t="str">
        <f t="shared" si="27"/>
        <v>TP</v>
      </c>
      <c r="B238" s="299">
        <f t="shared" si="28"/>
        <v>20</v>
      </c>
      <c r="C238" s="189" t="s">
        <v>692</v>
      </c>
      <c r="D238" s="298" t="s">
        <v>1299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86"/>
    </row>
    <row r="239" spans="1:13" ht="18.75" customHeight="1">
      <c r="A239" s="286" t="str">
        <f t="shared" si="27"/>
        <v>TP</v>
      </c>
      <c r="B239" s="299">
        <f t="shared" si="28"/>
        <v>21</v>
      </c>
      <c r="C239" s="189" t="s">
        <v>1104</v>
      </c>
      <c r="D239" s="298" t="s">
        <v>1299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86"/>
    </row>
    <row r="240" spans="1:13" ht="18.75" customHeight="1">
      <c r="A240" s="286" t="str">
        <f t="shared" si="27"/>
        <v>TP</v>
      </c>
      <c r="B240" s="299">
        <f t="shared" si="28"/>
        <v>22</v>
      </c>
      <c r="C240" s="189" t="s">
        <v>772</v>
      </c>
      <c r="D240" s="298" t="s">
        <v>1299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86"/>
    </row>
    <row r="241" spans="1:13" ht="18.75" customHeight="1">
      <c r="A241" s="286" t="str">
        <f t="shared" si="27"/>
        <v>TP</v>
      </c>
      <c r="B241" s="299">
        <f t="shared" si="28"/>
        <v>23</v>
      </c>
      <c r="C241" s="189" t="s">
        <v>990</v>
      </c>
      <c r="D241" s="298" t="s">
        <v>1299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86"/>
    </row>
    <row r="242" spans="1:13" ht="18.75" customHeight="1">
      <c r="A242" s="286" t="str">
        <f t="shared" si="27"/>
        <v>TP</v>
      </c>
      <c r="B242" s="299">
        <f t="shared" si="28"/>
        <v>24</v>
      </c>
      <c r="C242" s="189" t="s">
        <v>775</v>
      </c>
      <c r="D242" s="298" t="s">
        <v>1299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86"/>
    </row>
    <row r="243" spans="1:13" ht="18.75" customHeight="1">
      <c r="A243" s="286" t="str">
        <f t="shared" si="27"/>
        <v>TP</v>
      </c>
      <c r="B243" s="299">
        <f t="shared" si="28"/>
        <v>25</v>
      </c>
      <c r="C243" s="189" t="s">
        <v>813</v>
      </c>
      <c r="D243" s="298" t="s">
        <v>1299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86"/>
    </row>
    <row r="244" spans="1:13" ht="18.75" customHeight="1">
      <c r="A244" s="286" t="str">
        <f t="shared" si="27"/>
        <v>TP</v>
      </c>
      <c r="B244" s="299">
        <f t="shared" si="28"/>
        <v>26</v>
      </c>
      <c r="C244" s="189" t="s">
        <v>1105</v>
      </c>
      <c r="D244" s="298" t="s">
        <v>1299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86"/>
    </row>
    <row r="245" spans="1:13" ht="18.75" customHeight="1">
      <c r="A245" s="286" t="str">
        <f t="shared" si="27"/>
        <v>TP</v>
      </c>
      <c r="B245" s="299">
        <f t="shared" si="28"/>
        <v>27</v>
      </c>
      <c r="C245" s="189" t="s">
        <v>1106</v>
      </c>
      <c r="D245" s="298" t="s">
        <v>1299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86"/>
    </row>
    <row r="246" spans="1:13" ht="18.75" customHeight="1">
      <c r="A246" s="286" t="str">
        <f t="shared" si="27"/>
        <v>TP</v>
      </c>
      <c r="B246" s="299">
        <f t="shared" si="28"/>
        <v>28</v>
      </c>
      <c r="C246" s="189" t="s">
        <v>851</v>
      </c>
      <c r="D246" s="298" t="s">
        <v>1299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86"/>
    </row>
    <row r="247" spans="1:13" ht="18.75" customHeight="1">
      <c r="A247" s="286" t="str">
        <f t="shared" si="27"/>
        <v>TP</v>
      </c>
      <c r="B247" s="299">
        <f t="shared" si="28"/>
        <v>29</v>
      </c>
      <c r="C247" s="189" t="s">
        <v>802</v>
      </c>
      <c r="D247" s="298" t="s">
        <v>1299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86"/>
    </row>
    <row r="248" spans="1:13" ht="18.75" customHeight="1">
      <c r="A248" s="286" t="str">
        <f t="shared" si="27"/>
        <v>TP</v>
      </c>
      <c r="B248" s="299">
        <f t="shared" si="28"/>
        <v>30</v>
      </c>
      <c r="C248" s="186" t="s">
        <v>960</v>
      </c>
      <c r="D248" s="298" t="s">
        <v>1299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86"/>
    </row>
    <row r="249" spans="1:13" ht="18.75" customHeight="1">
      <c r="A249" s="286" t="str">
        <f t="shared" si="27"/>
        <v>TP</v>
      </c>
      <c r="B249" s="299">
        <f t="shared" si="28"/>
        <v>31</v>
      </c>
      <c r="C249" s="186" t="s">
        <v>1121</v>
      </c>
      <c r="D249" s="298" t="s">
        <v>1299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86"/>
    </row>
    <row r="250" spans="1:13" ht="18.75" customHeight="1">
      <c r="A250" s="286" t="str">
        <f t="shared" si="27"/>
        <v>TP</v>
      </c>
      <c r="B250" s="299">
        <f t="shared" si="28"/>
        <v>32</v>
      </c>
      <c r="C250" s="189" t="s">
        <v>1109</v>
      </c>
      <c r="D250" s="298" t="s">
        <v>1299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86"/>
    </row>
    <row r="251" spans="1:13" ht="18.75" customHeight="1">
      <c r="A251" s="286" t="str">
        <f t="shared" ref="A251:A282" si="31">IF(B251&lt;&gt;"","TP","")</f>
        <v>TP</v>
      </c>
      <c r="B251" s="299">
        <f t="shared" ref="B251:B282" si="32">IF(C251&lt;&gt;"",B250+1,"")</f>
        <v>33</v>
      </c>
      <c r="C251" s="189" t="s">
        <v>801</v>
      </c>
      <c r="D251" s="298" t="s">
        <v>1299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86"/>
    </row>
    <row r="252" spans="1:13" ht="18.75" customHeight="1">
      <c r="A252" s="286" t="str">
        <f t="shared" si="31"/>
        <v>TP</v>
      </c>
      <c r="B252" s="299">
        <f t="shared" si="32"/>
        <v>34</v>
      </c>
      <c r="C252" s="189" t="s">
        <v>1115</v>
      </c>
      <c r="D252" s="298" t="s">
        <v>1299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86"/>
    </row>
    <row r="253" spans="1:13" ht="18.75" customHeight="1">
      <c r="A253" s="286" t="str">
        <f t="shared" si="31"/>
        <v>TP</v>
      </c>
      <c r="B253" s="299">
        <f t="shared" si="32"/>
        <v>35</v>
      </c>
      <c r="C253" s="189" t="s">
        <v>1114</v>
      </c>
      <c r="D253" s="298" t="s">
        <v>1299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86"/>
    </row>
    <row r="254" spans="1:13" ht="18.75" customHeight="1">
      <c r="A254" s="286" t="str">
        <f t="shared" si="31"/>
        <v>TP</v>
      </c>
      <c r="B254" s="299">
        <f t="shared" si="32"/>
        <v>36</v>
      </c>
      <c r="C254" s="189" t="s">
        <v>800</v>
      </c>
      <c r="D254" s="298" t="s">
        <v>1299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86"/>
    </row>
    <row r="255" spans="1:13" ht="18.75" customHeight="1">
      <c r="A255" s="286" t="str">
        <f t="shared" si="31"/>
        <v>TP</v>
      </c>
      <c r="B255" s="299">
        <f t="shared" si="32"/>
        <v>37</v>
      </c>
      <c r="C255" s="189" t="s">
        <v>779</v>
      </c>
      <c r="D255" s="298" t="s">
        <v>1299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86"/>
    </row>
    <row r="256" spans="1:13" ht="18.75" customHeight="1">
      <c r="A256" s="286" t="str">
        <f t="shared" si="31"/>
        <v>TP</v>
      </c>
      <c r="B256" s="299">
        <f t="shared" si="32"/>
        <v>38</v>
      </c>
      <c r="C256" s="189" t="s">
        <v>1122</v>
      </c>
      <c r="D256" s="298" t="s">
        <v>1299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86"/>
    </row>
    <row r="257" spans="1:13" ht="18.75" customHeight="1">
      <c r="A257" s="286" t="str">
        <f t="shared" si="31"/>
        <v>TP</v>
      </c>
      <c r="B257" s="299">
        <f t="shared" si="32"/>
        <v>39</v>
      </c>
      <c r="C257" s="189" t="s">
        <v>798</v>
      </c>
      <c r="D257" s="298" t="s">
        <v>1299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86"/>
    </row>
    <row r="258" spans="1:13" ht="18.75" customHeight="1">
      <c r="A258" s="286" t="str">
        <f t="shared" si="31"/>
        <v>TP</v>
      </c>
      <c r="B258" s="299">
        <f t="shared" si="32"/>
        <v>40</v>
      </c>
      <c r="C258" s="189" t="s">
        <v>722</v>
      </c>
      <c r="D258" s="298" t="s">
        <v>1299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86"/>
    </row>
    <row r="259" spans="1:13" ht="18.75" customHeight="1">
      <c r="A259" s="286" t="str">
        <f t="shared" si="31"/>
        <v>TP</v>
      </c>
      <c r="B259" s="299">
        <f t="shared" si="32"/>
        <v>41</v>
      </c>
      <c r="C259" s="189" t="s">
        <v>719</v>
      </c>
      <c r="D259" s="298" t="s">
        <v>1299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86"/>
    </row>
    <row r="260" spans="1:13" ht="18.75" customHeight="1">
      <c r="A260" s="286" t="str">
        <f t="shared" si="31"/>
        <v>TP</v>
      </c>
      <c r="B260" s="299">
        <f t="shared" si="32"/>
        <v>42</v>
      </c>
      <c r="C260" s="189" t="s">
        <v>1119</v>
      </c>
      <c r="D260" s="298" t="s">
        <v>1299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86"/>
    </row>
    <row r="261" spans="1:13" ht="18.75" customHeight="1">
      <c r="A261" s="286" t="str">
        <f t="shared" si="31"/>
        <v>TP</v>
      </c>
      <c r="B261" s="299">
        <f t="shared" si="32"/>
        <v>43</v>
      </c>
      <c r="C261" s="186" t="s">
        <v>931</v>
      </c>
      <c r="D261" s="298" t="s">
        <v>1299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86"/>
    </row>
    <row r="262" spans="1:13" ht="18.75" customHeight="1">
      <c r="A262" s="286" t="str">
        <f t="shared" si="31"/>
        <v>TP</v>
      </c>
      <c r="B262" s="299">
        <f t="shared" si="32"/>
        <v>44</v>
      </c>
      <c r="C262" s="186" t="s">
        <v>961</v>
      </c>
      <c r="D262" s="298" t="s">
        <v>1299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86"/>
    </row>
    <row r="263" spans="1:13" ht="18.75" customHeight="1">
      <c r="A263" s="286" t="str">
        <f t="shared" si="31"/>
        <v>TP</v>
      </c>
      <c r="B263" s="299">
        <f t="shared" si="32"/>
        <v>45</v>
      </c>
      <c r="C263" s="189" t="s">
        <v>1123</v>
      </c>
      <c r="D263" s="298" t="s">
        <v>1299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86"/>
    </row>
    <row r="264" spans="1:13" ht="18.75" customHeight="1">
      <c r="A264" s="286" t="str">
        <f t="shared" si="31"/>
        <v>TP</v>
      </c>
      <c r="B264" s="299">
        <f t="shared" si="32"/>
        <v>46</v>
      </c>
      <c r="C264" s="186" t="s">
        <v>1125</v>
      </c>
      <c r="D264" s="298" t="s">
        <v>1299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86"/>
    </row>
    <row r="265" spans="1:13" ht="18.75" customHeight="1">
      <c r="A265" s="286" t="str">
        <f t="shared" si="31"/>
        <v>TP</v>
      </c>
      <c r="B265" s="299">
        <f t="shared" si="32"/>
        <v>47</v>
      </c>
      <c r="C265" s="186" t="s">
        <v>1124</v>
      </c>
      <c r="D265" s="298" t="s">
        <v>1299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86"/>
    </row>
    <row r="266" spans="1:13" ht="18" customHeight="1">
      <c r="A266" s="286" t="str">
        <f t="shared" si="31"/>
        <v>TP</v>
      </c>
      <c r="B266" s="299">
        <f t="shared" si="32"/>
        <v>48</v>
      </c>
      <c r="C266" s="189" t="s">
        <v>1101</v>
      </c>
      <c r="D266" s="298" t="s">
        <v>1299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86"/>
    </row>
    <row r="267" spans="1:13" ht="18" customHeight="1">
      <c r="A267" s="286" t="str">
        <f t="shared" si="31"/>
        <v>TP</v>
      </c>
      <c r="B267" s="299">
        <f t="shared" si="32"/>
        <v>49</v>
      </c>
      <c r="C267" s="186" t="s">
        <v>935</v>
      </c>
      <c r="D267" s="298" t="s">
        <v>1299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86"/>
    </row>
    <row r="268" spans="1:13" ht="18.75" customHeight="1">
      <c r="A268" s="286" t="str">
        <f t="shared" si="31"/>
        <v>TP</v>
      </c>
      <c r="B268" s="299">
        <f t="shared" si="32"/>
        <v>50</v>
      </c>
      <c r="C268" s="186" t="s">
        <v>933</v>
      </c>
      <c r="D268" s="298" t="s">
        <v>1299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86"/>
    </row>
    <row r="269" spans="1:13" ht="18.75" customHeight="1">
      <c r="A269" s="286" t="str">
        <f t="shared" si="31"/>
        <v>TP</v>
      </c>
      <c r="B269" s="299">
        <f t="shared" si="32"/>
        <v>51</v>
      </c>
      <c r="C269" s="189" t="s">
        <v>751</v>
      </c>
      <c r="D269" s="298" t="s">
        <v>1299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86"/>
    </row>
    <row r="270" spans="1:13" ht="18.75" customHeight="1">
      <c r="A270" s="286" t="str">
        <f t="shared" si="31"/>
        <v>TP</v>
      </c>
      <c r="B270" s="299">
        <f t="shared" si="32"/>
        <v>52</v>
      </c>
      <c r="C270" s="186" t="s">
        <v>721</v>
      </c>
      <c r="D270" s="298" t="s">
        <v>1299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86"/>
    </row>
    <row r="271" spans="1:13" ht="18.75" customHeight="1">
      <c r="A271" s="286" t="str">
        <f t="shared" si="31"/>
        <v>TP</v>
      </c>
      <c r="B271" s="299">
        <f t="shared" si="32"/>
        <v>53</v>
      </c>
      <c r="C271" s="189" t="s">
        <v>781</v>
      </c>
      <c r="D271" s="298" t="s">
        <v>1299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86"/>
    </row>
    <row r="272" spans="1:13" ht="18.75" customHeight="1">
      <c r="A272" s="286" t="str">
        <f t="shared" si="31"/>
        <v>TP</v>
      </c>
      <c r="B272" s="299">
        <f t="shared" si="32"/>
        <v>54</v>
      </c>
      <c r="C272" s="186" t="s">
        <v>1120</v>
      </c>
      <c r="D272" s="298" t="s">
        <v>1299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86"/>
    </row>
    <row r="273" spans="1:13" ht="18.75" customHeight="1">
      <c r="A273" s="286" t="str">
        <f t="shared" si="31"/>
        <v>TP</v>
      </c>
      <c r="B273" s="299">
        <f t="shared" si="32"/>
        <v>55</v>
      </c>
      <c r="C273" s="189" t="s">
        <v>1107</v>
      </c>
      <c r="D273" s="298" t="s">
        <v>1299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86"/>
    </row>
    <row r="274" spans="1:13" ht="18.75" customHeight="1">
      <c r="A274" s="286" t="str">
        <f t="shared" si="31"/>
        <v>TP</v>
      </c>
      <c r="B274" s="299">
        <f t="shared" si="32"/>
        <v>56</v>
      </c>
      <c r="C274" s="189" t="s">
        <v>1093</v>
      </c>
      <c r="D274" s="298" t="s">
        <v>1299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86"/>
    </row>
    <row r="275" spans="1:13" ht="18.75" customHeight="1">
      <c r="A275" s="286" t="str">
        <f t="shared" si="31"/>
        <v>TP</v>
      </c>
      <c r="B275" s="299">
        <f t="shared" si="32"/>
        <v>57</v>
      </c>
      <c r="C275" s="186" t="s">
        <v>947</v>
      </c>
      <c r="D275" s="298" t="s">
        <v>1299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86"/>
    </row>
    <row r="276" spans="1:13" ht="18.75" customHeight="1">
      <c r="A276" s="286" t="str">
        <f t="shared" si="31"/>
        <v>TP</v>
      </c>
      <c r="B276" s="299">
        <f t="shared" si="32"/>
        <v>58</v>
      </c>
      <c r="C276" s="189" t="s">
        <v>700</v>
      </c>
      <c r="D276" s="298" t="s">
        <v>1299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86"/>
    </row>
    <row r="277" spans="1:13" ht="18.75" customHeight="1">
      <c r="A277" s="286" t="str">
        <f t="shared" si="31"/>
        <v>TP</v>
      </c>
      <c r="B277" s="299">
        <f t="shared" si="32"/>
        <v>59</v>
      </c>
      <c r="C277" s="189" t="s">
        <v>1118</v>
      </c>
      <c r="D277" s="298" t="s">
        <v>1299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86"/>
    </row>
    <row r="278" spans="1:13" ht="18.75" customHeight="1">
      <c r="A278" s="286" t="str">
        <f t="shared" si="31"/>
        <v>TP</v>
      </c>
      <c r="B278" s="299">
        <f t="shared" si="32"/>
        <v>60</v>
      </c>
      <c r="C278" s="186" t="s">
        <v>1126</v>
      </c>
      <c r="D278" s="298" t="s">
        <v>1299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86"/>
    </row>
    <row r="279" spans="1:13" ht="18.75" customHeight="1">
      <c r="A279" s="286" t="str">
        <f t="shared" si="31"/>
        <v>TP</v>
      </c>
      <c r="B279" s="299">
        <f t="shared" si="32"/>
        <v>61</v>
      </c>
      <c r="C279" s="189" t="s">
        <v>1116</v>
      </c>
      <c r="D279" s="298" t="s">
        <v>1299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86"/>
    </row>
    <row r="280" spans="1:13" ht="18.75" customHeight="1">
      <c r="A280" s="286" t="str">
        <f t="shared" si="31"/>
        <v>TP</v>
      </c>
      <c r="B280" s="299">
        <f t="shared" si="32"/>
        <v>62</v>
      </c>
      <c r="C280" s="189" t="s">
        <v>787</v>
      </c>
      <c r="D280" s="298" t="s">
        <v>1299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86"/>
    </row>
    <row r="281" spans="1:13" ht="18.75" customHeight="1">
      <c r="A281" s="286" t="str">
        <f t="shared" si="31"/>
        <v>TP</v>
      </c>
      <c r="B281" s="299">
        <f t="shared" si="32"/>
        <v>63</v>
      </c>
      <c r="C281" s="189" t="s">
        <v>912</v>
      </c>
      <c r="D281" s="298" t="s">
        <v>1299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86"/>
    </row>
    <row r="282" spans="1:13" ht="18.75" customHeight="1">
      <c r="A282" s="286" t="str">
        <f t="shared" si="31"/>
        <v>TP</v>
      </c>
      <c r="B282" s="299">
        <f t="shared" si="32"/>
        <v>64</v>
      </c>
      <c r="C282" s="189" t="s">
        <v>921</v>
      </c>
      <c r="D282" s="298" t="s">
        <v>1299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86"/>
    </row>
    <row r="283" spans="1:13" ht="18.75" customHeight="1">
      <c r="A283" s="286" t="str">
        <f t="shared" ref="A283:A314" si="35">IF(B283&lt;&gt;"","TP","")</f>
        <v>TP</v>
      </c>
      <c r="B283" s="299">
        <f t="shared" ref="B283:B314" si="36">IF(C283&lt;&gt;"",B282+1,"")</f>
        <v>65</v>
      </c>
      <c r="C283" s="189" t="s">
        <v>1111</v>
      </c>
      <c r="D283" s="298" t="s">
        <v>1299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86"/>
    </row>
    <row r="284" spans="1:13" ht="19.5" customHeight="1">
      <c r="A284" s="286" t="str">
        <f t="shared" si="35"/>
        <v>TP</v>
      </c>
      <c r="B284" s="299">
        <f t="shared" si="36"/>
        <v>66</v>
      </c>
      <c r="C284" s="186" t="s">
        <v>1127</v>
      </c>
      <c r="D284" s="298" t="s">
        <v>1299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86"/>
    </row>
    <row r="285" spans="1:13" ht="19.5" customHeight="1">
      <c r="A285" s="286" t="str">
        <f t="shared" si="35"/>
        <v>TP</v>
      </c>
      <c r="B285" s="299">
        <f t="shared" si="36"/>
        <v>67</v>
      </c>
      <c r="C285" s="189" t="s">
        <v>913</v>
      </c>
      <c r="D285" s="298" t="s">
        <v>1299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86"/>
    </row>
    <row r="286" spans="1:13" ht="19.5" customHeight="1">
      <c r="A286" s="286" t="str">
        <f t="shared" si="35"/>
        <v>TP</v>
      </c>
      <c r="B286" s="299">
        <f t="shared" si="36"/>
        <v>68</v>
      </c>
      <c r="C286" s="189" t="s">
        <v>1128</v>
      </c>
      <c r="D286" s="298" t="s">
        <v>1299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86"/>
    </row>
    <row r="287" spans="1:13" ht="19.5" customHeight="1">
      <c r="A287" s="286" t="str">
        <f t="shared" si="35"/>
        <v>TP</v>
      </c>
      <c r="B287" s="299">
        <f t="shared" si="36"/>
        <v>69</v>
      </c>
      <c r="C287" s="189" t="s">
        <v>1099</v>
      </c>
      <c r="D287" s="298" t="s">
        <v>1299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86"/>
    </row>
    <row r="288" spans="1:13" ht="19.5" customHeight="1">
      <c r="A288" s="286" t="str">
        <f t="shared" si="35"/>
        <v>TP</v>
      </c>
      <c r="B288" s="299">
        <f t="shared" si="36"/>
        <v>70</v>
      </c>
      <c r="C288" s="189" t="s">
        <v>794</v>
      </c>
      <c r="D288" s="298" t="s">
        <v>1299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86"/>
    </row>
    <row r="289" spans="1:13" ht="19.5" customHeight="1">
      <c r="A289" s="286" t="str">
        <f t="shared" si="35"/>
        <v>TP</v>
      </c>
      <c r="B289" s="299">
        <f t="shared" si="36"/>
        <v>71</v>
      </c>
      <c r="C289" s="186" t="s">
        <v>949</v>
      </c>
      <c r="D289" s="298" t="s">
        <v>1299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86"/>
    </row>
    <row r="290" spans="1:13" ht="19.5" customHeight="1">
      <c r="A290" s="286" t="str">
        <f t="shared" si="35"/>
        <v>TP</v>
      </c>
      <c r="B290" s="299">
        <f t="shared" si="36"/>
        <v>72</v>
      </c>
      <c r="C290" s="189" t="s">
        <v>723</v>
      </c>
      <c r="D290" s="298" t="s">
        <v>1299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86"/>
    </row>
    <row r="291" spans="1:13" ht="19.5" customHeight="1">
      <c r="A291" s="286" t="str">
        <f t="shared" si="35"/>
        <v>TP</v>
      </c>
      <c r="B291" s="299">
        <f t="shared" si="36"/>
        <v>73</v>
      </c>
      <c r="C291" s="189" t="s">
        <v>1129</v>
      </c>
      <c r="D291" s="298" t="s">
        <v>1299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86"/>
    </row>
    <row r="292" spans="1:13" ht="19.5" customHeight="1">
      <c r="A292" s="286" t="str">
        <f t="shared" si="35"/>
        <v>TP</v>
      </c>
      <c r="B292" s="299">
        <f t="shared" si="36"/>
        <v>74</v>
      </c>
      <c r="C292" s="186" t="s">
        <v>1130</v>
      </c>
      <c r="D292" s="298" t="s">
        <v>1299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86"/>
    </row>
    <row r="293" spans="1:13" ht="19.5" customHeight="1">
      <c r="A293" s="286" t="str">
        <f t="shared" si="35"/>
        <v>TP</v>
      </c>
      <c r="B293" s="299">
        <f t="shared" si="36"/>
        <v>75</v>
      </c>
      <c r="C293" s="189" t="s">
        <v>889</v>
      </c>
      <c r="D293" s="298" t="s">
        <v>1299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86"/>
    </row>
    <row r="294" spans="1:13" ht="19.5" customHeight="1">
      <c r="A294" s="286" t="str">
        <f t="shared" si="35"/>
        <v>TP</v>
      </c>
      <c r="B294" s="299">
        <f t="shared" si="36"/>
        <v>76</v>
      </c>
      <c r="C294" s="189" t="s">
        <v>707</v>
      </c>
      <c r="D294" s="298" t="s">
        <v>1299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86"/>
    </row>
    <row r="295" spans="1:13" ht="19.5" customHeight="1">
      <c r="A295" s="286" t="str">
        <f t="shared" si="35"/>
        <v>TP</v>
      </c>
      <c r="B295" s="299">
        <f t="shared" si="36"/>
        <v>77</v>
      </c>
      <c r="C295" s="189" t="s">
        <v>1110</v>
      </c>
      <c r="D295" s="298" t="s">
        <v>1299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86"/>
    </row>
    <row r="296" spans="1:13" ht="19.5" customHeight="1">
      <c r="A296" s="286" t="str">
        <f t="shared" si="35"/>
        <v>TP</v>
      </c>
      <c r="B296" s="299">
        <f t="shared" si="36"/>
        <v>78</v>
      </c>
      <c r="C296" s="189" t="s">
        <v>1112</v>
      </c>
      <c r="D296" s="298" t="s">
        <v>1299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86"/>
    </row>
    <row r="297" spans="1:13" ht="19.5" customHeight="1">
      <c r="A297" s="286" t="str">
        <f t="shared" si="35"/>
        <v>TP</v>
      </c>
      <c r="B297" s="299">
        <f t="shared" si="36"/>
        <v>79</v>
      </c>
      <c r="C297" s="189" t="s">
        <v>733</v>
      </c>
      <c r="D297" s="298" t="s">
        <v>1299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86"/>
    </row>
    <row r="298" spans="1:13" ht="19.5" customHeight="1">
      <c r="A298" s="286" t="str">
        <f t="shared" si="35"/>
        <v>TP</v>
      </c>
      <c r="B298" s="299">
        <f t="shared" si="36"/>
        <v>80</v>
      </c>
      <c r="C298" s="189" t="s">
        <v>852</v>
      </c>
      <c r="D298" s="298" t="s">
        <v>1299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86"/>
    </row>
    <row r="299" spans="1:13" ht="19.5" customHeight="1">
      <c r="A299" s="286" t="str">
        <f t="shared" si="35"/>
        <v>TP</v>
      </c>
      <c r="B299" s="299">
        <f t="shared" si="36"/>
        <v>81</v>
      </c>
      <c r="C299" s="189" t="s">
        <v>783</v>
      </c>
      <c r="D299" s="298" t="s">
        <v>1299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86"/>
    </row>
    <row r="300" spans="1:13" ht="19.5" customHeight="1">
      <c r="A300" s="286" t="str">
        <f t="shared" si="35"/>
        <v>TP</v>
      </c>
      <c r="B300" s="299">
        <f t="shared" si="36"/>
        <v>82</v>
      </c>
      <c r="C300" s="189" t="s">
        <v>970</v>
      </c>
      <c r="D300" s="298" t="s">
        <v>1299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86"/>
    </row>
    <row r="301" spans="1:13" ht="19.5" customHeight="1">
      <c r="A301" s="286" t="str">
        <f t="shared" si="35"/>
        <v>TP</v>
      </c>
      <c r="B301" s="299">
        <f t="shared" si="36"/>
        <v>83</v>
      </c>
      <c r="C301" s="189" t="s">
        <v>1094</v>
      </c>
      <c r="D301" s="298" t="s">
        <v>1299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86"/>
    </row>
    <row r="302" spans="1:13" ht="19.5" customHeight="1">
      <c r="A302" s="286" t="str">
        <f t="shared" si="35"/>
        <v>TP</v>
      </c>
      <c r="B302" s="299">
        <f t="shared" si="36"/>
        <v>84</v>
      </c>
      <c r="C302" s="189" t="s">
        <v>1097</v>
      </c>
      <c r="D302" s="298" t="s">
        <v>1299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86"/>
    </row>
    <row r="303" spans="1:13" ht="19.5" customHeight="1">
      <c r="A303" s="286" t="str">
        <f t="shared" si="35"/>
        <v>TP</v>
      </c>
      <c r="B303" s="299">
        <f t="shared" si="36"/>
        <v>85</v>
      </c>
      <c r="C303" s="189" t="s">
        <v>697</v>
      </c>
      <c r="D303" s="298" t="s">
        <v>1299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86"/>
    </row>
    <row r="304" spans="1:13" ht="19.5" customHeight="1">
      <c r="A304" s="286" t="str">
        <f t="shared" si="35"/>
        <v>TP</v>
      </c>
      <c r="B304" s="299">
        <f t="shared" si="36"/>
        <v>86</v>
      </c>
      <c r="C304" s="189" t="s">
        <v>910</v>
      </c>
      <c r="D304" s="298" t="s">
        <v>1299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86"/>
    </row>
    <row r="305" spans="1:13" ht="19.5" customHeight="1">
      <c r="A305" s="286" t="str">
        <f t="shared" si="35"/>
        <v>TP</v>
      </c>
      <c r="B305" s="299">
        <f t="shared" si="36"/>
        <v>87</v>
      </c>
      <c r="C305" s="189" t="s">
        <v>1113</v>
      </c>
      <c r="D305" s="298" t="s">
        <v>1299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86"/>
    </row>
    <row r="306" spans="1:13" ht="19.5" customHeight="1">
      <c r="A306" s="286" t="str">
        <f t="shared" si="35"/>
        <v>TP</v>
      </c>
      <c r="B306" s="299">
        <f t="shared" si="36"/>
        <v>88</v>
      </c>
      <c r="C306" s="189" t="s">
        <v>1117</v>
      </c>
      <c r="D306" s="298" t="s">
        <v>1299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86"/>
    </row>
    <row r="307" spans="1:13" ht="19.5" customHeight="1">
      <c r="A307" s="286" t="str">
        <f t="shared" si="35"/>
        <v>TP</v>
      </c>
      <c r="B307" s="299">
        <f t="shared" si="36"/>
        <v>89</v>
      </c>
      <c r="C307" s="189" t="s">
        <v>724</v>
      </c>
      <c r="D307" s="298" t="s">
        <v>1299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86"/>
    </row>
    <row r="308" spans="1:13" ht="19.5" customHeight="1">
      <c r="A308" s="286" t="str">
        <f t="shared" si="35"/>
        <v>TP</v>
      </c>
      <c r="B308" s="299">
        <f t="shared" si="36"/>
        <v>90</v>
      </c>
      <c r="C308" s="189" t="s">
        <v>702</v>
      </c>
      <c r="D308" s="298" t="s">
        <v>1299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86"/>
    </row>
    <row r="309" spans="1:13" ht="19.5" customHeight="1">
      <c r="A309" s="286" t="str">
        <f t="shared" si="35"/>
        <v>TP</v>
      </c>
      <c r="B309" s="299">
        <f t="shared" si="36"/>
        <v>91</v>
      </c>
      <c r="C309" s="189" t="s">
        <v>735</v>
      </c>
      <c r="D309" s="298" t="s">
        <v>1299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86"/>
    </row>
    <row r="310" spans="1:13" ht="19.5" customHeight="1">
      <c r="A310" s="286" t="str">
        <f t="shared" si="35"/>
        <v>TP</v>
      </c>
      <c r="B310" s="299">
        <f t="shared" si="36"/>
        <v>92</v>
      </c>
      <c r="C310" s="189" t="s">
        <v>708</v>
      </c>
      <c r="D310" s="298" t="s">
        <v>1299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86"/>
    </row>
    <row r="311" spans="1:13" ht="19.5" customHeight="1">
      <c r="A311" s="286" t="str">
        <f t="shared" si="35"/>
        <v>TP</v>
      </c>
      <c r="B311" s="299">
        <f t="shared" si="36"/>
        <v>93</v>
      </c>
      <c r="C311" s="189" t="s">
        <v>727</v>
      </c>
      <c r="D311" s="298" t="s">
        <v>1299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86"/>
    </row>
    <row r="312" spans="1:13" ht="19.5" customHeight="1">
      <c r="A312" s="286" t="str">
        <f t="shared" si="35"/>
        <v>TP</v>
      </c>
      <c r="B312" s="299">
        <f t="shared" si="36"/>
        <v>94</v>
      </c>
      <c r="C312" s="186" t="s">
        <v>1108</v>
      </c>
      <c r="D312" s="298" t="s">
        <v>1299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86"/>
    </row>
    <row r="313" spans="1:13" ht="19.5" customHeight="1">
      <c r="A313" s="286" t="str">
        <f t="shared" si="35"/>
        <v>TP</v>
      </c>
      <c r="B313" s="299">
        <f t="shared" si="36"/>
        <v>95</v>
      </c>
      <c r="C313" s="189" t="s">
        <v>898</v>
      </c>
      <c r="D313" s="298" t="s">
        <v>1299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86"/>
    </row>
    <row r="314" spans="1:13" ht="19.5" customHeight="1">
      <c r="A314" s="286" t="str">
        <f t="shared" si="35"/>
        <v>TP</v>
      </c>
      <c r="B314" s="299">
        <f t="shared" si="36"/>
        <v>96</v>
      </c>
      <c r="C314" s="189" t="s">
        <v>892</v>
      </c>
      <c r="D314" s="298" t="s">
        <v>1299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86"/>
    </row>
    <row r="315" spans="1:13" ht="19.5" customHeight="1">
      <c r="A315" s="286" t="str">
        <f t="shared" ref="A315:A346" si="39">IF(B315&lt;&gt;"","TP","")</f>
        <v>TP</v>
      </c>
      <c r="B315" s="299">
        <f t="shared" ref="B315:B346" si="40">IF(C315&lt;&gt;"",B314+1,"")</f>
        <v>97</v>
      </c>
      <c r="C315" s="189" t="s">
        <v>1098</v>
      </c>
      <c r="D315" s="298" t="s">
        <v>1299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86"/>
    </row>
    <row r="316" spans="1:13" ht="19.5" customHeight="1">
      <c r="A316" s="286" t="str">
        <f t="shared" si="39"/>
        <v>TP</v>
      </c>
      <c r="B316" s="299">
        <f t="shared" si="40"/>
        <v>98</v>
      </c>
      <c r="C316" s="189" t="s">
        <v>909</v>
      </c>
      <c r="D316" s="298" t="s">
        <v>1299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86"/>
    </row>
    <row r="317" spans="1:13" ht="19.5" customHeight="1">
      <c r="A317" s="286" t="str">
        <f t="shared" si="39"/>
        <v>TP</v>
      </c>
      <c r="B317" s="299">
        <f t="shared" si="40"/>
        <v>99</v>
      </c>
      <c r="C317" s="189" t="s">
        <v>907</v>
      </c>
      <c r="D317" s="298" t="s">
        <v>1299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86"/>
    </row>
    <row r="318" spans="1:13" ht="19.5" customHeight="1">
      <c r="A318" s="286" t="str">
        <f t="shared" si="39"/>
        <v>TP</v>
      </c>
      <c r="B318" s="299">
        <f t="shared" si="40"/>
        <v>100</v>
      </c>
      <c r="C318" s="189" t="s">
        <v>1096</v>
      </c>
      <c r="D318" s="298" t="s">
        <v>1299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86"/>
    </row>
    <row r="319" spans="1:13" ht="19.5" customHeight="1">
      <c r="A319" s="286" t="str">
        <f t="shared" si="39"/>
        <v>TP</v>
      </c>
      <c r="B319" s="299">
        <f t="shared" si="40"/>
        <v>101</v>
      </c>
      <c r="C319" s="189" t="s">
        <v>1100</v>
      </c>
      <c r="D319" s="298" t="s">
        <v>1299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86"/>
    </row>
    <row r="320" spans="1:13" ht="19.5" customHeight="1">
      <c r="A320" s="286" t="str">
        <f t="shared" si="39"/>
        <v>TP</v>
      </c>
      <c r="B320" s="299">
        <f t="shared" si="40"/>
        <v>102</v>
      </c>
      <c r="C320" s="186" t="s">
        <v>937</v>
      </c>
      <c r="D320" s="298" t="s">
        <v>1299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86"/>
    </row>
    <row r="321" spans="1:13" ht="19.5" customHeight="1">
      <c r="A321" s="286" t="str">
        <f t="shared" si="39"/>
        <v>TP</v>
      </c>
      <c r="B321" s="299">
        <f t="shared" si="40"/>
        <v>103</v>
      </c>
      <c r="C321" s="186" t="s">
        <v>942</v>
      </c>
      <c r="D321" s="298" t="s">
        <v>1299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86"/>
    </row>
    <row r="322" spans="1:13" ht="19.5" customHeight="1">
      <c r="A322" s="286" t="str">
        <f t="shared" si="39"/>
        <v>TP</v>
      </c>
      <c r="B322" s="299">
        <f t="shared" si="40"/>
        <v>104</v>
      </c>
      <c r="C322" s="189" t="s">
        <v>805</v>
      </c>
      <c r="D322" s="298" t="s">
        <v>1299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86"/>
    </row>
    <row r="323" spans="1:13" ht="19.5" customHeight="1">
      <c r="A323" s="286" t="str">
        <f t="shared" si="39"/>
        <v>TP</v>
      </c>
      <c r="B323" s="299">
        <f t="shared" si="40"/>
        <v>105</v>
      </c>
      <c r="C323" s="186" t="s">
        <v>938</v>
      </c>
      <c r="D323" s="298" t="s">
        <v>1299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86"/>
    </row>
    <row r="324" spans="1:13" ht="19.5" customHeight="1">
      <c r="A324" s="286" t="str">
        <f t="shared" si="39"/>
        <v>TP</v>
      </c>
      <c r="B324" s="299">
        <f t="shared" si="40"/>
        <v>106</v>
      </c>
      <c r="C324" s="186" t="s">
        <v>936</v>
      </c>
      <c r="D324" s="298" t="s">
        <v>1299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86"/>
    </row>
    <row r="325" spans="1:13" ht="19.5" customHeight="1">
      <c r="A325" s="286" t="str">
        <f t="shared" si="39"/>
        <v>TP</v>
      </c>
      <c r="B325" s="299">
        <f t="shared" si="40"/>
        <v>107</v>
      </c>
      <c r="C325" s="186" t="s">
        <v>951</v>
      </c>
      <c r="D325" s="298" t="s">
        <v>1299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86"/>
    </row>
    <row r="326" spans="1:13" ht="19.5" customHeight="1">
      <c r="A326" s="286" t="str">
        <f t="shared" si="39"/>
        <v>TP</v>
      </c>
      <c r="B326" s="299">
        <f t="shared" si="40"/>
        <v>108</v>
      </c>
      <c r="C326" s="189" t="s">
        <v>839</v>
      </c>
      <c r="D326" s="298" t="s">
        <v>1299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86"/>
    </row>
    <row r="327" spans="1:13" ht="19.5" customHeight="1">
      <c r="A327" s="286" t="str">
        <f t="shared" si="39"/>
        <v>TP</v>
      </c>
      <c r="B327" s="299">
        <f t="shared" si="40"/>
        <v>109</v>
      </c>
      <c r="C327" s="186" t="s">
        <v>956</v>
      </c>
      <c r="D327" s="298" t="s">
        <v>1299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86"/>
    </row>
    <row r="328" spans="1:13" ht="19.5" customHeight="1">
      <c r="A328" s="286" t="str">
        <f t="shared" si="39"/>
        <v>TP</v>
      </c>
      <c r="B328" s="299">
        <f t="shared" si="40"/>
        <v>110</v>
      </c>
      <c r="C328" s="186" t="s">
        <v>954</v>
      </c>
      <c r="D328" s="298" t="s">
        <v>1299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86"/>
    </row>
    <row r="329" spans="1:13" ht="19.5" customHeight="1">
      <c r="A329" s="286" t="str">
        <f t="shared" si="39"/>
        <v>TP</v>
      </c>
      <c r="B329" s="299">
        <f t="shared" si="40"/>
        <v>111</v>
      </c>
      <c r="C329" s="189" t="s">
        <v>995</v>
      </c>
      <c r="D329" s="298" t="s">
        <v>1299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86"/>
    </row>
    <row r="330" spans="1:13" ht="19.5" customHeight="1">
      <c r="A330" s="286" t="str">
        <f t="shared" si="39"/>
        <v>TP</v>
      </c>
      <c r="B330" s="299">
        <f t="shared" si="40"/>
        <v>112</v>
      </c>
      <c r="C330" s="189" t="s">
        <v>856</v>
      </c>
      <c r="D330" s="298" t="s">
        <v>1299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86"/>
    </row>
    <row r="331" spans="1:13" ht="19.5" customHeight="1">
      <c r="A331" s="286" t="str">
        <f t="shared" si="39"/>
        <v>TP</v>
      </c>
      <c r="B331" s="299">
        <f t="shared" si="40"/>
        <v>113</v>
      </c>
      <c r="C331" s="189" t="s">
        <v>833</v>
      </c>
      <c r="D331" s="298" t="s">
        <v>1299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86"/>
    </row>
    <row r="332" spans="1:13" ht="19.5" customHeight="1">
      <c r="A332" s="286" t="str">
        <f t="shared" si="39"/>
        <v>TP</v>
      </c>
      <c r="B332" s="299">
        <f t="shared" si="40"/>
        <v>114</v>
      </c>
      <c r="C332" s="189" t="s">
        <v>1088</v>
      </c>
      <c r="D332" s="298" t="s">
        <v>1299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86"/>
    </row>
    <row r="333" spans="1:13" ht="19.5" customHeight="1">
      <c r="A333" s="286" t="str">
        <f t="shared" si="39"/>
        <v>TP</v>
      </c>
      <c r="B333" s="299">
        <f t="shared" si="40"/>
        <v>115</v>
      </c>
      <c r="C333" s="189" t="s">
        <v>1131</v>
      </c>
      <c r="D333" s="298" t="s">
        <v>1299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86"/>
    </row>
    <row r="334" spans="1:13" ht="19.5" customHeight="1">
      <c r="A334" s="286" t="str">
        <f t="shared" si="39"/>
        <v>TP</v>
      </c>
      <c r="B334" s="299">
        <f t="shared" si="40"/>
        <v>116</v>
      </c>
      <c r="C334" s="189" t="s">
        <v>1087</v>
      </c>
      <c r="D334" s="298" t="s">
        <v>1299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86"/>
    </row>
    <row r="335" spans="1:13" ht="19.5" customHeight="1">
      <c r="A335" s="286" t="str">
        <f t="shared" si="39"/>
        <v>TP</v>
      </c>
      <c r="B335" s="299">
        <f t="shared" si="40"/>
        <v>117</v>
      </c>
      <c r="C335" s="189" t="s">
        <v>866</v>
      </c>
      <c r="D335" s="298" t="s">
        <v>1299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86"/>
    </row>
    <row r="336" spans="1:13" ht="19.5" customHeight="1">
      <c r="A336" s="286" t="str">
        <f t="shared" si="39"/>
        <v>TP</v>
      </c>
      <c r="B336" s="299">
        <f t="shared" si="40"/>
        <v>118</v>
      </c>
      <c r="C336" s="189" t="s">
        <v>716</v>
      </c>
      <c r="D336" s="298" t="s">
        <v>1299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86"/>
    </row>
    <row r="337" spans="1:13" ht="19.5" customHeight="1">
      <c r="A337" s="286" t="str">
        <f t="shared" si="39"/>
        <v>TP</v>
      </c>
      <c r="B337" s="299">
        <f t="shared" si="40"/>
        <v>119</v>
      </c>
      <c r="C337" s="189" t="s">
        <v>690</v>
      </c>
      <c r="D337" s="298" t="s">
        <v>1299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86"/>
    </row>
    <row r="338" spans="1:13" ht="19.5" customHeight="1">
      <c r="A338" s="286" t="str">
        <f t="shared" si="39"/>
        <v>TP</v>
      </c>
      <c r="B338" s="299">
        <f t="shared" si="40"/>
        <v>120</v>
      </c>
      <c r="C338" s="189" t="s">
        <v>777</v>
      </c>
      <c r="D338" s="298" t="s">
        <v>1299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86"/>
    </row>
    <row r="339" spans="1:13" ht="19.5" customHeight="1">
      <c r="A339" s="286" t="str">
        <f t="shared" si="39"/>
        <v>TP</v>
      </c>
      <c r="B339" s="299">
        <f t="shared" si="40"/>
        <v>121</v>
      </c>
      <c r="C339" s="189" t="s">
        <v>973</v>
      </c>
      <c r="D339" s="298" t="s">
        <v>1299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86"/>
    </row>
    <row r="340" spans="1:13" ht="19.5" customHeight="1">
      <c r="A340" s="286" t="str">
        <f t="shared" si="39"/>
        <v>TP</v>
      </c>
      <c r="B340" s="299">
        <f t="shared" si="40"/>
        <v>122</v>
      </c>
      <c r="C340" s="186" t="s">
        <v>718</v>
      </c>
      <c r="D340" s="298" t="s">
        <v>1299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86"/>
    </row>
    <row r="341" spans="1:13" ht="19.5" customHeight="1">
      <c r="A341" s="286" t="str">
        <f t="shared" si="39"/>
        <v>TP</v>
      </c>
      <c r="B341" s="299">
        <f t="shared" si="40"/>
        <v>123</v>
      </c>
      <c r="C341" s="189" t="s">
        <v>838</v>
      </c>
      <c r="D341" s="298" t="s">
        <v>1299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86"/>
    </row>
    <row r="342" spans="1:13" ht="19.5" customHeight="1">
      <c r="A342" s="286" t="str">
        <f t="shared" si="39"/>
        <v>TP</v>
      </c>
      <c r="B342" s="299">
        <f t="shared" si="40"/>
        <v>124</v>
      </c>
      <c r="C342" s="186" t="s">
        <v>940</v>
      </c>
      <c r="D342" s="298" t="s">
        <v>1299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86"/>
    </row>
    <row r="343" spans="1:13" ht="19.5" customHeight="1">
      <c r="A343" s="286" t="str">
        <f t="shared" si="39"/>
        <v>TP</v>
      </c>
      <c r="B343" s="299">
        <f t="shared" si="40"/>
        <v>125</v>
      </c>
      <c r="C343" s="189" t="s">
        <v>887</v>
      </c>
      <c r="D343" s="298" t="s">
        <v>1299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86"/>
    </row>
    <row r="344" spans="1:13" ht="19.5" customHeight="1">
      <c r="A344" s="286" t="str">
        <f t="shared" si="39"/>
        <v>TP</v>
      </c>
      <c r="B344" s="299">
        <f t="shared" si="40"/>
        <v>126</v>
      </c>
      <c r="C344" s="189" t="s">
        <v>764</v>
      </c>
      <c r="D344" s="298" t="s">
        <v>1299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86"/>
    </row>
    <row r="345" spans="1:13" ht="19.5" customHeight="1">
      <c r="A345" s="286" t="str">
        <f t="shared" si="39"/>
        <v>TP</v>
      </c>
      <c r="B345" s="299">
        <f t="shared" si="40"/>
        <v>127</v>
      </c>
      <c r="C345" s="189" t="s">
        <v>1095</v>
      </c>
      <c r="D345" s="298" t="s">
        <v>1299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86"/>
    </row>
    <row r="346" spans="1:13" ht="19.5" customHeight="1">
      <c r="A346" s="286" t="str">
        <f t="shared" si="39"/>
        <v>TP</v>
      </c>
      <c r="B346" s="299">
        <f t="shared" si="40"/>
        <v>128</v>
      </c>
      <c r="C346" s="189" t="s">
        <v>1102</v>
      </c>
      <c r="D346" s="298" t="s">
        <v>1299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86"/>
    </row>
    <row r="347" spans="1:13" ht="19.5" customHeight="1">
      <c r="A347" s="286" t="str">
        <f t="shared" ref="A347:A378" si="43">IF(B347&lt;&gt;"","TP","")</f>
        <v>TP</v>
      </c>
      <c r="B347" s="299">
        <f t="shared" ref="B347:B378" si="44">IF(C347&lt;&gt;"",B346+1,"")</f>
        <v>129</v>
      </c>
      <c r="C347" s="189" t="s">
        <v>762</v>
      </c>
      <c r="D347" s="298" t="s">
        <v>1299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86"/>
    </row>
    <row r="348" spans="1:13" ht="19.5" customHeight="1">
      <c r="A348" s="286" t="str">
        <f t="shared" si="43"/>
        <v>TP</v>
      </c>
      <c r="B348" s="299">
        <f t="shared" si="44"/>
        <v>130</v>
      </c>
      <c r="C348" s="189" t="s">
        <v>698</v>
      </c>
      <c r="D348" s="298" t="s">
        <v>1299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86"/>
    </row>
    <row r="349" spans="1:13" ht="19.5" customHeight="1">
      <c r="A349" s="286" t="str">
        <f t="shared" si="43"/>
        <v>TP</v>
      </c>
      <c r="B349" s="299">
        <f t="shared" si="44"/>
        <v>131</v>
      </c>
      <c r="C349" s="186" t="s">
        <v>958</v>
      </c>
      <c r="D349" s="298" t="s">
        <v>1299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86"/>
    </row>
    <row r="350" spans="1:13" ht="19.5" customHeight="1">
      <c r="A350" s="286" t="str">
        <f t="shared" si="43"/>
        <v>TP</v>
      </c>
      <c r="B350" s="299">
        <f t="shared" si="44"/>
        <v>132</v>
      </c>
      <c r="C350" s="189" t="s">
        <v>738</v>
      </c>
      <c r="D350" s="298" t="s">
        <v>1299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86"/>
    </row>
    <row r="351" spans="1:13" ht="19.5" customHeight="1">
      <c r="A351" s="286" t="str">
        <f t="shared" si="43"/>
        <v>TP</v>
      </c>
      <c r="B351" s="299">
        <f t="shared" si="44"/>
        <v>133</v>
      </c>
      <c r="C351" s="189" t="s">
        <v>976</v>
      </c>
      <c r="D351" s="298" t="s">
        <v>1299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86"/>
    </row>
    <row r="352" spans="1:13" ht="19.5" customHeight="1">
      <c r="A352" s="286" t="str">
        <f t="shared" si="43"/>
        <v>TP</v>
      </c>
      <c r="B352" s="299">
        <f t="shared" si="44"/>
        <v>134</v>
      </c>
      <c r="C352" s="189" t="s">
        <v>814</v>
      </c>
      <c r="D352" s="298" t="s">
        <v>1299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86"/>
    </row>
    <row r="353" spans="1:13" ht="19.5" customHeight="1">
      <c r="A353" s="286" t="str">
        <f t="shared" si="43"/>
        <v>TP</v>
      </c>
      <c r="B353" s="299">
        <f t="shared" si="44"/>
        <v>135</v>
      </c>
      <c r="C353" s="186" t="s">
        <v>941</v>
      </c>
      <c r="D353" s="298" t="s">
        <v>1299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86"/>
    </row>
    <row r="354" spans="1:13" ht="19.5" customHeight="1">
      <c r="A354" s="286" t="str">
        <f t="shared" si="43"/>
        <v>TP</v>
      </c>
      <c r="B354" s="299">
        <f t="shared" si="44"/>
        <v>136</v>
      </c>
      <c r="C354" s="189" t="s">
        <v>784</v>
      </c>
      <c r="D354" s="298" t="s">
        <v>1299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86"/>
    </row>
    <row r="355" spans="1:13" ht="19.5" customHeight="1">
      <c r="A355" s="286" t="str">
        <f t="shared" si="43"/>
        <v>TP</v>
      </c>
      <c r="B355" s="299">
        <f t="shared" si="44"/>
        <v>137</v>
      </c>
      <c r="C355" s="189" t="s">
        <v>747</v>
      </c>
      <c r="D355" s="298" t="s">
        <v>1299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86"/>
    </row>
    <row r="356" spans="1:13" ht="19.5" customHeight="1">
      <c r="A356" s="286" t="str">
        <f t="shared" si="43"/>
        <v>TP</v>
      </c>
      <c r="B356" s="299">
        <f t="shared" si="44"/>
        <v>138</v>
      </c>
      <c r="C356" s="189" t="s">
        <v>694</v>
      </c>
      <c r="D356" s="298" t="s">
        <v>1299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86"/>
    </row>
    <row r="357" spans="1:13" ht="19.5" customHeight="1">
      <c r="A357" s="286" t="str">
        <f t="shared" si="43"/>
        <v>TP</v>
      </c>
      <c r="B357" s="299">
        <f t="shared" si="44"/>
        <v>139</v>
      </c>
      <c r="C357" s="189" t="s">
        <v>843</v>
      </c>
      <c r="D357" s="298" t="s">
        <v>1299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86"/>
    </row>
    <row r="358" spans="1:13" ht="19.5" customHeight="1">
      <c r="A358" s="286" t="str">
        <f t="shared" si="43"/>
        <v>TP</v>
      </c>
      <c r="B358" s="299">
        <f t="shared" si="44"/>
        <v>140</v>
      </c>
      <c r="C358" s="189" t="s">
        <v>828</v>
      </c>
      <c r="D358" s="298" t="s">
        <v>1299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86"/>
    </row>
    <row r="359" spans="1:13" ht="19.5" customHeight="1">
      <c r="A359" s="286" t="str">
        <f t="shared" si="43"/>
        <v>TP</v>
      </c>
      <c r="B359" s="299">
        <f t="shared" si="44"/>
        <v>141</v>
      </c>
      <c r="C359" s="189" t="s">
        <v>895</v>
      </c>
      <c r="D359" s="298" t="s">
        <v>1299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86"/>
    </row>
    <row r="360" spans="1:13" ht="19.5" customHeight="1">
      <c r="A360" s="286" t="str">
        <f t="shared" si="43"/>
        <v>TP</v>
      </c>
      <c r="B360" s="299">
        <f t="shared" si="44"/>
        <v>142</v>
      </c>
      <c r="C360" s="189" t="s">
        <v>820</v>
      </c>
      <c r="D360" s="298" t="s">
        <v>1299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86"/>
    </row>
    <row r="361" spans="1:13" ht="19.5" customHeight="1">
      <c r="A361" s="286" t="str">
        <f t="shared" si="43"/>
        <v>TP</v>
      </c>
      <c r="B361" s="299">
        <f t="shared" si="44"/>
        <v>143</v>
      </c>
      <c r="C361" s="186" t="s">
        <v>714</v>
      </c>
      <c r="D361" s="298" t="s">
        <v>1299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86"/>
    </row>
    <row r="362" spans="1:13" ht="19.5" customHeight="1">
      <c r="A362" s="286" t="str">
        <f t="shared" si="43"/>
        <v>TP</v>
      </c>
      <c r="B362" s="299">
        <f t="shared" si="44"/>
        <v>144</v>
      </c>
      <c r="C362" s="186" t="s">
        <v>944</v>
      </c>
      <c r="D362" s="298" t="s">
        <v>1299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86"/>
    </row>
    <row r="363" spans="1:13" ht="19.5" customHeight="1">
      <c r="A363" s="286" t="str">
        <f t="shared" si="43"/>
        <v>TP</v>
      </c>
      <c r="B363" s="299">
        <f t="shared" si="44"/>
        <v>145</v>
      </c>
      <c r="C363" s="186" t="s">
        <v>945</v>
      </c>
      <c r="D363" s="298" t="s">
        <v>1299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86"/>
    </row>
    <row r="364" spans="1:13" ht="19.5" customHeight="1">
      <c r="A364" s="286" t="str">
        <f t="shared" si="43"/>
        <v>TP</v>
      </c>
      <c r="B364" s="299">
        <f t="shared" si="44"/>
        <v>146</v>
      </c>
      <c r="C364" s="189" t="s">
        <v>811</v>
      </c>
      <c r="D364" s="298" t="s">
        <v>1299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86"/>
    </row>
    <row r="365" spans="1:13" ht="19.5" customHeight="1">
      <c r="A365" s="286" t="str">
        <f t="shared" si="43"/>
        <v>TP</v>
      </c>
      <c r="B365" s="299">
        <f t="shared" si="44"/>
        <v>147</v>
      </c>
      <c r="C365" s="186" t="s">
        <v>946</v>
      </c>
      <c r="D365" s="298" t="s">
        <v>1299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86"/>
    </row>
    <row r="366" spans="1:13" ht="19.5" customHeight="1">
      <c r="A366" s="286" t="str">
        <f t="shared" si="43"/>
        <v>TP</v>
      </c>
      <c r="B366" s="299">
        <f t="shared" si="44"/>
        <v>148</v>
      </c>
      <c r="C366" s="189" t="s">
        <v>818</v>
      </c>
      <c r="D366" s="298" t="s">
        <v>1299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86"/>
    </row>
    <row r="367" spans="1:13" ht="19.5" customHeight="1">
      <c r="A367" s="286" t="str">
        <f t="shared" si="43"/>
        <v>TP</v>
      </c>
      <c r="B367" s="299">
        <f t="shared" si="44"/>
        <v>149</v>
      </c>
      <c r="C367" s="186" t="s">
        <v>711</v>
      </c>
      <c r="D367" s="298" t="s">
        <v>1299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86"/>
    </row>
    <row r="368" spans="1:13" ht="19.5" customHeight="1">
      <c r="A368" s="286" t="str">
        <f t="shared" si="43"/>
        <v>TP</v>
      </c>
      <c r="B368" s="299">
        <f t="shared" si="44"/>
        <v>150</v>
      </c>
      <c r="C368" s="189" t="s">
        <v>977</v>
      </c>
      <c r="D368" s="298" t="s">
        <v>1299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86"/>
    </row>
    <row r="369" spans="1:13" ht="19.5" customHeight="1">
      <c r="A369" s="286" t="str">
        <f t="shared" si="43"/>
        <v>TP</v>
      </c>
      <c r="B369" s="299">
        <f t="shared" si="44"/>
        <v>151</v>
      </c>
      <c r="C369" s="189" t="s">
        <v>731</v>
      </c>
      <c r="D369" s="298" t="s">
        <v>1299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86"/>
    </row>
    <row r="370" spans="1:13" ht="19.5" customHeight="1">
      <c r="A370" s="286" t="str">
        <f t="shared" si="43"/>
        <v>TP</v>
      </c>
      <c r="B370" s="299">
        <f t="shared" si="44"/>
        <v>152</v>
      </c>
      <c r="C370" s="189" t="s">
        <v>742</v>
      </c>
      <c r="D370" s="298" t="s">
        <v>1299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86"/>
    </row>
    <row r="371" spans="1:13" ht="19.5" customHeight="1">
      <c r="A371" s="286" t="str">
        <f t="shared" si="43"/>
        <v>TP</v>
      </c>
      <c r="B371" s="299">
        <f t="shared" si="44"/>
        <v>153</v>
      </c>
      <c r="C371" s="189" t="s">
        <v>745</v>
      </c>
      <c r="D371" s="298" t="s">
        <v>1299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86"/>
    </row>
    <row r="372" spans="1:13" ht="19.5" customHeight="1">
      <c r="A372" s="286" t="str">
        <f t="shared" si="43"/>
        <v>TP</v>
      </c>
      <c r="B372" s="299">
        <f t="shared" si="44"/>
        <v>154</v>
      </c>
      <c r="C372" s="186" t="s">
        <v>943</v>
      </c>
      <c r="D372" s="298" t="s">
        <v>1299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86"/>
    </row>
    <row r="373" spans="1:13" ht="19.5" customHeight="1">
      <c r="A373" s="286" t="str">
        <f t="shared" si="43"/>
        <v>TP</v>
      </c>
      <c r="B373" s="299">
        <f t="shared" si="44"/>
        <v>155</v>
      </c>
      <c r="C373" s="189" t="s">
        <v>836</v>
      </c>
      <c r="D373" s="298" t="s">
        <v>1299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86"/>
    </row>
    <row r="374" spans="1:13" ht="19.5" customHeight="1">
      <c r="A374" s="286" t="str">
        <f t="shared" si="43"/>
        <v>TP</v>
      </c>
      <c r="B374" s="299">
        <f t="shared" si="44"/>
        <v>156</v>
      </c>
      <c r="C374" s="189" t="s">
        <v>810</v>
      </c>
      <c r="D374" s="298" t="s">
        <v>1299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86"/>
    </row>
    <row r="375" spans="1:13" ht="19.5" customHeight="1">
      <c r="A375" s="286" t="str">
        <f t="shared" si="43"/>
        <v>TP</v>
      </c>
      <c r="B375" s="299">
        <f t="shared" si="44"/>
        <v>157</v>
      </c>
      <c r="C375" s="189" t="s">
        <v>834</v>
      </c>
      <c r="D375" s="298" t="s">
        <v>1299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86"/>
    </row>
    <row r="376" spans="1:13" ht="19.5" customHeight="1">
      <c r="A376" s="286" t="str">
        <f t="shared" si="43"/>
        <v>TP</v>
      </c>
      <c r="B376" s="299">
        <f t="shared" si="44"/>
        <v>158</v>
      </c>
      <c r="C376" s="189" t="s">
        <v>807</v>
      </c>
      <c r="D376" s="298" t="s">
        <v>1299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86"/>
    </row>
    <row r="377" spans="1:13" ht="19.5" customHeight="1">
      <c r="A377" s="286" t="str">
        <f t="shared" si="43"/>
        <v>TP</v>
      </c>
      <c r="B377" s="299">
        <f t="shared" si="44"/>
        <v>159</v>
      </c>
      <c r="C377" s="189" t="s">
        <v>451</v>
      </c>
      <c r="D377" s="298" t="s">
        <v>1299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86"/>
    </row>
    <row r="378" spans="1:13" ht="19.5" customHeight="1">
      <c r="A378" s="286" t="str">
        <f t="shared" si="43"/>
        <v>TP</v>
      </c>
      <c r="B378" s="299">
        <f t="shared" si="44"/>
        <v>160</v>
      </c>
      <c r="C378" s="189" t="s">
        <v>1005</v>
      </c>
      <c r="D378" s="298" t="s">
        <v>1299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86"/>
    </row>
    <row r="379" spans="1:13" ht="19.5" customHeight="1">
      <c r="A379" s="286" t="str">
        <f t="shared" ref="A379" si="47">IF(B379&lt;&gt;"","TP","")</f>
        <v>TP</v>
      </c>
      <c r="B379" s="299">
        <f t="shared" ref="B379" si="48">IF(C379&lt;&gt;"",B378+1,"")</f>
        <v>161</v>
      </c>
      <c r="C379" s="189" t="s">
        <v>872</v>
      </c>
      <c r="D379" s="298" t="s">
        <v>1299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86"/>
    </row>
    <row r="380" spans="1:13" ht="18.75" customHeight="1">
      <c r="A380" s="286" t="str">
        <f t="shared" ref="A380:A381" si="49">IF(B380&lt;&gt;"","TP","")</f>
        <v/>
      </c>
      <c r="B380" s="299" t="str">
        <f>IF(C380&lt;&gt;"",#REF!+1,"")</f>
        <v/>
      </c>
      <c r="C380" s="301"/>
      <c r="D380" s="296"/>
      <c r="E380" s="8"/>
      <c r="F380" s="8"/>
      <c r="G380" s="297"/>
      <c r="H380" s="297"/>
      <c r="I380" s="297"/>
      <c r="J380" s="297"/>
      <c r="K380" s="297"/>
      <c r="L380" s="297"/>
      <c r="M380" s="286"/>
    </row>
    <row r="381" spans="1:13" ht="19.5" customHeight="1">
      <c r="A381" s="286" t="str">
        <f t="shared" si="49"/>
        <v/>
      </c>
      <c r="B381" s="285"/>
      <c r="C381" s="294" t="s">
        <v>198</v>
      </c>
      <c r="D381" s="285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86"/>
    </row>
    <row r="382" spans="1:13" ht="18.75" customHeight="1">
      <c r="A382" s="286"/>
      <c r="B382" s="472"/>
      <c r="C382" s="472"/>
      <c r="D382" s="471"/>
      <c r="E382" s="473"/>
      <c r="F382" s="473">
        <f>F381-CDPS!C23</f>
        <v>0</v>
      </c>
      <c r="G382" s="473"/>
      <c r="H382" s="473">
        <f>H381-CDPS!E23</f>
        <v>0</v>
      </c>
      <c r="I382" s="473"/>
      <c r="J382" s="473">
        <f>J381-CDPS!F23</f>
        <v>0</v>
      </c>
      <c r="K382" s="473"/>
      <c r="L382" s="473">
        <f>L381-CDPS!H23</f>
        <v>0</v>
      </c>
      <c r="M382" s="300"/>
    </row>
    <row r="383" spans="1:13" ht="18.75" customHeight="1"/>
    <row r="384" spans="1:13" ht="19.5" customHeight="1"/>
    <row r="385" spans="3:12" ht="19.5" customHeight="1">
      <c r="C385" s="954"/>
      <c r="D385" s="954"/>
      <c r="E385" s="954"/>
      <c r="F385" s="829"/>
      <c r="G385" s="829"/>
      <c r="H385" s="829"/>
      <c r="I385" s="829"/>
      <c r="J385" s="954" t="s">
        <v>461</v>
      </c>
      <c r="K385" s="954"/>
      <c r="L385" s="954"/>
    </row>
    <row r="386" spans="3:12" ht="19.5" customHeight="1">
      <c r="C386" s="830"/>
      <c r="D386" s="830"/>
      <c r="E386" s="830"/>
      <c r="F386" s="954"/>
      <c r="G386" s="954"/>
      <c r="H386" s="954"/>
      <c r="I386" s="829"/>
      <c r="J386" s="954" t="s">
        <v>107</v>
      </c>
      <c r="K386" s="954"/>
      <c r="L386" s="954"/>
    </row>
    <row r="387" spans="3:12" ht="19.5" customHeight="1">
      <c r="C387" s="830"/>
      <c r="D387" s="830"/>
      <c r="E387" s="830"/>
      <c r="F387" s="954"/>
      <c r="G387" s="954"/>
      <c r="H387" s="954"/>
      <c r="I387" s="281"/>
      <c r="J387" s="954" t="s">
        <v>134</v>
      </c>
      <c r="K387" s="954"/>
      <c r="L387" s="954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C7:L7"/>
    <mergeCell ref="F387:H387"/>
    <mergeCell ref="J387:L387"/>
    <mergeCell ref="C385:E385"/>
    <mergeCell ref="J385:L385"/>
    <mergeCell ref="F386:H386"/>
    <mergeCell ref="J386:L38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05" customWidth="1"/>
    <col min="2" max="2" width="32.14062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2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66" customFormat="1" ht="12" customHeight="1">
      <c r="A2" s="665" t="str">
        <f>TH!A1</f>
        <v>Đơn vị: CÔNG TY TNHH SX TM KIM DUNG PHÁT</v>
      </c>
      <c r="G2" s="667" t="str">
        <f>+IF(LEFT($D$7,1)="N","Mẫu số 01 - VT","Mẫu số 02 - VT")</f>
        <v>Mẫu số 02 - VT</v>
      </c>
    </row>
    <row r="3" spans="1:17" s="666" customFormat="1" ht="12" customHeight="1">
      <c r="A3" s="668" t="str">
        <f>TH!A2</f>
        <v>Địa chỉ: 1A227/1 Ấp 1, Phạm Văn Hai, Bình Chánh, TPHCM</v>
      </c>
      <c r="G3" s="70" t="str">
        <f ca="1">IF(INT(RIGHT($D$6,4))&gt;=2015,"(Ban hành theo Thông tư số 200/2014/TT-BTC ","(Ban hành kèm theo QĐ 48/2006/QĐ-BTC")</f>
        <v>(Ban hành kèm theo QĐ 48/2006/QĐ-BTC</v>
      </c>
      <c r="N3" s="667" t="s">
        <v>102</v>
      </c>
      <c r="O3" s="669"/>
      <c r="P3" s="670">
        <f>IF(J5="Quý I",1,IF(J5="Quý II",4,IF(J5="Quý III",7,IF(J5="Quý IV",10,""))))</f>
        <v>4</v>
      </c>
      <c r="Q3" s="670">
        <f>IF(J5="Quý I",3,IF(J5="Quý II",6,IF(J5="Quý III",9,IF(J5="Quý IV",12,""))))</f>
        <v>6</v>
      </c>
    </row>
    <row r="4" spans="1:17" s="666" customFormat="1" ht="10.5" customHeight="1" thickBot="1">
      <c r="G4" s="70" t="str">
        <f ca="1">IF(INT(RIGHT($D$6,4))&gt;=2015,"Ngày 22/12/2014 của Bộ Tài chính)","ngày 24/09/2006 của Bộ trưởng BTC)")</f>
        <v>ngày 24/09/2006 của Bộ trưởng BTC)</v>
      </c>
      <c r="J4" s="671"/>
      <c r="M4" s="672"/>
      <c r="N4" s="667" t="s">
        <v>103</v>
      </c>
      <c r="O4" s="669"/>
    </row>
    <row r="5" spans="1:17" ht="18" customHeight="1" thickBot="1">
      <c r="D5" s="309" t="str">
        <f>+IF(LEFT($L$5,1)="N","PHIẾU NHẬP KHO","PHIẾU XUẤT KHO")</f>
        <v>PHIẾU XUẤT KHO</v>
      </c>
      <c r="J5" s="662" t="s">
        <v>366</v>
      </c>
      <c r="K5" s="310"/>
      <c r="L5" s="663" t="s">
        <v>457</v>
      </c>
      <c r="M5" s="311"/>
      <c r="N5" s="664">
        <v>18</v>
      </c>
      <c r="O5" s="306"/>
      <c r="P5" s="306"/>
    </row>
    <row r="6" spans="1:17" ht="10.5" customHeight="1">
      <c r="D6" s="67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75"/>
      <c r="M6" s="308"/>
      <c r="O6" s="306"/>
    </row>
    <row r="7" spans="1:17" ht="10.5" customHeight="1">
      <c r="C7" s="676" t="str">
        <f xml:space="preserve"> "Số:"</f>
        <v>Số:</v>
      </c>
      <c r="D7" s="677" t="str">
        <f xml:space="preserve"> RIGHT($L$5,2)&amp;"/"&amp;LEFT($L$5,1)&amp;IF($N$5&gt;=10,$N$5,"0"&amp;$N$5)</f>
        <v>TP/X18</v>
      </c>
      <c r="G7" s="305" t="str">
        <f ca="1">"Nợ:  "&amp;IF(ROWS($1:1)&gt;COUNT(Dong10),"",OFFSET(TH!L$1,SMALL(Dong10,ROWS($1:1)),))</f>
        <v>Nợ:  131</v>
      </c>
      <c r="M7" s="308"/>
      <c r="O7" s="306"/>
    </row>
    <row r="8" spans="1:17" ht="10.5" customHeight="1">
      <c r="D8" s="70"/>
      <c r="G8" s="305" t="str">
        <f ca="1">"Có:  "&amp;IF(ROWS($1:1)&gt;COUNT(Dong10),"",OFFSET(TH!M$1,SMALL(Dong10,ROWS($1:1)),))</f>
        <v>Có:  5112</v>
      </c>
      <c r="M8" s="308"/>
      <c r="O8" s="678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995" t="s">
        <v>35</v>
      </c>
      <c r="B14" s="995" t="s">
        <v>199</v>
      </c>
      <c r="C14" s="995" t="s">
        <v>200</v>
      </c>
      <c r="D14" s="995" t="s">
        <v>191</v>
      </c>
      <c r="E14" s="997" t="s">
        <v>201</v>
      </c>
      <c r="F14" s="997"/>
      <c r="G14" s="995" t="s">
        <v>202</v>
      </c>
      <c r="H14" s="995" t="s">
        <v>203</v>
      </c>
    </row>
    <row r="15" spans="1:17" ht="14.25" customHeight="1">
      <c r="A15" s="996"/>
      <c r="B15" s="996"/>
      <c r="C15" s="996"/>
      <c r="D15" s="996"/>
      <c r="E15" s="679" t="s">
        <v>204</v>
      </c>
      <c r="F15" s="679" t="str">
        <f>IF(LEFT($D$7,1)="N","Thực nhập","Thực xuất")</f>
        <v>Thực xuất</v>
      </c>
      <c r="G15" s="996"/>
      <c r="H15" s="996"/>
    </row>
    <row r="16" spans="1:17" s="70" customFormat="1" ht="8.25" customHeight="1">
      <c r="A16" s="680" t="s">
        <v>2</v>
      </c>
      <c r="B16" s="680" t="s">
        <v>3</v>
      </c>
      <c r="C16" s="680" t="s">
        <v>4</v>
      </c>
      <c r="D16" s="680" t="s">
        <v>5</v>
      </c>
      <c r="E16" s="680">
        <v>1</v>
      </c>
      <c r="F16" s="680">
        <v>2</v>
      </c>
      <c r="G16" s="680">
        <v>3</v>
      </c>
      <c r="H16" s="680">
        <v>4</v>
      </c>
    </row>
    <row r="17" spans="1:8" ht="11.25" customHeight="1">
      <c r="A17" s="681">
        <f ca="1">IF(B17="","",ROW()-16)</f>
        <v>1</v>
      </c>
      <c r="B17" s="682" t="str">
        <f ca="1">IF(ROWS($1:1)&gt;COUNT(Dong10),"",OFFSET(TH!F$1,SMALL(Dong10,ROWS($1:1)),))</f>
        <v>Thùng (37x27x35)</v>
      </c>
      <c r="C17" s="683"/>
      <c r="D17" s="684" t="str">
        <f ca="1">IF(ISNA(VLOOKUP(B17,NXT!$C$12:$D$380,2,0)),"",VLOOKUP(B17,NXT!$C$12:$D$380,2,0))</f>
        <v>cái</v>
      </c>
      <c r="E17" s="685"/>
      <c r="F17" s="686">
        <f ca="1">IF(ROWS($1:1)&gt;COUNT(Dong10),"",OFFSET(TH!I$1,SMALL(Dong10,ROWS($1:1)),))</f>
        <v>500</v>
      </c>
      <c r="G17" s="686">
        <f ca="1">IF(ROWS($1:1)&gt;COUNT(Dong10),"",OFFSET(TH!J$1,SMALL(Dong10,ROWS($1:1)),))</f>
        <v>9206</v>
      </c>
      <c r="H17" s="685">
        <f ca="1">IF(F17&lt;&gt;"",ROUND(F17*G17,0),0)</f>
        <v>4603000</v>
      </c>
    </row>
    <row r="18" spans="1:8" ht="11.25" customHeight="1">
      <c r="A18" s="681" t="str">
        <f t="shared" ref="A18:A20" ca="1" si="0">IF(B18="","",A17+1)</f>
        <v/>
      </c>
      <c r="B18" s="682" t="str">
        <f ca="1">IF(ROWS($1:2)&gt;COUNT(Dong10),"",OFFSET(TH!F$1,SMALL(Dong10,ROWS($1:2)),))</f>
        <v/>
      </c>
      <c r="C18" s="683"/>
      <c r="D18" s="684" t="str">
        <f ca="1">IF(ISNA(VLOOKUP(B18,NXT!$C$12:$D$380,2,0)),"",VLOOKUP(B18,NXT!$C$12:$D$380,2,0))</f>
        <v/>
      </c>
      <c r="E18" s="685"/>
      <c r="F18" s="686" t="str">
        <f ca="1">IF(ROWS($1:2)&gt;COUNT(Dong10),"",OFFSET(TH!I$1,SMALL(Dong10,ROWS($1:2)),))</f>
        <v/>
      </c>
      <c r="G18" s="686" t="str">
        <f ca="1">IF(ROWS($1:2)&gt;COUNT(Dong10),"",OFFSET(TH!J$1,SMALL(Dong10,ROWS($1:2)),))</f>
        <v/>
      </c>
      <c r="H18" s="685">
        <f t="shared" ref="H18:H24" ca="1" si="1">IF(F18&lt;&gt;"",ROUND(F18*G18,0),0)</f>
        <v>0</v>
      </c>
    </row>
    <row r="19" spans="1:8" ht="11.25" customHeight="1">
      <c r="A19" s="681" t="str">
        <f t="shared" ca="1" si="0"/>
        <v/>
      </c>
      <c r="B19" s="682" t="str">
        <f ca="1">IF(ROWS($1:3)&gt;COUNT(Dong10),"",OFFSET(TH!F$1,SMALL(Dong10,ROWS($1:3)),))</f>
        <v/>
      </c>
      <c r="C19" s="683"/>
      <c r="D19" s="684" t="str">
        <f ca="1">IF(ISNA(VLOOKUP(B19,NXT!$C$12:$D$380,2,0)),"",VLOOKUP(B19,NXT!$C$12:$D$380,2,0))</f>
        <v/>
      </c>
      <c r="E19" s="685"/>
      <c r="F19" s="686" t="str">
        <f ca="1">IF(ROWS($1:3)&gt;COUNT(Dong10),"",OFFSET(TH!I$1,SMALL(Dong10,ROWS($1:3)),))</f>
        <v/>
      </c>
      <c r="G19" s="686" t="str">
        <f ca="1">IF(ROWS($1:3)&gt;COUNT(Dong10),"",OFFSET(TH!J$1,SMALL(Dong10,ROWS($1:3)),))</f>
        <v/>
      </c>
      <c r="H19" s="685">
        <f t="shared" ca="1" si="1"/>
        <v>0</v>
      </c>
    </row>
    <row r="20" spans="1:8" ht="11.25" customHeight="1">
      <c r="A20" s="681" t="str">
        <f t="shared" ca="1" si="0"/>
        <v/>
      </c>
      <c r="B20" s="682" t="str">
        <f ca="1">IF(ROWS($1:4)&gt;COUNT(Dong10),"",OFFSET(TH!F$1,SMALL(Dong10,ROWS($1:4)),))</f>
        <v/>
      </c>
      <c r="C20" s="683"/>
      <c r="D20" s="684" t="str">
        <f ca="1">IF(ISNA(VLOOKUP(B20,NXT!$C$12:$D$380,2,0)),"",VLOOKUP(B20,NXT!$C$12:$D$380,2,0))</f>
        <v/>
      </c>
      <c r="E20" s="685"/>
      <c r="F20" s="686" t="str">
        <f ca="1">IF(ROWS($1:4)&gt;COUNT(Dong10),"",OFFSET(TH!I$1,SMALL(Dong10,ROWS($1:4)),))</f>
        <v/>
      </c>
      <c r="G20" s="686" t="str">
        <f ca="1">IF(ROWS($1:4)&gt;COUNT(Dong10),"",OFFSET(TH!J$1,SMALL(Dong10,ROWS($1:4)),))</f>
        <v/>
      </c>
      <c r="H20" s="685">
        <f t="shared" ca="1" si="1"/>
        <v>0</v>
      </c>
    </row>
    <row r="21" spans="1:8" ht="11.25" customHeight="1">
      <c r="A21" s="681" t="str">
        <f t="shared" ref="A21:A23" ca="1" si="2">IF(B21="","",A20+1)</f>
        <v/>
      </c>
      <c r="B21" s="682" t="str">
        <f ca="1">IF(ROWS($1:5)&gt;COUNT(Dong10),"",OFFSET(TH!F$1,SMALL(Dong10,ROWS($1:5)),))</f>
        <v/>
      </c>
      <c r="C21" s="683"/>
      <c r="D21" s="684" t="str">
        <f ca="1">IF(ISNA(VLOOKUP(B21,NXT!$C$12:$D$380,2,0)),"",VLOOKUP(B21,NXT!$C$12:$D$380,2,0))</f>
        <v/>
      </c>
      <c r="E21" s="685"/>
      <c r="F21" s="686" t="str">
        <f ca="1">IF(ROWS($1:5)&gt;COUNT(Dong10),"",OFFSET(TH!I$1,SMALL(Dong10,ROWS($1:5)),))</f>
        <v/>
      </c>
      <c r="G21" s="686" t="str">
        <f ca="1">IF(ROWS($1:5)&gt;COUNT(Dong10),"",OFFSET(TH!J$1,SMALL(Dong10,ROWS($1:5)),))</f>
        <v/>
      </c>
      <c r="H21" s="685">
        <f t="shared" ca="1" si="1"/>
        <v>0</v>
      </c>
    </row>
    <row r="22" spans="1:8" ht="11.25" customHeight="1">
      <c r="A22" s="681" t="str">
        <f t="shared" ca="1" si="2"/>
        <v/>
      </c>
      <c r="B22" s="682" t="str">
        <f ca="1">IF(ROWS($1:6)&gt;COUNT(Dong10),"",OFFSET(TH!F$1,SMALL(Dong10,ROWS($1:6)),))</f>
        <v/>
      </c>
      <c r="C22" s="683"/>
      <c r="D22" s="684" t="str">
        <f ca="1">IF(ISNA(VLOOKUP(B22,NXT!$C$12:$D$380,2,0)),"",VLOOKUP(B22,NXT!$C$12:$D$380,2,0))</f>
        <v/>
      </c>
      <c r="E22" s="685"/>
      <c r="F22" s="686" t="str">
        <f ca="1">IF(ROWS($1:6)&gt;COUNT(Dong10),"",OFFSET(TH!I$1,SMALL(Dong10,ROWS($1:6)),))</f>
        <v/>
      </c>
      <c r="G22" s="686" t="str">
        <f ca="1">IF(ROWS($1:6)&gt;COUNT(Dong10),"",OFFSET(TH!J$1,SMALL(Dong10,ROWS($1:6)),))</f>
        <v/>
      </c>
      <c r="H22" s="685">
        <f t="shared" ca="1" si="1"/>
        <v>0</v>
      </c>
    </row>
    <row r="23" spans="1:8" ht="11.25" customHeight="1">
      <c r="A23" s="681" t="str">
        <f t="shared" ca="1" si="2"/>
        <v/>
      </c>
      <c r="B23" s="682" t="str">
        <f ca="1">IF(ROWS($1:7)&gt;COUNT(Dong10),"",OFFSET(TH!F$1,SMALL(Dong10,ROWS($1:7)),))</f>
        <v/>
      </c>
      <c r="C23" s="683"/>
      <c r="D23" s="684" t="str">
        <f ca="1">IF(ISNA(VLOOKUP(B23,NXT!$C$12:$D$380,2,0)),"",VLOOKUP(B23,NXT!$C$12:$D$380,2,0))</f>
        <v/>
      </c>
      <c r="E23" s="685"/>
      <c r="F23" s="686" t="str">
        <f ca="1">IF(ROWS($1:7)&gt;COUNT(Dong10),"",OFFSET(TH!I$1,SMALL(Dong10,ROWS($1:7)),))</f>
        <v/>
      </c>
      <c r="G23" s="686" t="str">
        <f ca="1">IF(ROWS($1:7)&gt;COUNT(Dong10),"",OFFSET(TH!J$1,SMALL(Dong10,ROWS($1:7)),))</f>
        <v/>
      </c>
      <c r="H23" s="685">
        <f t="shared" ca="1" si="1"/>
        <v>0</v>
      </c>
    </row>
    <row r="24" spans="1:8" ht="11.25" customHeight="1">
      <c r="A24" s="681" t="str">
        <f t="shared" ref="A24" ca="1" si="3">IF(B24="","",A23+1)</f>
        <v/>
      </c>
      <c r="B24" s="682" t="str">
        <f ca="1">IF(ROWS($1:8)&gt;COUNT(Dong10),"",OFFSET(TH!F$1,SMALL(Dong10,ROWS($1:8)),))</f>
        <v/>
      </c>
      <c r="C24" s="683"/>
      <c r="D24" s="684" t="str">
        <f ca="1">IF(ISNA(VLOOKUP(B24,NXT!$C$12:$D$380,2,0)),"",VLOOKUP(B24,NXT!$C$12:$D$380,2,0))</f>
        <v/>
      </c>
      <c r="E24" s="685"/>
      <c r="F24" s="686" t="str">
        <f ca="1">IF(ROWS($1:8)&gt;COUNT(Dong10),"",OFFSET(TH!I$1,SMALL(Dong10,ROWS($1:8)),))</f>
        <v/>
      </c>
      <c r="G24" s="686" t="str">
        <f ca="1">IF(ROWS($1:8)&gt;COUNT(Dong10),"",OFFSET(TH!J$1,SMALL(Dong10,ROWS($1:8)),))</f>
        <v/>
      </c>
      <c r="H24" s="685">
        <f t="shared" ca="1" si="1"/>
        <v>0</v>
      </c>
    </row>
    <row r="25" spans="1:8" ht="11.25" customHeight="1">
      <c r="A25" s="681" t="str">
        <f t="shared" ref="A25" ca="1" si="4">IF(B25="","",A24+1)</f>
        <v/>
      </c>
      <c r="B25" s="682" t="str">
        <f ca="1">IF(ROWS($1:9)&gt;COUNT(Dong10),"",OFFSET(TH!F$1,SMALL(Dong10,ROWS($1:9)),))</f>
        <v/>
      </c>
      <c r="C25" s="683"/>
      <c r="D25" s="684" t="str">
        <f ca="1">IF(ISNA(VLOOKUP(B25,NXT!$C$12:$D$380,2,0)),"",VLOOKUP(B25,NXT!$C$12:$D$380,2,0))</f>
        <v/>
      </c>
      <c r="E25" s="685"/>
      <c r="F25" s="686" t="str">
        <f ca="1">IF(ROWS($1:9)&gt;COUNT(Dong10),"",OFFSET(TH!I$1,SMALL(Dong10,ROWS($1:9)),))</f>
        <v/>
      </c>
      <c r="G25" s="686" t="str">
        <f ca="1">IF(ROWS($1:9)&gt;COUNT(Dong10),"",OFFSET(TH!J$1,SMALL(Dong10,ROWS($1:9)),))</f>
        <v/>
      </c>
      <c r="H25" s="685">
        <f t="shared" ref="H25" ca="1" si="5">IF(F25&lt;&gt;"",ROUND(F25*G25,0),0)</f>
        <v>0</v>
      </c>
    </row>
    <row r="26" spans="1:8" ht="11.25" customHeight="1">
      <c r="A26" s="681" t="str">
        <f t="shared" ref="A26" ca="1" si="6">IF(B26="","",A25+1)</f>
        <v/>
      </c>
      <c r="B26" s="682" t="str">
        <f ca="1">IF(ROWS($1:10)&gt;COUNT(Dong10),"",OFFSET(TH!F$1,SMALL(Dong10,ROWS($1:10)),))</f>
        <v/>
      </c>
      <c r="C26" s="683"/>
      <c r="D26" s="684" t="str">
        <f ca="1">IF(ISNA(VLOOKUP(B26,NXT!$C$12:$D$380,2,0)),"",VLOOKUP(B26,NXT!$C$12:$D$380,2,0))</f>
        <v/>
      </c>
      <c r="E26" s="685"/>
      <c r="F26" s="686" t="str">
        <f ca="1">IF(ROWS($1:10)&gt;COUNT(Dong10),"",OFFSET(TH!I$1,SMALL(Dong10,ROWS($1:10)),))</f>
        <v/>
      </c>
      <c r="G26" s="686" t="str">
        <f ca="1">IF(ROWS($1:10)&gt;COUNT(Dong10),"",OFFSET(TH!J$1,SMALL(Dong10,ROWS($1:10)),))</f>
        <v/>
      </c>
      <c r="H26" s="685">
        <f t="shared" ref="H26" ca="1" si="7">IF(F26&lt;&gt;"",ROUND(F26*G26,0),0)</f>
        <v>0</v>
      </c>
    </row>
    <row r="27" spans="1:8" ht="11.25" customHeight="1">
      <c r="A27" s="997" t="s">
        <v>205</v>
      </c>
      <c r="B27" s="997"/>
      <c r="C27" s="687"/>
      <c r="D27" s="687"/>
      <c r="E27" s="688"/>
      <c r="F27" s="688"/>
      <c r="G27" s="688"/>
      <c r="H27" s="688">
        <f ca="1">SUM(H17:H26)</f>
        <v>4603000</v>
      </c>
    </row>
    <row r="28" spans="1:8" ht="3" customHeight="1">
      <c r="A28" s="689"/>
      <c r="B28" s="689"/>
      <c r="C28" s="308"/>
      <c r="D28" s="308"/>
      <c r="E28" s="690"/>
      <c r="F28" s="690"/>
      <c r="G28" s="690"/>
      <c r="H28" s="690"/>
    </row>
    <row r="29" spans="1:8" ht="12" customHeight="1">
      <c r="A29" s="305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05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07" customFormat="1" ht="10.5" customHeight="1">
      <c r="A32" s="691" t="s">
        <v>206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77" t="s">
        <v>207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7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73" customFormat="1" ht="11.25" customHeight="1"/>
    <row r="39" spans="1:8" ht="11.25" customHeight="1">
      <c r="A39" s="313"/>
      <c r="F39" s="3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329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208</v>
      </c>
      <c r="E1" s="316"/>
      <c r="O1" s="317"/>
    </row>
    <row r="2" spans="1:17" s="256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005" t="s">
        <v>209</v>
      </c>
      <c r="K2" s="1005"/>
      <c r="L2" s="1005"/>
      <c r="M2" s="1005"/>
      <c r="N2" s="322"/>
    </row>
    <row r="3" spans="1:17" s="256" customFormat="1" ht="16.5" customHeight="1">
      <c r="B3" s="613" t="str">
        <f>TH!A2</f>
        <v>Địa chỉ: 1A227/1 Ấp 1, Phạm Văn Hai, Bình Chánh, TPHCM</v>
      </c>
      <c r="C3" s="318"/>
      <c r="D3" s="318"/>
      <c r="E3" s="323"/>
      <c r="F3" s="318"/>
      <c r="J3" s="100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6"/>
      <c r="L3" s="1006"/>
      <c r="M3" s="1006"/>
      <c r="N3" s="324"/>
    </row>
    <row r="4" spans="1:17" s="256" customFormat="1" ht="16.5" customHeight="1">
      <c r="B4" s="318"/>
      <c r="C4" s="318"/>
      <c r="D4" s="318"/>
      <c r="E4" s="323"/>
      <c r="F4" s="318"/>
      <c r="J4" s="1006"/>
      <c r="K4" s="1006"/>
      <c r="L4" s="1006"/>
      <c r="M4" s="1006"/>
      <c r="N4" s="324"/>
    </row>
    <row r="5" spans="1:17" ht="18.75" customHeight="1">
      <c r="B5" s="1007" t="s">
        <v>210</v>
      </c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325"/>
    </row>
    <row r="6" spans="1:17" s="326" customFormat="1" ht="12.75">
      <c r="B6" s="1008" t="s">
        <v>211</v>
      </c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327"/>
    </row>
    <row r="7" spans="1:17">
      <c r="C7" s="328"/>
      <c r="D7" s="328"/>
      <c r="F7" s="330" t="s">
        <v>275</v>
      </c>
      <c r="G7" s="460" t="str">
        <f>IF($O$10="VL","1522",IF($O$10="NL","1521",IF($O$10="TP","155","")))</f>
        <v>1521</v>
      </c>
      <c r="H7" s="330" t="s">
        <v>212</v>
      </c>
      <c r="I7" s="328" t="str">
        <f>IF($O$10="NL","Nguyên Liệu",IF($O$10="TP","Thành Phẩm",IF($O$10="VL","Vật Liệu","")))</f>
        <v>Nguyên Liệu</v>
      </c>
      <c r="J7" s="328"/>
      <c r="K7" s="328"/>
      <c r="L7" s="328"/>
      <c r="M7" s="328"/>
      <c r="N7" s="329"/>
    </row>
    <row r="8" spans="1:17">
      <c r="B8" s="329"/>
      <c r="C8" s="328"/>
      <c r="D8" s="328"/>
      <c r="F8" s="329" t="s">
        <v>213</v>
      </c>
      <c r="H8" s="328"/>
      <c r="I8" s="328"/>
      <c r="J8" s="1009" t="s">
        <v>654</v>
      </c>
      <c r="K8" s="1009"/>
      <c r="L8" s="1009"/>
      <c r="M8" s="328"/>
      <c r="N8" s="328"/>
    </row>
    <row r="9" spans="1:17">
      <c r="D9" s="331"/>
      <c r="E9" s="332"/>
      <c r="F9" s="331"/>
      <c r="G9" s="331"/>
      <c r="H9" s="331"/>
      <c r="I9" s="331"/>
      <c r="J9" s="331"/>
      <c r="K9" s="331" t="s">
        <v>121</v>
      </c>
      <c r="M9" s="333"/>
      <c r="N9" s="334"/>
    </row>
    <row r="10" spans="1:17" ht="15.75" customHeight="1">
      <c r="A10" s="999" t="s">
        <v>35</v>
      </c>
      <c r="B10" s="1000" t="s">
        <v>1</v>
      </c>
      <c r="C10" s="1000"/>
      <c r="D10" s="1001" t="s">
        <v>0</v>
      </c>
      <c r="E10" s="1001" t="s">
        <v>214</v>
      </c>
      <c r="F10" s="1001" t="s">
        <v>202</v>
      </c>
      <c r="G10" s="1003" t="s">
        <v>215</v>
      </c>
      <c r="H10" s="1004"/>
      <c r="I10" s="1003" t="s">
        <v>216</v>
      </c>
      <c r="J10" s="1004"/>
      <c r="K10" s="1003" t="s">
        <v>217</v>
      </c>
      <c r="L10" s="1004"/>
      <c r="M10" s="1001" t="s">
        <v>125</v>
      </c>
      <c r="N10" s="335"/>
      <c r="O10" s="336" t="s">
        <v>208</v>
      </c>
    </row>
    <row r="11" spans="1:17" ht="31.5" customHeight="1">
      <c r="A11" s="999"/>
      <c r="B11" s="337" t="s">
        <v>15</v>
      </c>
      <c r="C11" s="337" t="s">
        <v>32</v>
      </c>
      <c r="D11" s="1001"/>
      <c r="E11" s="1001"/>
      <c r="F11" s="1001"/>
      <c r="G11" s="337" t="s">
        <v>201</v>
      </c>
      <c r="H11" s="337" t="s">
        <v>203</v>
      </c>
      <c r="I11" s="337" t="s">
        <v>201</v>
      </c>
      <c r="J11" s="337" t="s">
        <v>203</v>
      </c>
      <c r="K11" s="337" t="s">
        <v>201</v>
      </c>
      <c r="L11" s="337" t="s">
        <v>203</v>
      </c>
      <c r="M11" s="1001"/>
      <c r="N11" s="335"/>
    </row>
    <row r="12" spans="1:17" s="329" customFormat="1">
      <c r="A12" s="338"/>
      <c r="B12" s="339" t="s">
        <v>2</v>
      </c>
      <c r="C12" s="340" t="s">
        <v>3</v>
      </c>
      <c r="D12" s="340" t="s">
        <v>4</v>
      </c>
      <c r="E12" s="339" t="s">
        <v>5</v>
      </c>
      <c r="F12" s="339">
        <v>1</v>
      </c>
      <c r="G12" s="339">
        <v>2</v>
      </c>
      <c r="H12" s="339" t="s">
        <v>219</v>
      </c>
      <c r="I12" s="339">
        <v>4</v>
      </c>
      <c r="J12" s="339" t="s">
        <v>220</v>
      </c>
      <c r="K12" s="339">
        <v>6</v>
      </c>
      <c r="L12" s="339" t="s">
        <v>221</v>
      </c>
      <c r="M12" s="339"/>
      <c r="N12" s="341"/>
    </row>
    <row r="13" spans="1:17">
      <c r="A13" s="342"/>
      <c r="B13" s="342"/>
      <c r="C13" s="342"/>
      <c r="D13" s="343" t="s">
        <v>142</v>
      </c>
      <c r="E13" s="344"/>
      <c r="F13" s="345"/>
      <c r="G13" s="345"/>
      <c r="H13" s="345"/>
      <c r="I13" s="345"/>
      <c r="J13" s="345"/>
      <c r="K13" s="346">
        <f>VLOOKUP($J$8,NXT!$C$12:$L$380,3,0)</f>
        <v>0</v>
      </c>
      <c r="L13" s="346">
        <f>VLOOKUP($J$8,NXT!$C$12:$L$380,4,0)</f>
        <v>0</v>
      </c>
      <c r="M13" s="345"/>
      <c r="N13" s="341"/>
    </row>
    <row r="14" spans="1:17">
      <c r="A14" s="312">
        <f ca="1">IF(B14="","",ROW()-13)</f>
        <v>1</v>
      </c>
      <c r="B14" s="347" t="str">
        <f ca="1">IF(ROWS($1:1)&gt;COUNT(Dong11),"",OFFSET(TH!D$1,SMALL(Dong11,ROWS($1:1)),))</f>
        <v>NL/N01</v>
      </c>
      <c r="C14" s="348">
        <f ca="1">IF(ROWS($1:1)&gt;COUNT(Dong11),"",OFFSET(TH!E$1,SMALL(Dong11,ROWS($1:1)),))</f>
        <v>41559</v>
      </c>
      <c r="D14" s="349" t="str">
        <f ca="1">IF(ROWS($1:1)&gt;COUNT(Dong11),"",OFFSET(TH!H$1,SMALL(Dong11,ROWS($1:1)),))</f>
        <v>Cty TNHH TM DV Đức Trịnh</v>
      </c>
      <c r="E14" s="347" t="str">
        <f ca="1">IF(ROWS($1:1)&gt;COUNT(Dong11),"",IF(OFFSET(TH!L$1,SMALL(Dong11,ROWS($1:1)),)=$G$7,OFFSET(TH!M$1,SMALL(Dong11,ROWS($1:1)),),OFFSET(TH!L$1,SMALL(Dong11,ROWS($1:1)),)))</f>
        <v>331</v>
      </c>
      <c r="F14" s="350">
        <f ca="1">IF(ROWS($1:1)&gt;COUNT(Dong11),0,OFFSET(TH!J$1,SMALL(Dong11,ROWS($1:1)),))</f>
        <v>8500</v>
      </c>
      <c r="G14" s="350">
        <f ca="1">IF(ROWS($1:1)&gt;COUNT(Dong11),0,IF(MID(OFFSET(TH!D$1,SMALL(Dong11,ROWS($1:1)),),4,1)="N",OFFSET(TH!I$1,SMALL(Dong11,ROWS($1:1)),),0))</f>
        <v>1800</v>
      </c>
      <c r="H14" s="351">
        <f ca="1">ROUND(F14*G14,0)</f>
        <v>15300000</v>
      </c>
      <c r="I14" s="350">
        <f ca="1">IF(ROWS($1:1)&gt;COUNT(Dong11),0,IF(MID(OFFSET(TH!D$1,SMALL(Dong11,ROWS($1:1)),),4,1)="X",OFFSET(TH!I$1,SMALL(Dong11,ROWS($1:1)),),0))</f>
        <v>0</v>
      </c>
      <c r="J14" s="351">
        <f ca="1">ROUND(F14*I14,0)</f>
        <v>0</v>
      </c>
      <c r="K14" s="351">
        <f ca="1">IF(D14&lt;&gt;"",K13+G14-I14,0)</f>
        <v>1800</v>
      </c>
      <c r="L14" s="351">
        <f ca="1">IF(D14&lt;&gt;"",L13+H14-J14,0)</f>
        <v>15300000</v>
      </c>
      <c r="M14" s="351"/>
      <c r="N14" s="341"/>
    </row>
    <row r="15" spans="1:17">
      <c r="A15" s="312">
        <f t="shared" ref="A15:A24" ca="1" si="0">IF(B15="","",A14+1)</f>
        <v>2</v>
      </c>
      <c r="B15" s="347" t="str">
        <f ca="1">IF(ROWS($1:2)&gt;COUNT(Dong11),"",OFFSET(TH!D$1,SMALL(Dong11,ROWS($1:2)),))</f>
        <v>NL/N06</v>
      </c>
      <c r="C15" s="348">
        <f ca="1">IF(ROWS($1:2)&gt;COUNT(Dong11),"",OFFSET(TH!E$1,SMALL(Dong11,ROWS($1:2)),))</f>
        <v>41575</v>
      </c>
      <c r="D15" s="349" t="str">
        <f ca="1">IF(ROWS($1:2)&gt;COUNT(Dong11),"",OFFSET(TH!H$1,SMALL(Dong11,ROWS($1:2)),))</f>
        <v>Cty TNHH TM DV Đức Trịnh</v>
      </c>
      <c r="E15" s="347" t="str">
        <f ca="1">IF(ROWS($1:2)&gt;COUNT(Dong11),"",IF(OFFSET(TH!L$1,SMALL(Dong11,ROWS($1:2)),)=$G$7,OFFSET(TH!M$1,SMALL(Dong11,ROWS($1:2)),),OFFSET(TH!L$1,SMALL(Dong11,ROWS($1:2)),)))</f>
        <v>331</v>
      </c>
      <c r="F15" s="350">
        <f ca="1">IF(ROWS($1:2)&gt;COUNT(Dong11),0,OFFSET(TH!J$1,SMALL(Dong11,ROWS($1:2)),))</f>
        <v>8500</v>
      </c>
      <c r="G15" s="350">
        <f ca="1">IF(ROWS($1:2)&gt;COUNT(Dong11),0,IF(MID(OFFSET(TH!D$1,SMALL(Dong11,ROWS($1:2)),),4,1)="N",OFFSET(TH!I$1,SMALL(Dong11,ROWS($1:2)),),0))</f>
        <v>500</v>
      </c>
      <c r="H15" s="351">
        <f t="shared" ref="H15:H24" ca="1" si="1">ROUND(F15*G15,0)</f>
        <v>4250000</v>
      </c>
      <c r="I15" s="350">
        <f ca="1">IF(ROWS($1:2)&gt;COUNT(Dong11),0,IF(MID(OFFSET(TH!D$1,SMALL(Dong11,ROWS($1:2)),),4,1)="X",OFFSET(TH!I$1,SMALL(Dong11,ROWS($1:2)),),0))</f>
        <v>0</v>
      </c>
      <c r="J15" s="351">
        <f t="shared" ref="J15:J24" ca="1" si="2">ROUND(F15*I15,0)</f>
        <v>0</v>
      </c>
      <c r="K15" s="351">
        <f t="shared" ref="K15:K24" ca="1" si="3">IF(D15&lt;&gt;"",K14+G15-I15,0)</f>
        <v>2300</v>
      </c>
      <c r="L15" s="351">
        <f t="shared" ref="L15:L24" ca="1" si="4">IF(D15&lt;&gt;"",L14+H15-J15,0)</f>
        <v>19550000</v>
      </c>
      <c r="M15" s="351"/>
      <c r="N15" s="341"/>
      <c r="Q15" s="352"/>
    </row>
    <row r="16" spans="1:17">
      <c r="A16" s="312">
        <f t="shared" ca="1" si="0"/>
        <v>3</v>
      </c>
      <c r="B16" s="347" t="str">
        <f ca="1">IF(ROWS($1:3)&gt;COUNT(Dong11),"",OFFSET(TH!D$1,SMALL(Dong11,ROWS($1:3)),))</f>
        <v>XNL</v>
      </c>
      <c r="C16" s="348">
        <f ca="1">IF(ROWS($1:3)&gt;COUNT(Dong11),"",OFFSET(TH!E$1,SMALL(Dong11,ROWS($1:3)),))</f>
        <v>41560</v>
      </c>
      <c r="D16" s="349" t="str">
        <f ca="1">IF(ROWS($1:3)&gt;COUNT(Dong11),"",OFFSET(TH!H$1,SMALL(Dong11,ROWS($1:3)),))</f>
        <v>Xuất sản xuất</v>
      </c>
      <c r="E16" s="347" t="str">
        <f ca="1">IF(ROWS($1:3)&gt;COUNT(Dong11),"",IF(OFFSET(TH!L$1,SMALL(Dong11,ROWS($1:3)),)=$G$7,OFFSET(TH!M$1,SMALL(Dong11,ROWS($1:3)),),OFFSET(TH!L$1,SMALL(Dong11,ROWS($1:3)),)))</f>
        <v>154</v>
      </c>
      <c r="F16" s="350">
        <f ca="1">IF(ROWS($1:3)&gt;COUNT(Dong11),0,OFFSET(TH!J$1,SMALL(Dong11,ROWS($1:3)),))</f>
        <v>8500</v>
      </c>
      <c r="G16" s="350">
        <f ca="1">IF(ROWS($1:3)&gt;COUNT(Dong11),0,IF(MID(OFFSET(TH!D$1,SMALL(Dong11,ROWS($1:3)),),4,1)="N",OFFSET(TH!I$1,SMALL(Dong11,ROWS($1:3)),),0))</f>
        <v>0</v>
      </c>
      <c r="H16" s="351">
        <f t="shared" ca="1" si="1"/>
        <v>0</v>
      </c>
      <c r="I16" s="350">
        <f ca="1">IF(ROWS($1:3)&gt;COUNT(Dong11),0,IF(MID(OFFSET(TH!D$1,SMALL(Dong11,ROWS($1:3)),),4,1)="X",OFFSET(TH!I$1,SMALL(Dong11,ROWS($1:3)),),0))</f>
        <v>0</v>
      </c>
      <c r="J16" s="351">
        <f t="shared" ca="1" si="2"/>
        <v>0</v>
      </c>
      <c r="K16" s="351">
        <f t="shared" ca="1" si="3"/>
        <v>2300</v>
      </c>
      <c r="L16" s="351">
        <f t="shared" ca="1" si="4"/>
        <v>19550000</v>
      </c>
      <c r="M16" s="351"/>
      <c r="N16" s="341"/>
    </row>
    <row r="17" spans="1:16">
      <c r="A17" s="312">
        <f t="shared" ca="1" si="0"/>
        <v>4</v>
      </c>
      <c r="B17" s="347" t="str">
        <f ca="1">IF(ROWS($1:4)&gt;COUNT(Dong11),"",OFFSET(TH!D$1,SMALL(Dong11,ROWS($1:4)),))</f>
        <v>XNL</v>
      </c>
      <c r="C17" s="348">
        <f ca="1">IF(ROWS($1:4)&gt;COUNT(Dong11),"",OFFSET(TH!E$1,SMALL(Dong11,ROWS($1:4)),))</f>
        <v>41575</v>
      </c>
      <c r="D17" s="349" t="str">
        <f ca="1">IF(ROWS($1:4)&gt;COUNT(Dong11),"",OFFSET(TH!H$1,SMALL(Dong11,ROWS($1:4)),))</f>
        <v>Xuất sản xuất</v>
      </c>
      <c r="E17" s="347" t="str">
        <f ca="1">IF(ROWS($1:4)&gt;COUNT(Dong11),"",IF(OFFSET(TH!L$1,SMALL(Dong11,ROWS($1:4)),)=$G$7,OFFSET(TH!M$1,SMALL(Dong11,ROWS($1:4)),),OFFSET(TH!L$1,SMALL(Dong11,ROWS($1:4)),)))</f>
        <v>154</v>
      </c>
      <c r="F17" s="350">
        <f ca="1">IF(ROWS($1:4)&gt;COUNT(Dong11),0,OFFSET(TH!J$1,SMALL(Dong11,ROWS($1:4)),))</f>
        <v>8500</v>
      </c>
      <c r="G17" s="350">
        <f ca="1">IF(ROWS($1:4)&gt;COUNT(Dong11),0,IF(MID(OFFSET(TH!D$1,SMALL(Dong11,ROWS($1:4)),),4,1)="N",OFFSET(TH!I$1,SMALL(Dong11,ROWS($1:4)),),0))</f>
        <v>0</v>
      </c>
      <c r="H17" s="351">
        <f t="shared" ca="1" si="1"/>
        <v>0</v>
      </c>
      <c r="I17" s="350">
        <f ca="1">IF(ROWS($1:4)&gt;COUNT(Dong11),0,IF(MID(OFFSET(TH!D$1,SMALL(Dong11,ROWS($1:4)),),4,1)="X",OFFSET(TH!I$1,SMALL(Dong11,ROWS($1:4)),),0))</f>
        <v>0</v>
      </c>
      <c r="J17" s="351">
        <f t="shared" ca="1" si="2"/>
        <v>0</v>
      </c>
      <c r="K17" s="351">
        <f t="shared" ca="1" si="3"/>
        <v>2300</v>
      </c>
      <c r="L17" s="351">
        <f t="shared" ca="1" si="4"/>
        <v>19550000</v>
      </c>
      <c r="M17" s="351"/>
      <c r="N17" s="341"/>
      <c r="P17" s="353"/>
    </row>
    <row r="18" spans="1:16">
      <c r="A18" s="312">
        <f t="shared" ca="1" si="0"/>
        <v>5</v>
      </c>
      <c r="B18" s="347" t="str">
        <f ca="1">IF(ROWS($1:5)&gt;COUNT(Dong11),"",OFFSET(TH!D$1,SMALL(Dong11,ROWS($1:5)),))</f>
        <v>XNL</v>
      </c>
      <c r="C18" s="348">
        <f ca="1">IF(ROWS($1:5)&gt;COUNT(Dong11),"",OFFSET(TH!E$1,SMALL(Dong11,ROWS($1:5)),))</f>
        <v>41588</v>
      </c>
      <c r="D18" s="349" t="str">
        <f ca="1">IF(ROWS($1:5)&gt;COUNT(Dong11),"",OFFSET(TH!H$1,SMALL(Dong11,ROWS($1:5)),))</f>
        <v>Xuất sản xuất</v>
      </c>
      <c r="E18" s="347" t="str">
        <f ca="1">IF(ROWS($1:5)&gt;COUNT(Dong11),"",IF(OFFSET(TH!L$1,SMALL(Dong11,ROWS($1:5)),)=$G$7,OFFSET(TH!M$1,SMALL(Dong11,ROWS($1:5)),),OFFSET(TH!L$1,SMALL(Dong11,ROWS($1:5)),)))</f>
        <v>154</v>
      </c>
      <c r="F18" s="350">
        <f ca="1">IF(ROWS($1:5)&gt;COUNT(Dong11),0,OFFSET(TH!J$1,SMALL(Dong11,ROWS($1:5)),))</f>
        <v>8500</v>
      </c>
      <c r="G18" s="350">
        <f ca="1">IF(ROWS($1:5)&gt;COUNT(Dong11),0,IF(MID(OFFSET(TH!D$1,SMALL(Dong11,ROWS($1:5)),),4,1)="N",OFFSET(TH!I$1,SMALL(Dong11,ROWS($1:5)),),0))</f>
        <v>0</v>
      </c>
      <c r="H18" s="351">
        <f t="shared" ca="1" si="1"/>
        <v>0</v>
      </c>
      <c r="I18" s="350">
        <f ca="1">IF(ROWS($1:5)&gt;COUNT(Dong11),0,IF(MID(OFFSET(TH!D$1,SMALL(Dong11,ROWS($1:5)),),4,1)="X",OFFSET(TH!I$1,SMALL(Dong11,ROWS($1:5)),),0))</f>
        <v>0</v>
      </c>
      <c r="J18" s="351">
        <f t="shared" ca="1" si="2"/>
        <v>0</v>
      </c>
      <c r="K18" s="351">
        <f t="shared" ca="1" si="3"/>
        <v>2300</v>
      </c>
      <c r="L18" s="351">
        <f t="shared" ca="1" si="4"/>
        <v>19550000</v>
      </c>
      <c r="M18" s="351"/>
      <c r="N18" s="341"/>
    </row>
    <row r="19" spans="1:16">
      <c r="A19" s="312">
        <f t="shared" ca="1" si="0"/>
        <v>6</v>
      </c>
      <c r="B19" s="347" t="str">
        <f ca="1">IF(ROWS($1:6)&gt;COUNT(Dong11),"",OFFSET(TH!D$1,SMALL(Dong11,ROWS($1:6)),))</f>
        <v>XNL</v>
      </c>
      <c r="C19" s="348">
        <f ca="1">IF(ROWS($1:6)&gt;COUNT(Dong11),"",OFFSET(TH!E$1,SMALL(Dong11,ROWS($1:6)),))</f>
        <v>41589</v>
      </c>
      <c r="D19" s="349" t="str">
        <f ca="1">IF(ROWS($1:6)&gt;COUNT(Dong11),"",OFFSET(TH!H$1,SMALL(Dong11,ROWS($1:6)),))</f>
        <v>Xuất sản xuất</v>
      </c>
      <c r="E19" s="347" t="str">
        <f ca="1">IF(ROWS($1:6)&gt;COUNT(Dong11),"",IF(OFFSET(TH!L$1,SMALL(Dong11,ROWS($1:6)),)=$G$7,OFFSET(TH!M$1,SMALL(Dong11,ROWS($1:6)),),OFFSET(TH!L$1,SMALL(Dong11,ROWS($1:6)),)))</f>
        <v>154</v>
      </c>
      <c r="F19" s="350">
        <f ca="1">IF(ROWS($1:6)&gt;COUNT(Dong11),0,OFFSET(TH!J$1,SMALL(Dong11,ROWS($1:6)),))</f>
        <v>8500</v>
      </c>
      <c r="G19" s="350">
        <f ca="1">IF(ROWS($1:6)&gt;COUNT(Dong11),0,IF(MID(OFFSET(TH!D$1,SMALL(Dong11,ROWS($1:6)),),4,1)="N",OFFSET(TH!I$1,SMALL(Dong11,ROWS($1:6)),),0))</f>
        <v>0</v>
      </c>
      <c r="H19" s="351">
        <f t="shared" ca="1" si="1"/>
        <v>0</v>
      </c>
      <c r="I19" s="350">
        <f ca="1">IF(ROWS($1:6)&gt;COUNT(Dong11),0,IF(MID(OFFSET(TH!D$1,SMALL(Dong11,ROWS($1:6)),),4,1)="X",OFFSET(TH!I$1,SMALL(Dong11,ROWS($1:6)),),0))</f>
        <v>0</v>
      </c>
      <c r="J19" s="351">
        <f t="shared" ca="1" si="2"/>
        <v>0</v>
      </c>
      <c r="K19" s="351">
        <f t="shared" ca="1" si="3"/>
        <v>2300</v>
      </c>
      <c r="L19" s="351">
        <f t="shared" ca="1" si="4"/>
        <v>19550000</v>
      </c>
      <c r="M19" s="351"/>
      <c r="N19" s="341"/>
    </row>
    <row r="20" spans="1:16">
      <c r="A20" s="312" t="str">
        <f t="shared" ca="1" si="0"/>
        <v/>
      </c>
      <c r="B20" s="347" t="str">
        <f ca="1">IF(ROWS($1:7)&gt;COUNT(Dong11),"",OFFSET(TH!D$1,SMALL(Dong11,ROWS($1:7)),))</f>
        <v/>
      </c>
      <c r="C20" s="348" t="str">
        <f ca="1">IF(ROWS($1:7)&gt;COUNT(Dong11),"",OFFSET(TH!E$1,SMALL(Dong11,ROWS($1:7)),))</f>
        <v/>
      </c>
      <c r="D20" s="349" t="str">
        <f ca="1">IF(ROWS($1:7)&gt;COUNT(Dong11),"",OFFSET(TH!H$1,SMALL(Dong11,ROWS($1:7)),))</f>
        <v/>
      </c>
      <c r="E20" s="347" t="str">
        <f ca="1">IF(ROWS($1:7)&gt;COUNT(Dong11),"",IF(OFFSET(TH!L$1,SMALL(Dong11,ROWS($1:7)),)=$G$7,OFFSET(TH!M$1,SMALL(Dong11,ROWS($1:7)),),OFFSET(TH!L$1,SMALL(Dong11,ROWS($1:7)),)))</f>
        <v/>
      </c>
      <c r="F20" s="350">
        <f ca="1">IF(ROWS($1:7)&gt;COUNT(Dong11),0,OFFSET(TH!J$1,SMALL(Dong11,ROWS($1:7)),))</f>
        <v>0</v>
      </c>
      <c r="G20" s="350">
        <f ca="1">IF(ROWS($1:7)&gt;COUNT(Dong11),0,IF(MID(OFFSET(TH!D$1,SMALL(Dong11,ROWS($1:7)),),4,1)="N",OFFSET(TH!I$1,SMALL(Dong11,ROWS($1:7)),),0))</f>
        <v>0</v>
      </c>
      <c r="H20" s="351">
        <f t="shared" ca="1" si="1"/>
        <v>0</v>
      </c>
      <c r="I20" s="350">
        <f ca="1">IF(ROWS($1:7)&gt;COUNT(Dong11),0,IF(MID(OFFSET(TH!D$1,SMALL(Dong11,ROWS($1:7)),),4,1)="X",OFFSET(TH!I$1,SMALL(Dong11,ROWS($1:7)),),0))</f>
        <v>0</v>
      </c>
      <c r="J20" s="351">
        <f t="shared" ca="1" si="2"/>
        <v>0</v>
      </c>
      <c r="K20" s="351">
        <f t="shared" ca="1" si="3"/>
        <v>0</v>
      </c>
      <c r="L20" s="351">
        <f t="shared" ca="1" si="4"/>
        <v>0</v>
      </c>
      <c r="M20" s="351"/>
      <c r="N20" s="341"/>
    </row>
    <row r="21" spans="1:16">
      <c r="A21" s="312" t="str">
        <f t="shared" ca="1" si="0"/>
        <v/>
      </c>
      <c r="B21" s="347" t="str">
        <f ca="1">IF(ROWS($1:8)&gt;COUNT(Dong11),"",OFFSET(TH!D$1,SMALL(Dong11,ROWS($1:8)),))</f>
        <v/>
      </c>
      <c r="C21" s="348" t="str">
        <f ca="1">IF(ROWS($1:8)&gt;COUNT(Dong11),"",OFFSET(TH!E$1,SMALL(Dong11,ROWS($1:8)),))</f>
        <v/>
      </c>
      <c r="D21" s="349" t="str">
        <f ca="1">IF(ROWS($1:8)&gt;COUNT(Dong11),"",OFFSET(TH!H$1,SMALL(Dong11,ROWS($1:8)),))</f>
        <v/>
      </c>
      <c r="E21" s="347" t="str">
        <f ca="1">IF(ROWS($1:8)&gt;COUNT(Dong11),"",IF(OFFSET(TH!L$1,SMALL(Dong11,ROWS($1:8)),)=$G$7,OFFSET(TH!M$1,SMALL(Dong11,ROWS($1:8)),),OFFSET(TH!L$1,SMALL(Dong11,ROWS($1:8)),)))</f>
        <v/>
      </c>
      <c r="F21" s="350">
        <f ca="1">IF(ROWS($1:8)&gt;COUNT(Dong11),0,OFFSET(TH!J$1,SMALL(Dong11,ROWS($1:8)),))</f>
        <v>0</v>
      </c>
      <c r="G21" s="350">
        <f ca="1">IF(ROWS($1:8)&gt;COUNT(Dong11),0,IF(MID(OFFSET(TH!D$1,SMALL(Dong11,ROWS($1:8)),),4,1)="N",OFFSET(TH!I$1,SMALL(Dong11,ROWS($1:8)),),0))</f>
        <v>0</v>
      </c>
      <c r="H21" s="351">
        <f t="shared" ca="1" si="1"/>
        <v>0</v>
      </c>
      <c r="I21" s="350">
        <f ca="1">IF(ROWS($1:8)&gt;COUNT(Dong11),0,IF(MID(OFFSET(TH!D$1,SMALL(Dong11,ROWS($1:8)),),4,1)="X",OFFSET(TH!I$1,SMALL(Dong11,ROWS($1:8)),),0))</f>
        <v>0</v>
      </c>
      <c r="J21" s="351">
        <f t="shared" ca="1" si="2"/>
        <v>0</v>
      </c>
      <c r="K21" s="351">
        <f t="shared" ca="1" si="3"/>
        <v>0</v>
      </c>
      <c r="L21" s="351">
        <f t="shared" ca="1" si="4"/>
        <v>0</v>
      </c>
      <c r="M21" s="351"/>
      <c r="N21" s="341"/>
    </row>
    <row r="22" spans="1:16">
      <c r="A22" s="312" t="str">
        <f t="shared" ca="1" si="0"/>
        <v/>
      </c>
      <c r="B22" s="347" t="str">
        <f ca="1">IF(ROWS($1:9)&gt;COUNT(Dong11),"",OFFSET(TH!D$1,SMALL(Dong11,ROWS($1:9)),))</f>
        <v/>
      </c>
      <c r="C22" s="348" t="str">
        <f ca="1">IF(ROWS($1:9)&gt;COUNT(Dong11),"",OFFSET(TH!E$1,SMALL(Dong11,ROWS($1:9)),))</f>
        <v/>
      </c>
      <c r="D22" s="349" t="str">
        <f ca="1">IF(ROWS($1:9)&gt;COUNT(Dong11),"",OFFSET(TH!H$1,SMALL(Dong11,ROWS($1:9)),))</f>
        <v/>
      </c>
      <c r="E22" s="347" t="str">
        <f ca="1">IF(ROWS($1:9)&gt;COUNT(Dong11),"",IF(OFFSET(TH!L$1,SMALL(Dong11,ROWS($1:9)),)=$G$7,OFFSET(TH!M$1,SMALL(Dong11,ROWS($1:9)),),OFFSET(TH!L$1,SMALL(Dong11,ROWS($1:9)),)))</f>
        <v/>
      </c>
      <c r="F22" s="350">
        <f ca="1">IF(ROWS($1:9)&gt;COUNT(Dong11),0,OFFSET(TH!J$1,SMALL(Dong11,ROWS($1:9)),))</f>
        <v>0</v>
      </c>
      <c r="G22" s="350">
        <f ca="1">IF(ROWS($1:9)&gt;COUNT(Dong11),0,IF(MID(OFFSET(TH!D$1,SMALL(Dong11,ROWS($1:9)),),4,1)="N",OFFSET(TH!I$1,SMALL(Dong11,ROWS($1:9)),),0))</f>
        <v>0</v>
      </c>
      <c r="H22" s="351">
        <f t="shared" ca="1" si="1"/>
        <v>0</v>
      </c>
      <c r="I22" s="350">
        <f ca="1">IF(ROWS($1:9)&gt;COUNT(Dong11),0,IF(MID(OFFSET(TH!D$1,SMALL(Dong11,ROWS($1:9)),),4,1)="X",OFFSET(TH!I$1,SMALL(Dong11,ROWS($1:9)),),0))</f>
        <v>0</v>
      </c>
      <c r="J22" s="351">
        <f t="shared" ca="1" si="2"/>
        <v>0</v>
      </c>
      <c r="K22" s="351">
        <f t="shared" ca="1" si="3"/>
        <v>0</v>
      </c>
      <c r="L22" s="351">
        <f t="shared" ca="1" si="4"/>
        <v>0</v>
      </c>
      <c r="M22" s="351"/>
      <c r="N22" s="341"/>
    </row>
    <row r="23" spans="1:16">
      <c r="A23" s="312" t="str">
        <f t="shared" ca="1" si="0"/>
        <v/>
      </c>
      <c r="B23" s="347" t="str">
        <f ca="1">IF(ROWS($1:10)&gt;COUNT(Dong11),"",OFFSET(TH!D$1,SMALL(Dong11,ROWS($1:10)),))</f>
        <v/>
      </c>
      <c r="C23" s="348" t="str">
        <f ca="1">IF(ROWS($1:10)&gt;COUNT(Dong11),"",OFFSET(TH!E$1,SMALL(Dong11,ROWS($1:10)),))</f>
        <v/>
      </c>
      <c r="D23" s="349" t="str">
        <f ca="1">IF(ROWS($1:10)&gt;COUNT(Dong11),"",OFFSET(TH!H$1,SMALL(Dong11,ROWS($1:10)),))</f>
        <v/>
      </c>
      <c r="E23" s="347" t="str">
        <f ca="1">IF(ROWS($1:10)&gt;COUNT(Dong11),"",IF(OFFSET(TH!L$1,SMALL(Dong11,ROWS($1:10)),)=$G$7,OFFSET(TH!M$1,SMALL(Dong11,ROWS($1:10)),),OFFSET(TH!L$1,SMALL(Dong11,ROWS($1:10)),)))</f>
        <v/>
      </c>
      <c r="F23" s="350">
        <f ca="1">IF(ROWS($1:10)&gt;COUNT(Dong11),0,OFFSET(TH!J$1,SMALL(Dong11,ROWS($1:10)),))</f>
        <v>0</v>
      </c>
      <c r="G23" s="350">
        <f ca="1">IF(ROWS($1:10)&gt;COUNT(Dong11),0,IF(MID(OFFSET(TH!D$1,SMALL(Dong11,ROWS($1:10)),),4,1)="N",OFFSET(TH!I$1,SMALL(Dong11,ROWS($1:10)),),0))</f>
        <v>0</v>
      </c>
      <c r="H23" s="351">
        <f t="shared" ca="1" si="1"/>
        <v>0</v>
      </c>
      <c r="I23" s="350">
        <f ca="1">IF(ROWS($1:10)&gt;COUNT(Dong11),0,IF(MID(OFFSET(TH!D$1,SMALL(Dong11,ROWS($1:10)),),4,1)="X",OFFSET(TH!I$1,SMALL(Dong11,ROWS($1:10)),),0))</f>
        <v>0</v>
      </c>
      <c r="J23" s="351">
        <f t="shared" ca="1" si="2"/>
        <v>0</v>
      </c>
      <c r="K23" s="351">
        <f t="shared" ca="1" si="3"/>
        <v>0</v>
      </c>
      <c r="L23" s="351">
        <f t="shared" ca="1" si="4"/>
        <v>0</v>
      </c>
      <c r="M23" s="351"/>
      <c r="N23" s="341"/>
    </row>
    <row r="24" spans="1:16">
      <c r="A24" s="312" t="str">
        <f t="shared" ca="1" si="0"/>
        <v/>
      </c>
      <c r="B24" s="347" t="str">
        <f ca="1">IF(ROWS($1:11)&gt;COUNT(Dong11),"",OFFSET(TH!D$1,SMALL(Dong11,ROWS($1:11)),))</f>
        <v/>
      </c>
      <c r="C24" s="348" t="str">
        <f ca="1">IF(ROWS($1:11)&gt;COUNT(Dong11),"",OFFSET(TH!E$1,SMALL(Dong11,ROWS($1:11)),))</f>
        <v/>
      </c>
      <c r="D24" s="349" t="str">
        <f ca="1">IF(ROWS($1:11)&gt;COUNT(Dong11),"",OFFSET(TH!H$1,SMALL(Dong11,ROWS($1:11)),))</f>
        <v/>
      </c>
      <c r="E24" s="347" t="str">
        <f ca="1">IF(ROWS($1:11)&gt;COUNT(Dong11),"",IF(OFFSET(TH!L$1,SMALL(Dong11,ROWS($1:11)),)=$G$7,OFFSET(TH!M$1,SMALL(Dong11,ROWS($1:11)),),OFFSET(TH!L$1,SMALL(Dong11,ROWS($1:11)),)))</f>
        <v/>
      </c>
      <c r="F24" s="350">
        <f ca="1">IF(ROWS($1:11)&gt;COUNT(Dong11),0,OFFSET(TH!J$1,SMALL(Dong11,ROWS($1:11)),))</f>
        <v>0</v>
      </c>
      <c r="G24" s="350">
        <f ca="1">IF(ROWS($1:11)&gt;COUNT(Dong11),0,IF(MID(OFFSET(TH!D$1,SMALL(Dong11,ROWS($1:11)),),4,1)="N",OFFSET(TH!I$1,SMALL(Dong11,ROWS($1:11)),),0))</f>
        <v>0</v>
      </c>
      <c r="H24" s="351">
        <f t="shared" ca="1" si="1"/>
        <v>0</v>
      </c>
      <c r="I24" s="350">
        <f ca="1">IF(ROWS($1:11)&gt;COUNT(Dong11),0,IF(MID(OFFSET(TH!D$1,SMALL(Dong11,ROWS($1:11)),),4,1)="X",OFFSET(TH!I$1,SMALL(Dong11,ROWS($1:11)),),0))</f>
        <v>0</v>
      </c>
      <c r="J24" s="351">
        <f t="shared" ca="1" si="2"/>
        <v>0</v>
      </c>
      <c r="K24" s="351">
        <f t="shared" ca="1" si="3"/>
        <v>0</v>
      </c>
      <c r="L24" s="351">
        <f t="shared" ca="1" si="4"/>
        <v>0</v>
      </c>
      <c r="M24" s="351"/>
      <c r="N24" s="341"/>
    </row>
    <row r="25" spans="1:16">
      <c r="A25" s="312" t="str">
        <f t="shared" ref="A25:A38" ca="1" si="5">IF(B25="","",A24+1)</f>
        <v/>
      </c>
      <c r="B25" s="347" t="str">
        <f ca="1">IF(ROWS($1:12)&gt;COUNT(Dong11),"",OFFSET(TH!D$1,SMALL(Dong11,ROWS($1:12)),))</f>
        <v/>
      </c>
      <c r="C25" s="348" t="str">
        <f ca="1">IF(ROWS($1:12)&gt;COUNT(Dong11),"",OFFSET(TH!E$1,SMALL(Dong11,ROWS($1:12)),))</f>
        <v/>
      </c>
      <c r="D25" s="349" t="str">
        <f ca="1">IF(ROWS($1:12)&gt;COUNT(Dong11),"",OFFSET(TH!H$1,SMALL(Dong11,ROWS($1:12)),))</f>
        <v/>
      </c>
      <c r="E25" s="347" t="str">
        <f ca="1">IF(ROWS($1:12)&gt;COUNT(Dong11),"",IF(OFFSET(TH!L$1,SMALL(Dong11,ROWS($1:12)),)=$G$7,OFFSET(TH!M$1,SMALL(Dong11,ROWS($1:12)),),OFFSET(TH!L$1,SMALL(Dong11,ROWS($1:12)),)))</f>
        <v/>
      </c>
      <c r="F25" s="350">
        <f ca="1">IF(ROWS($1:12)&gt;COUNT(Dong11),0,OFFSET(TH!J$1,SMALL(Dong11,ROWS($1:12)),))</f>
        <v>0</v>
      </c>
      <c r="G25" s="350">
        <f ca="1">IF(ROWS($1:12)&gt;COUNT(Dong11),0,IF(MID(OFFSET(TH!D$1,SMALL(Dong11,ROWS($1:12)),),4,1)="N",OFFSET(TH!I$1,SMALL(Dong11,ROWS($1:12)),),0))</f>
        <v>0</v>
      </c>
      <c r="H25" s="351">
        <f t="shared" ref="H25:H38" ca="1" si="6">ROUND(F25*G25,0)</f>
        <v>0</v>
      </c>
      <c r="I25" s="350">
        <f ca="1">IF(ROWS($1:12)&gt;COUNT(Dong11),0,IF(MID(OFFSET(TH!D$1,SMALL(Dong11,ROWS($1:12)),),4,1)="X",OFFSET(TH!I$1,SMALL(Dong11,ROWS($1:12)),),0))</f>
        <v>0</v>
      </c>
      <c r="J25" s="351">
        <f t="shared" ref="J25:J38" ca="1" si="7">ROUND(F25*I25,0)</f>
        <v>0</v>
      </c>
      <c r="K25" s="351">
        <f t="shared" ref="K25:K38" ca="1" si="8">IF(D25&lt;&gt;"",K24+G25-I25,0)</f>
        <v>0</v>
      </c>
      <c r="L25" s="351">
        <f t="shared" ref="L25:L38" ca="1" si="9">IF(D25&lt;&gt;"",L24+H25-J25,0)</f>
        <v>0</v>
      </c>
      <c r="M25" s="351"/>
      <c r="N25" s="341"/>
    </row>
    <row r="26" spans="1:16">
      <c r="A26" s="312" t="str">
        <f t="shared" ca="1" si="5"/>
        <v/>
      </c>
      <c r="B26" s="347" t="str">
        <f ca="1">IF(ROWS($1:13)&gt;COUNT(Dong11),"",OFFSET(TH!D$1,SMALL(Dong11,ROWS($1:13)),))</f>
        <v/>
      </c>
      <c r="C26" s="348" t="str">
        <f ca="1">IF(ROWS($1:13)&gt;COUNT(Dong11),"",OFFSET(TH!E$1,SMALL(Dong11,ROWS($1:13)),))</f>
        <v/>
      </c>
      <c r="D26" s="349" t="str">
        <f ca="1">IF(ROWS($1:13)&gt;COUNT(Dong11),"",OFFSET(TH!H$1,SMALL(Dong11,ROWS($1:13)),))</f>
        <v/>
      </c>
      <c r="E26" s="347" t="str">
        <f ca="1">IF(ROWS($1:13)&gt;COUNT(Dong11),"",IF(OFFSET(TH!L$1,SMALL(Dong11,ROWS($1:13)),)=$G$7,OFFSET(TH!M$1,SMALL(Dong11,ROWS($1:13)),),OFFSET(TH!L$1,SMALL(Dong11,ROWS($1:13)),)))</f>
        <v/>
      </c>
      <c r="F26" s="350">
        <f ca="1">IF(ROWS($1:13)&gt;COUNT(Dong11),0,OFFSET(TH!J$1,SMALL(Dong11,ROWS($1:13)),))</f>
        <v>0</v>
      </c>
      <c r="G26" s="350">
        <f ca="1">IF(ROWS($1:13)&gt;COUNT(Dong11),0,IF(MID(OFFSET(TH!D$1,SMALL(Dong11,ROWS($1:13)),),4,1)="N",OFFSET(TH!I$1,SMALL(Dong11,ROWS($1:13)),),0))</f>
        <v>0</v>
      </c>
      <c r="H26" s="351">
        <f t="shared" ca="1" si="6"/>
        <v>0</v>
      </c>
      <c r="I26" s="350">
        <f ca="1">IF(ROWS($1:13)&gt;COUNT(Dong11),0,IF(MID(OFFSET(TH!D$1,SMALL(Dong11,ROWS($1:13)),),4,1)="X",OFFSET(TH!I$1,SMALL(Dong11,ROWS($1:13)),),0))</f>
        <v>0</v>
      </c>
      <c r="J26" s="351">
        <f t="shared" ca="1" si="7"/>
        <v>0</v>
      </c>
      <c r="K26" s="351">
        <f t="shared" ca="1" si="8"/>
        <v>0</v>
      </c>
      <c r="L26" s="351">
        <f t="shared" ca="1" si="9"/>
        <v>0</v>
      </c>
      <c r="M26" s="351"/>
      <c r="N26" s="341"/>
    </row>
    <row r="27" spans="1:16">
      <c r="A27" s="312" t="str">
        <f t="shared" ca="1" si="5"/>
        <v/>
      </c>
      <c r="B27" s="347" t="str">
        <f ca="1">IF(ROWS($1:14)&gt;COUNT(Dong11),"",OFFSET(TH!D$1,SMALL(Dong11,ROWS($1:14)),))</f>
        <v/>
      </c>
      <c r="C27" s="348" t="str">
        <f ca="1">IF(ROWS($1:14)&gt;COUNT(Dong11),"",OFFSET(TH!E$1,SMALL(Dong11,ROWS($1:14)),))</f>
        <v/>
      </c>
      <c r="D27" s="349" t="str">
        <f ca="1">IF(ROWS($1:14)&gt;COUNT(Dong11),"",OFFSET(TH!H$1,SMALL(Dong11,ROWS($1:14)),))</f>
        <v/>
      </c>
      <c r="E27" s="347" t="str">
        <f ca="1">IF(ROWS($1:14)&gt;COUNT(Dong11),"",IF(OFFSET(TH!L$1,SMALL(Dong11,ROWS($1:14)),)=$G$7,OFFSET(TH!M$1,SMALL(Dong11,ROWS($1:14)),),OFFSET(TH!L$1,SMALL(Dong11,ROWS($1:14)),)))</f>
        <v/>
      </c>
      <c r="F27" s="350">
        <f ca="1">IF(ROWS($1:14)&gt;COUNT(Dong11),0,OFFSET(TH!J$1,SMALL(Dong11,ROWS($1:14)),))</f>
        <v>0</v>
      </c>
      <c r="G27" s="350">
        <f ca="1">IF(ROWS($1:14)&gt;COUNT(Dong11),0,IF(MID(OFFSET(TH!D$1,SMALL(Dong11,ROWS($1:14)),),4,1)="N",OFFSET(TH!I$1,SMALL(Dong11,ROWS($1:14)),),0))</f>
        <v>0</v>
      </c>
      <c r="H27" s="351">
        <f t="shared" ca="1" si="6"/>
        <v>0</v>
      </c>
      <c r="I27" s="350">
        <f ca="1">IF(ROWS($1:14)&gt;COUNT(Dong11),0,IF(MID(OFFSET(TH!D$1,SMALL(Dong11,ROWS($1:14)),),4,1)="X",OFFSET(TH!I$1,SMALL(Dong11,ROWS($1:14)),),0))</f>
        <v>0</v>
      </c>
      <c r="J27" s="351">
        <f t="shared" ca="1" si="7"/>
        <v>0</v>
      </c>
      <c r="K27" s="351">
        <f t="shared" ca="1" si="8"/>
        <v>0</v>
      </c>
      <c r="L27" s="351">
        <f t="shared" ca="1" si="9"/>
        <v>0</v>
      </c>
      <c r="M27" s="351"/>
      <c r="N27" s="341"/>
    </row>
    <row r="28" spans="1:16">
      <c r="A28" s="312" t="str">
        <f t="shared" ca="1" si="5"/>
        <v/>
      </c>
      <c r="B28" s="347" t="str">
        <f ca="1">IF(ROWS($1:15)&gt;COUNT(Dong11),"",OFFSET(TH!D$1,SMALL(Dong11,ROWS($1:15)),))</f>
        <v/>
      </c>
      <c r="C28" s="348" t="str">
        <f ca="1">IF(ROWS($1:15)&gt;COUNT(Dong11),"",OFFSET(TH!E$1,SMALL(Dong11,ROWS($1:15)),))</f>
        <v/>
      </c>
      <c r="D28" s="349" t="str">
        <f ca="1">IF(ROWS($1:15)&gt;COUNT(Dong11),"",OFFSET(TH!H$1,SMALL(Dong11,ROWS($1:15)),))</f>
        <v/>
      </c>
      <c r="E28" s="347" t="str">
        <f ca="1">IF(ROWS($1:15)&gt;COUNT(Dong11),"",IF(OFFSET(TH!L$1,SMALL(Dong11,ROWS($1:15)),)=$G$7,OFFSET(TH!M$1,SMALL(Dong11,ROWS($1:15)),),OFFSET(TH!L$1,SMALL(Dong11,ROWS($1:15)),)))</f>
        <v/>
      </c>
      <c r="F28" s="350">
        <f ca="1">IF(ROWS($1:15)&gt;COUNT(Dong11),0,OFFSET(TH!J$1,SMALL(Dong11,ROWS($1:15)),))</f>
        <v>0</v>
      </c>
      <c r="G28" s="350">
        <f ca="1">IF(ROWS($1:15)&gt;COUNT(Dong11),0,IF(MID(OFFSET(TH!D$1,SMALL(Dong11,ROWS($1:15)),),4,1)="N",OFFSET(TH!I$1,SMALL(Dong11,ROWS($1:15)),),0))</f>
        <v>0</v>
      </c>
      <c r="H28" s="351">
        <f t="shared" ca="1" si="6"/>
        <v>0</v>
      </c>
      <c r="I28" s="350">
        <f ca="1">IF(ROWS($1:15)&gt;COUNT(Dong11),0,IF(MID(OFFSET(TH!D$1,SMALL(Dong11,ROWS($1:15)),),4,1)="X",OFFSET(TH!I$1,SMALL(Dong11,ROWS($1:15)),),0))</f>
        <v>0</v>
      </c>
      <c r="J28" s="351">
        <f t="shared" ca="1" si="7"/>
        <v>0</v>
      </c>
      <c r="K28" s="351">
        <f t="shared" ca="1" si="8"/>
        <v>0</v>
      </c>
      <c r="L28" s="351">
        <f t="shared" ca="1" si="9"/>
        <v>0</v>
      </c>
      <c r="M28" s="351"/>
      <c r="N28" s="341"/>
    </row>
    <row r="29" spans="1:16">
      <c r="A29" s="312" t="str">
        <f t="shared" ca="1" si="5"/>
        <v/>
      </c>
      <c r="B29" s="347" t="str">
        <f ca="1">IF(ROWS($1:16)&gt;COUNT(Dong11),"",OFFSET(TH!D$1,SMALL(Dong11,ROWS($1:16)),))</f>
        <v/>
      </c>
      <c r="C29" s="348" t="str">
        <f ca="1">IF(ROWS($1:16)&gt;COUNT(Dong11),"",OFFSET(TH!E$1,SMALL(Dong11,ROWS($1:16)),))</f>
        <v/>
      </c>
      <c r="D29" s="349" t="str">
        <f ca="1">IF(ROWS($1:16)&gt;COUNT(Dong11),"",OFFSET(TH!H$1,SMALL(Dong11,ROWS($1:16)),))</f>
        <v/>
      </c>
      <c r="E29" s="347" t="str">
        <f ca="1">IF(ROWS($1:16)&gt;COUNT(Dong11),"",IF(OFFSET(TH!L$1,SMALL(Dong11,ROWS($1:16)),)=$G$7,OFFSET(TH!M$1,SMALL(Dong11,ROWS($1:16)),),OFFSET(TH!L$1,SMALL(Dong11,ROWS($1:16)),)))</f>
        <v/>
      </c>
      <c r="F29" s="350">
        <f ca="1">IF(ROWS($1:16)&gt;COUNT(Dong11),0,OFFSET(TH!J$1,SMALL(Dong11,ROWS($1:16)),))</f>
        <v>0</v>
      </c>
      <c r="G29" s="350">
        <f ca="1">IF(ROWS($1:16)&gt;COUNT(Dong11),0,IF(MID(OFFSET(TH!D$1,SMALL(Dong11,ROWS($1:16)),),4,1)="N",OFFSET(TH!I$1,SMALL(Dong11,ROWS($1:16)),),0))</f>
        <v>0</v>
      </c>
      <c r="H29" s="351">
        <f t="shared" ca="1" si="6"/>
        <v>0</v>
      </c>
      <c r="I29" s="350">
        <f ca="1">IF(ROWS($1:16)&gt;COUNT(Dong11),0,IF(MID(OFFSET(TH!D$1,SMALL(Dong11,ROWS($1:16)),),4,1)="X",OFFSET(TH!I$1,SMALL(Dong11,ROWS($1:16)),),0))</f>
        <v>0</v>
      </c>
      <c r="J29" s="351">
        <f t="shared" ca="1" si="7"/>
        <v>0</v>
      </c>
      <c r="K29" s="351">
        <f t="shared" ca="1" si="8"/>
        <v>0</v>
      </c>
      <c r="L29" s="351">
        <f t="shared" ca="1" si="9"/>
        <v>0</v>
      </c>
      <c r="M29" s="351"/>
      <c r="N29" s="341"/>
    </row>
    <row r="30" spans="1:16">
      <c r="A30" s="312" t="str">
        <f t="shared" ca="1" si="5"/>
        <v/>
      </c>
      <c r="B30" s="347" t="str">
        <f ca="1">IF(ROWS($1:17)&gt;COUNT(Dong11),"",OFFSET(TH!D$1,SMALL(Dong11,ROWS($1:17)),))</f>
        <v/>
      </c>
      <c r="C30" s="348" t="str">
        <f ca="1">IF(ROWS($1:17)&gt;COUNT(Dong11),"",OFFSET(TH!E$1,SMALL(Dong11,ROWS($1:17)),))</f>
        <v/>
      </c>
      <c r="D30" s="349" t="str">
        <f ca="1">IF(ROWS($1:17)&gt;COUNT(Dong11),"",OFFSET(TH!H$1,SMALL(Dong11,ROWS($1:17)),))</f>
        <v/>
      </c>
      <c r="E30" s="347" t="str">
        <f ca="1">IF(ROWS($1:17)&gt;COUNT(Dong11),"",IF(OFFSET(TH!L$1,SMALL(Dong11,ROWS($1:17)),)=$G$7,OFFSET(TH!M$1,SMALL(Dong11,ROWS($1:17)),),OFFSET(TH!L$1,SMALL(Dong11,ROWS($1:17)),)))</f>
        <v/>
      </c>
      <c r="F30" s="350">
        <f ca="1">IF(ROWS($1:17)&gt;COUNT(Dong11),0,OFFSET(TH!J$1,SMALL(Dong11,ROWS($1:17)),))</f>
        <v>0</v>
      </c>
      <c r="G30" s="350">
        <f ca="1">IF(ROWS($1:17)&gt;COUNT(Dong11),0,IF(MID(OFFSET(TH!D$1,SMALL(Dong11,ROWS($1:17)),),4,1)="N",OFFSET(TH!I$1,SMALL(Dong11,ROWS($1:17)),),0))</f>
        <v>0</v>
      </c>
      <c r="H30" s="351">
        <f t="shared" ca="1" si="6"/>
        <v>0</v>
      </c>
      <c r="I30" s="350">
        <f ca="1">IF(ROWS($1:17)&gt;COUNT(Dong11),0,IF(MID(OFFSET(TH!D$1,SMALL(Dong11,ROWS($1:17)),),4,1)="X",OFFSET(TH!I$1,SMALL(Dong11,ROWS($1:17)),),0))</f>
        <v>0</v>
      </c>
      <c r="J30" s="351">
        <f t="shared" ca="1" si="7"/>
        <v>0</v>
      </c>
      <c r="K30" s="351">
        <f t="shared" ca="1" si="8"/>
        <v>0</v>
      </c>
      <c r="L30" s="351">
        <f t="shared" ca="1" si="9"/>
        <v>0</v>
      </c>
      <c r="M30" s="351"/>
      <c r="N30" s="341"/>
    </row>
    <row r="31" spans="1:16">
      <c r="A31" s="312" t="str">
        <f t="shared" ca="1" si="5"/>
        <v/>
      </c>
      <c r="B31" s="347" t="str">
        <f ca="1">IF(ROWS($1:18)&gt;COUNT(Dong11),"",OFFSET(TH!D$1,SMALL(Dong11,ROWS($1:18)),))</f>
        <v/>
      </c>
      <c r="C31" s="348" t="str">
        <f ca="1">IF(ROWS($1:18)&gt;COUNT(Dong11),"",OFFSET(TH!E$1,SMALL(Dong11,ROWS($1:18)),))</f>
        <v/>
      </c>
      <c r="D31" s="349" t="str">
        <f ca="1">IF(ROWS($1:18)&gt;COUNT(Dong11),"",OFFSET(TH!H$1,SMALL(Dong11,ROWS($1:18)),))</f>
        <v/>
      </c>
      <c r="E31" s="347" t="str">
        <f ca="1">IF(ROWS($1:18)&gt;COUNT(Dong11),"",IF(OFFSET(TH!L$1,SMALL(Dong11,ROWS($1:18)),)=$G$7,OFFSET(TH!M$1,SMALL(Dong11,ROWS($1:18)),),OFFSET(TH!L$1,SMALL(Dong11,ROWS($1:18)),)))</f>
        <v/>
      </c>
      <c r="F31" s="350">
        <f ca="1">IF(ROWS($1:18)&gt;COUNT(Dong11),0,OFFSET(TH!J$1,SMALL(Dong11,ROWS($1:18)),))</f>
        <v>0</v>
      </c>
      <c r="G31" s="350">
        <f ca="1">IF(ROWS($1:18)&gt;COUNT(Dong11),0,IF(MID(OFFSET(TH!D$1,SMALL(Dong11,ROWS($1:18)),),4,1)="N",OFFSET(TH!I$1,SMALL(Dong11,ROWS($1:18)),),0))</f>
        <v>0</v>
      </c>
      <c r="H31" s="351">
        <f t="shared" ca="1" si="6"/>
        <v>0</v>
      </c>
      <c r="I31" s="350">
        <f ca="1">IF(ROWS($1:18)&gt;COUNT(Dong11),0,IF(MID(OFFSET(TH!D$1,SMALL(Dong11,ROWS($1:18)),),4,1)="X",OFFSET(TH!I$1,SMALL(Dong11,ROWS($1:18)),),0))</f>
        <v>0</v>
      </c>
      <c r="J31" s="351">
        <f t="shared" ca="1" si="7"/>
        <v>0</v>
      </c>
      <c r="K31" s="351">
        <f t="shared" ca="1" si="8"/>
        <v>0</v>
      </c>
      <c r="L31" s="351">
        <f t="shared" ca="1" si="9"/>
        <v>0</v>
      </c>
      <c r="M31" s="351"/>
      <c r="N31" s="341"/>
    </row>
    <row r="32" spans="1:16">
      <c r="A32" s="312" t="str">
        <f t="shared" ca="1" si="5"/>
        <v/>
      </c>
      <c r="B32" s="347" t="str">
        <f ca="1">IF(ROWS($1:19)&gt;COUNT(Dong11),"",OFFSET(TH!D$1,SMALL(Dong11,ROWS($1:19)),))</f>
        <v/>
      </c>
      <c r="C32" s="348" t="str">
        <f ca="1">IF(ROWS($1:19)&gt;COUNT(Dong11),"",OFFSET(TH!E$1,SMALL(Dong11,ROWS($1:19)),))</f>
        <v/>
      </c>
      <c r="D32" s="349" t="str">
        <f ca="1">IF(ROWS($1:19)&gt;COUNT(Dong11),"",OFFSET(TH!H$1,SMALL(Dong11,ROWS($1:19)),))</f>
        <v/>
      </c>
      <c r="E32" s="347" t="str">
        <f ca="1">IF(ROWS($1:19)&gt;COUNT(Dong11),"",IF(OFFSET(TH!L$1,SMALL(Dong11,ROWS($1:19)),)=$G$7,OFFSET(TH!M$1,SMALL(Dong11,ROWS($1:19)),),OFFSET(TH!L$1,SMALL(Dong11,ROWS($1:19)),)))</f>
        <v/>
      </c>
      <c r="F32" s="350">
        <f ca="1">IF(ROWS($1:19)&gt;COUNT(Dong11),0,OFFSET(TH!J$1,SMALL(Dong11,ROWS($1:19)),))</f>
        <v>0</v>
      </c>
      <c r="G32" s="350">
        <f ca="1">IF(ROWS($1:19)&gt;COUNT(Dong11),0,IF(MID(OFFSET(TH!D$1,SMALL(Dong11,ROWS($1:19)),),4,1)="N",OFFSET(TH!I$1,SMALL(Dong11,ROWS($1:19)),),0))</f>
        <v>0</v>
      </c>
      <c r="H32" s="351">
        <f t="shared" ca="1" si="6"/>
        <v>0</v>
      </c>
      <c r="I32" s="350">
        <f ca="1">IF(ROWS($1:19)&gt;COUNT(Dong11),0,IF(MID(OFFSET(TH!D$1,SMALL(Dong11,ROWS($1:19)),),4,1)="X",OFFSET(TH!I$1,SMALL(Dong11,ROWS($1:19)),),0))</f>
        <v>0</v>
      </c>
      <c r="J32" s="351">
        <f t="shared" ca="1" si="7"/>
        <v>0</v>
      </c>
      <c r="K32" s="351">
        <f t="shared" ca="1" si="8"/>
        <v>0</v>
      </c>
      <c r="L32" s="351">
        <f t="shared" ca="1" si="9"/>
        <v>0</v>
      </c>
      <c r="M32" s="351"/>
      <c r="N32" s="341"/>
    </row>
    <row r="33" spans="1:14">
      <c r="A33" s="312" t="str">
        <f t="shared" ca="1" si="5"/>
        <v/>
      </c>
      <c r="B33" s="347" t="str">
        <f ca="1">IF(ROWS($1:20)&gt;COUNT(Dong11),"",OFFSET(TH!D$1,SMALL(Dong11,ROWS($1:20)),))</f>
        <v/>
      </c>
      <c r="C33" s="348" t="str">
        <f ca="1">IF(ROWS($1:20)&gt;COUNT(Dong11),"",OFFSET(TH!E$1,SMALL(Dong11,ROWS($1:20)),))</f>
        <v/>
      </c>
      <c r="D33" s="349" t="str">
        <f ca="1">IF(ROWS($1:20)&gt;COUNT(Dong11),"",OFFSET(TH!H$1,SMALL(Dong11,ROWS($1:20)),))</f>
        <v/>
      </c>
      <c r="E33" s="347" t="str">
        <f ca="1">IF(ROWS($1:20)&gt;COUNT(Dong11),"",IF(OFFSET(TH!L$1,SMALL(Dong11,ROWS($1:20)),)=$G$7,OFFSET(TH!M$1,SMALL(Dong11,ROWS($1:20)),),OFFSET(TH!L$1,SMALL(Dong11,ROWS($1:20)),)))</f>
        <v/>
      </c>
      <c r="F33" s="350">
        <f ca="1">IF(ROWS($1:20)&gt;COUNT(Dong11),0,OFFSET(TH!J$1,SMALL(Dong11,ROWS($1:20)),))</f>
        <v>0</v>
      </c>
      <c r="G33" s="350">
        <f ca="1">IF(ROWS($1:20)&gt;COUNT(Dong11),0,IF(MID(OFFSET(TH!D$1,SMALL(Dong11,ROWS($1:20)),),4,1)="N",OFFSET(TH!I$1,SMALL(Dong11,ROWS($1:20)),),0))</f>
        <v>0</v>
      </c>
      <c r="H33" s="351">
        <f t="shared" ca="1" si="6"/>
        <v>0</v>
      </c>
      <c r="I33" s="350">
        <f ca="1">IF(ROWS($1:20)&gt;COUNT(Dong11),0,IF(MID(OFFSET(TH!D$1,SMALL(Dong11,ROWS($1:20)),),4,1)="X",OFFSET(TH!I$1,SMALL(Dong11,ROWS($1:20)),),0))</f>
        <v>0</v>
      </c>
      <c r="J33" s="351">
        <f t="shared" ca="1" si="7"/>
        <v>0</v>
      </c>
      <c r="K33" s="351">
        <f t="shared" ca="1" si="8"/>
        <v>0</v>
      </c>
      <c r="L33" s="351">
        <f t="shared" ca="1" si="9"/>
        <v>0</v>
      </c>
      <c r="M33" s="351"/>
      <c r="N33" s="341"/>
    </row>
    <row r="34" spans="1:14">
      <c r="A34" s="312" t="str">
        <f t="shared" ca="1" si="5"/>
        <v/>
      </c>
      <c r="B34" s="347" t="str">
        <f ca="1">IF(ROWS($1:21)&gt;COUNT(Dong11),"",OFFSET(TH!D$1,SMALL(Dong11,ROWS($1:21)),))</f>
        <v/>
      </c>
      <c r="C34" s="348" t="str">
        <f ca="1">IF(ROWS($1:21)&gt;COUNT(Dong11),"",OFFSET(TH!E$1,SMALL(Dong11,ROWS($1:21)),))</f>
        <v/>
      </c>
      <c r="D34" s="349" t="str">
        <f ca="1">IF(ROWS($1:21)&gt;COUNT(Dong11),"",OFFSET(TH!H$1,SMALL(Dong11,ROWS($1:21)),))</f>
        <v/>
      </c>
      <c r="E34" s="347" t="str">
        <f ca="1">IF(ROWS($1:21)&gt;COUNT(Dong11),"",IF(OFFSET(TH!L$1,SMALL(Dong11,ROWS($1:21)),)=$G$7,OFFSET(TH!M$1,SMALL(Dong11,ROWS($1:21)),),OFFSET(TH!L$1,SMALL(Dong11,ROWS($1:21)),)))</f>
        <v/>
      </c>
      <c r="F34" s="350">
        <f ca="1">IF(ROWS($1:21)&gt;COUNT(Dong11),0,OFFSET(TH!J$1,SMALL(Dong11,ROWS($1:21)),))</f>
        <v>0</v>
      </c>
      <c r="G34" s="350">
        <f ca="1">IF(ROWS($1:21)&gt;COUNT(Dong11),0,IF(MID(OFFSET(TH!D$1,SMALL(Dong11,ROWS($1:21)),),4,1)="N",OFFSET(TH!I$1,SMALL(Dong11,ROWS($1:21)),),0))</f>
        <v>0</v>
      </c>
      <c r="H34" s="351">
        <f t="shared" ca="1" si="6"/>
        <v>0</v>
      </c>
      <c r="I34" s="350">
        <f ca="1">IF(ROWS($1:21)&gt;COUNT(Dong11),0,IF(MID(OFFSET(TH!D$1,SMALL(Dong11,ROWS($1:21)),),4,1)="X",OFFSET(TH!I$1,SMALL(Dong11,ROWS($1:21)),),0))</f>
        <v>0</v>
      </c>
      <c r="J34" s="351">
        <f t="shared" ca="1" si="7"/>
        <v>0</v>
      </c>
      <c r="K34" s="351">
        <f t="shared" ca="1" si="8"/>
        <v>0</v>
      </c>
      <c r="L34" s="351">
        <f t="shared" ca="1" si="9"/>
        <v>0</v>
      </c>
      <c r="M34" s="351"/>
      <c r="N34" s="341"/>
    </row>
    <row r="35" spans="1:14">
      <c r="A35" s="312" t="str">
        <f t="shared" ca="1" si="5"/>
        <v/>
      </c>
      <c r="B35" s="347" t="str">
        <f ca="1">IF(ROWS($1:22)&gt;COUNT(Dong11),"",OFFSET(TH!D$1,SMALL(Dong11,ROWS($1:22)),))</f>
        <v/>
      </c>
      <c r="C35" s="348" t="str">
        <f ca="1">IF(ROWS($1:22)&gt;COUNT(Dong11),"",OFFSET(TH!E$1,SMALL(Dong11,ROWS($1:22)),))</f>
        <v/>
      </c>
      <c r="D35" s="349" t="str">
        <f ca="1">IF(ROWS($1:22)&gt;COUNT(Dong11),"",OFFSET(TH!H$1,SMALL(Dong11,ROWS($1:22)),))</f>
        <v/>
      </c>
      <c r="E35" s="347" t="str">
        <f ca="1">IF(ROWS($1:22)&gt;COUNT(Dong11),"",IF(OFFSET(TH!L$1,SMALL(Dong11,ROWS($1:22)),)=$G$7,OFFSET(TH!M$1,SMALL(Dong11,ROWS($1:22)),),OFFSET(TH!L$1,SMALL(Dong11,ROWS($1:22)),)))</f>
        <v/>
      </c>
      <c r="F35" s="350">
        <f ca="1">IF(ROWS($1:22)&gt;COUNT(Dong11),0,OFFSET(TH!J$1,SMALL(Dong11,ROWS($1:22)),))</f>
        <v>0</v>
      </c>
      <c r="G35" s="350">
        <f ca="1">IF(ROWS($1:22)&gt;COUNT(Dong11),0,IF(MID(OFFSET(TH!D$1,SMALL(Dong11,ROWS($1:22)),),4,1)="N",OFFSET(TH!I$1,SMALL(Dong11,ROWS($1:22)),),0))</f>
        <v>0</v>
      </c>
      <c r="H35" s="351">
        <f t="shared" ca="1" si="6"/>
        <v>0</v>
      </c>
      <c r="I35" s="350">
        <f ca="1">IF(ROWS($1:22)&gt;COUNT(Dong11),0,IF(MID(OFFSET(TH!D$1,SMALL(Dong11,ROWS($1:22)),),4,1)="X",OFFSET(TH!I$1,SMALL(Dong11,ROWS($1:22)),),0))</f>
        <v>0</v>
      </c>
      <c r="J35" s="351">
        <f t="shared" ca="1" si="7"/>
        <v>0</v>
      </c>
      <c r="K35" s="351">
        <f t="shared" ca="1" si="8"/>
        <v>0</v>
      </c>
      <c r="L35" s="351">
        <f t="shared" ca="1" si="9"/>
        <v>0</v>
      </c>
      <c r="M35" s="351"/>
      <c r="N35" s="341"/>
    </row>
    <row r="36" spans="1:14">
      <c r="A36" s="312" t="str">
        <f t="shared" ca="1" si="5"/>
        <v/>
      </c>
      <c r="B36" s="347" t="str">
        <f ca="1">IF(ROWS($1:23)&gt;COUNT(Dong11),"",OFFSET(TH!D$1,SMALL(Dong11,ROWS($1:23)),))</f>
        <v/>
      </c>
      <c r="C36" s="348" t="str">
        <f ca="1">IF(ROWS($1:23)&gt;COUNT(Dong11),"",OFFSET(TH!E$1,SMALL(Dong11,ROWS($1:23)),))</f>
        <v/>
      </c>
      <c r="D36" s="349" t="str">
        <f ca="1">IF(ROWS($1:23)&gt;COUNT(Dong11),"",OFFSET(TH!H$1,SMALL(Dong11,ROWS($1:23)),))</f>
        <v/>
      </c>
      <c r="E36" s="347" t="str">
        <f ca="1">IF(ROWS($1:23)&gt;COUNT(Dong11),"",IF(OFFSET(TH!L$1,SMALL(Dong11,ROWS($1:23)),)=$G$7,OFFSET(TH!M$1,SMALL(Dong11,ROWS($1:23)),),OFFSET(TH!L$1,SMALL(Dong11,ROWS($1:23)),)))</f>
        <v/>
      </c>
      <c r="F36" s="350">
        <f ca="1">IF(ROWS($1:23)&gt;COUNT(Dong11),0,OFFSET(TH!J$1,SMALL(Dong11,ROWS($1:23)),))</f>
        <v>0</v>
      </c>
      <c r="G36" s="350">
        <f ca="1">IF(ROWS($1:23)&gt;COUNT(Dong11),0,IF(MID(OFFSET(TH!D$1,SMALL(Dong11,ROWS($1:23)),),4,1)="N",OFFSET(TH!I$1,SMALL(Dong11,ROWS($1:23)),),0))</f>
        <v>0</v>
      </c>
      <c r="H36" s="351">
        <f t="shared" ca="1" si="6"/>
        <v>0</v>
      </c>
      <c r="I36" s="350">
        <f ca="1">IF(ROWS($1:23)&gt;COUNT(Dong11),0,IF(MID(OFFSET(TH!D$1,SMALL(Dong11,ROWS($1:23)),),4,1)="X",OFFSET(TH!I$1,SMALL(Dong11,ROWS($1:23)),),0))</f>
        <v>0</v>
      </c>
      <c r="J36" s="351">
        <f t="shared" ca="1" si="7"/>
        <v>0</v>
      </c>
      <c r="K36" s="351">
        <f t="shared" ca="1" si="8"/>
        <v>0</v>
      </c>
      <c r="L36" s="351">
        <f t="shared" ca="1" si="9"/>
        <v>0</v>
      </c>
      <c r="M36" s="351"/>
      <c r="N36" s="341"/>
    </row>
    <row r="37" spans="1:14">
      <c r="A37" s="312" t="str">
        <f t="shared" ca="1" si="5"/>
        <v/>
      </c>
      <c r="B37" s="347" t="str">
        <f ca="1">IF(ROWS($1:24)&gt;COUNT(Dong11),"",OFFSET(TH!D$1,SMALL(Dong11,ROWS($1:24)),))</f>
        <v/>
      </c>
      <c r="C37" s="348" t="str">
        <f ca="1">IF(ROWS($1:24)&gt;COUNT(Dong11),"",OFFSET(TH!E$1,SMALL(Dong11,ROWS($1:24)),))</f>
        <v/>
      </c>
      <c r="D37" s="349" t="str">
        <f ca="1">IF(ROWS($1:24)&gt;COUNT(Dong11),"",OFFSET(TH!H$1,SMALL(Dong11,ROWS($1:24)),))</f>
        <v/>
      </c>
      <c r="E37" s="347" t="str">
        <f ca="1">IF(ROWS($1:24)&gt;COUNT(Dong11),"",IF(OFFSET(TH!L$1,SMALL(Dong11,ROWS($1:24)),)=$G$7,OFFSET(TH!M$1,SMALL(Dong11,ROWS($1:24)),),OFFSET(TH!L$1,SMALL(Dong11,ROWS($1:24)),)))</f>
        <v/>
      </c>
      <c r="F37" s="350">
        <f ca="1">IF(ROWS($1:24)&gt;COUNT(Dong11),0,OFFSET(TH!J$1,SMALL(Dong11,ROWS($1:24)),))</f>
        <v>0</v>
      </c>
      <c r="G37" s="350">
        <f ca="1">IF(ROWS($1:24)&gt;COUNT(Dong11),0,IF(MID(OFFSET(TH!D$1,SMALL(Dong11,ROWS($1:24)),),4,1)="N",OFFSET(TH!I$1,SMALL(Dong11,ROWS($1:24)),),0))</f>
        <v>0</v>
      </c>
      <c r="H37" s="351">
        <f t="shared" ca="1" si="6"/>
        <v>0</v>
      </c>
      <c r="I37" s="350">
        <f ca="1">IF(ROWS($1:24)&gt;COUNT(Dong11),0,IF(MID(OFFSET(TH!D$1,SMALL(Dong11,ROWS($1:24)),),4,1)="X",OFFSET(TH!I$1,SMALL(Dong11,ROWS($1:24)),),0))</f>
        <v>0</v>
      </c>
      <c r="J37" s="351">
        <f t="shared" ca="1" si="7"/>
        <v>0</v>
      </c>
      <c r="K37" s="351">
        <f t="shared" ca="1" si="8"/>
        <v>0</v>
      </c>
      <c r="L37" s="351">
        <f t="shared" ca="1" si="9"/>
        <v>0</v>
      </c>
      <c r="M37" s="351"/>
      <c r="N37" s="341"/>
    </row>
    <row r="38" spans="1:14">
      <c r="A38" s="312" t="str">
        <f t="shared" ca="1" si="5"/>
        <v/>
      </c>
      <c r="B38" s="347" t="str">
        <f ca="1">IF(ROWS($1:25)&gt;COUNT(Dong11),"",OFFSET(TH!D$1,SMALL(Dong11,ROWS($1:25)),))</f>
        <v/>
      </c>
      <c r="C38" s="348" t="str">
        <f ca="1">IF(ROWS($1:25)&gt;COUNT(Dong11),"",OFFSET(TH!E$1,SMALL(Dong11,ROWS($1:25)),))</f>
        <v/>
      </c>
      <c r="D38" s="349" t="str">
        <f ca="1">IF(ROWS($1:25)&gt;COUNT(Dong11),"",OFFSET(TH!H$1,SMALL(Dong11,ROWS($1:25)),))</f>
        <v/>
      </c>
      <c r="E38" s="347" t="str">
        <f ca="1">IF(ROWS($1:25)&gt;COUNT(Dong11),"",IF(OFFSET(TH!L$1,SMALL(Dong11,ROWS($1:25)),)=$G$7,OFFSET(TH!M$1,SMALL(Dong11,ROWS($1:25)),),OFFSET(TH!L$1,SMALL(Dong11,ROWS($1:25)),)))</f>
        <v/>
      </c>
      <c r="F38" s="350">
        <f ca="1">IF(ROWS($1:25)&gt;COUNT(Dong11),0,OFFSET(TH!J$1,SMALL(Dong11,ROWS($1:25)),))</f>
        <v>0</v>
      </c>
      <c r="G38" s="350">
        <f ca="1">IF(ROWS($1:25)&gt;COUNT(Dong11),0,IF(MID(OFFSET(TH!D$1,SMALL(Dong11,ROWS($1:25)),),4,1)="N",OFFSET(TH!I$1,SMALL(Dong11,ROWS($1:25)),),0))</f>
        <v>0</v>
      </c>
      <c r="H38" s="351">
        <f t="shared" ca="1" si="6"/>
        <v>0</v>
      </c>
      <c r="I38" s="350">
        <f ca="1">IF(ROWS($1:25)&gt;COUNT(Dong11),0,IF(MID(OFFSET(TH!D$1,SMALL(Dong11,ROWS($1:25)),),4,1)="X",OFFSET(TH!I$1,SMALL(Dong11,ROWS($1:25)),),0))</f>
        <v>0</v>
      </c>
      <c r="J38" s="351">
        <f t="shared" ca="1" si="7"/>
        <v>0</v>
      </c>
      <c r="K38" s="351">
        <f t="shared" ca="1" si="8"/>
        <v>0</v>
      </c>
      <c r="L38" s="351">
        <f t="shared" ca="1" si="9"/>
        <v>0</v>
      </c>
      <c r="M38" s="351"/>
      <c r="N38" s="341"/>
    </row>
    <row r="39" spans="1:14">
      <c r="A39" s="312" t="str">
        <f t="shared" ref="A39:A62" ca="1" si="10">IF(B39="","",A38+1)</f>
        <v/>
      </c>
      <c r="B39" s="347" t="str">
        <f ca="1">IF(ROWS($1:26)&gt;COUNT(Dong11),"",OFFSET(TH!D$1,SMALL(Dong11,ROWS($1:26)),))</f>
        <v/>
      </c>
      <c r="C39" s="348" t="str">
        <f ca="1">IF(ROWS($1:26)&gt;COUNT(Dong11),"",OFFSET(TH!E$1,SMALL(Dong11,ROWS($1:26)),))</f>
        <v/>
      </c>
      <c r="D39" s="349" t="str">
        <f ca="1">IF(ROWS($1:26)&gt;COUNT(Dong11),"",OFFSET(TH!H$1,SMALL(Dong11,ROWS($1:26)),))</f>
        <v/>
      </c>
      <c r="E39" s="347" t="str">
        <f ca="1">IF(ROWS($1:26)&gt;COUNT(Dong11),"",IF(OFFSET(TH!L$1,SMALL(Dong11,ROWS($1:26)),)=$G$7,OFFSET(TH!M$1,SMALL(Dong11,ROWS($1:26)),),OFFSET(TH!L$1,SMALL(Dong11,ROWS($1:26)),)))</f>
        <v/>
      </c>
      <c r="F39" s="350">
        <f ca="1">IF(ROWS($1:26)&gt;COUNT(Dong11),0,OFFSET(TH!J$1,SMALL(Dong11,ROWS($1:26)),))</f>
        <v>0</v>
      </c>
      <c r="G39" s="350">
        <f ca="1">IF(ROWS($1:26)&gt;COUNT(Dong11),0,IF(MID(OFFSET(TH!D$1,SMALL(Dong11,ROWS($1:26)),),4,1)="N",OFFSET(TH!I$1,SMALL(Dong11,ROWS($1:26)),),0))</f>
        <v>0</v>
      </c>
      <c r="H39" s="351">
        <f t="shared" ref="H39:H62" ca="1" si="11">ROUND(F39*G39,0)</f>
        <v>0</v>
      </c>
      <c r="I39" s="350">
        <f ca="1">IF(ROWS($1:26)&gt;COUNT(Dong11),0,IF(MID(OFFSET(TH!D$1,SMALL(Dong11,ROWS($1:26)),),4,1)="X",OFFSET(TH!I$1,SMALL(Dong11,ROWS($1:26)),),0))</f>
        <v>0</v>
      </c>
      <c r="J39" s="351">
        <f t="shared" ref="J39:J62" ca="1" si="12">ROUND(F39*I39,0)</f>
        <v>0</v>
      </c>
      <c r="K39" s="351">
        <f t="shared" ref="K39:K62" ca="1" si="13">IF(D39&lt;&gt;"",K38+G39-I39,0)</f>
        <v>0</v>
      </c>
      <c r="L39" s="351">
        <f t="shared" ref="L39:L62" ca="1" si="14">IF(D39&lt;&gt;"",L38+H39-J39,0)</f>
        <v>0</v>
      </c>
      <c r="M39" s="351"/>
      <c r="N39" s="341"/>
    </row>
    <row r="40" spans="1:14">
      <c r="A40" s="312" t="str">
        <f t="shared" ca="1" si="10"/>
        <v/>
      </c>
      <c r="B40" s="347" t="str">
        <f ca="1">IF(ROWS($1:27)&gt;COUNT(Dong11),"",OFFSET(TH!D$1,SMALL(Dong11,ROWS($1:27)),))</f>
        <v/>
      </c>
      <c r="C40" s="348" t="str">
        <f ca="1">IF(ROWS($1:27)&gt;COUNT(Dong11),"",OFFSET(TH!E$1,SMALL(Dong11,ROWS($1:27)),))</f>
        <v/>
      </c>
      <c r="D40" s="349" t="str">
        <f ca="1">IF(ROWS($1:27)&gt;COUNT(Dong11),"",OFFSET(TH!H$1,SMALL(Dong11,ROWS($1:27)),))</f>
        <v/>
      </c>
      <c r="E40" s="347" t="str">
        <f ca="1">IF(ROWS($1:27)&gt;COUNT(Dong11),"",IF(OFFSET(TH!L$1,SMALL(Dong11,ROWS($1:27)),)=$G$7,OFFSET(TH!M$1,SMALL(Dong11,ROWS($1:27)),),OFFSET(TH!L$1,SMALL(Dong11,ROWS($1:27)),)))</f>
        <v/>
      </c>
      <c r="F40" s="350">
        <f ca="1">IF(ROWS($1:27)&gt;COUNT(Dong11),0,OFFSET(TH!J$1,SMALL(Dong11,ROWS($1:27)),))</f>
        <v>0</v>
      </c>
      <c r="G40" s="350">
        <f ca="1">IF(ROWS($1:27)&gt;COUNT(Dong11),0,IF(MID(OFFSET(TH!D$1,SMALL(Dong11,ROWS($1:27)),),4,1)="N",OFFSET(TH!I$1,SMALL(Dong11,ROWS($1:27)),),0))</f>
        <v>0</v>
      </c>
      <c r="H40" s="351">
        <f t="shared" ca="1" si="11"/>
        <v>0</v>
      </c>
      <c r="I40" s="350">
        <f ca="1">IF(ROWS($1:27)&gt;COUNT(Dong11),0,IF(MID(OFFSET(TH!D$1,SMALL(Dong11,ROWS($1:27)),),4,1)="X",OFFSET(TH!I$1,SMALL(Dong11,ROWS($1:27)),),0))</f>
        <v>0</v>
      </c>
      <c r="J40" s="351">
        <f t="shared" ca="1" si="12"/>
        <v>0</v>
      </c>
      <c r="K40" s="351">
        <f t="shared" ca="1" si="13"/>
        <v>0</v>
      </c>
      <c r="L40" s="351">
        <f t="shared" ca="1" si="14"/>
        <v>0</v>
      </c>
      <c r="M40" s="351"/>
      <c r="N40" s="341"/>
    </row>
    <row r="41" spans="1:14">
      <c r="A41" s="312" t="str">
        <f t="shared" ca="1" si="10"/>
        <v/>
      </c>
      <c r="B41" s="347" t="str">
        <f ca="1">IF(ROWS($1:28)&gt;COUNT(Dong11),"",OFFSET(TH!D$1,SMALL(Dong11,ROWS($1:28)),))</f>
        <v/>
      </c>
      <c r="C41" s="348" t="str">
        <f ca="1">IF(ROWS($1:28)&gt;COUNT(Dong11),"",OFFSET(TH!E$1,SMALL(Dong11,ROWS($1:28)),))</f>
        <v/>
      </c>
      <c r="D41" s="349" t="str">
        <f ca="1">IF(ROWS($1:28)&gt;COUNT(Dong11),"",OFFSET(TH!H$1,SMALL(Dong11,ROWS($1:28)),))</f>
        <v/>
      </c>
      <c r="E41" s="347" t="str">
        <f ca="1">IF(ROWS($1:28)&gt;COUNT(Dong11),"",IF(OFFSET(TH!L$1,SMALL(Dong11,ROWS($1:28)),)=$G$7,OFFSET(TH!M$1,SMALL(Dong11,ROWS($1:28)),),OFFSET(TH!L$1,SMALL(Dong11,ROWS($1:28)),)))</f>
        <v/>
      </c>
      <c r="F41" s="350">
        <f ca="1">IF(ROWS($1:28)&gt;COUNT(Dong11),0,OFFSET(TH!J$1,SMALL(Dong11,ROWS($1:28)),))</f>
        <v>0</v>
      </c>
      <c r="G41" s="350">
        <f ca="1">IF(ROWS($1:28)&gt;COUNT(Dong11),0,IF(MID(OFFSET(TH!D$1,SMALL(Dong11,ROWS($1:28)),),4,1)="N",OFFSET(TH!I$1,SMALL(Dong11,ROWS($1:28)),),0))</f>
        <v>0</v>
      </c>
      <c r="H41" s="351">
        <f t="shared" ca="1" si="11"/>
        <v>0</v>
      </c>
      <c r="I41" s="350">
        <f ca="1">IF(ROWS($1:28)&gt;COUNT(Dong11),0,IF(MID(OFFSET(TH!D$1,SMALL(Dong11,ROWS($1:28)),),4,1)="X",OFFSET(TH!I$1,SMALL(Dong11,ROWS($1:28)),),0))</f>
        <v>0</v>
      </c>
      <c r="J41" s="351">
        <f t="shared" ca="1" si="12"/>
        <v>0</v>
      </c>
      <c r="K41" s="351">
        <f t="shared" ca="1" si="13"/>
        <v>0</v>
      </c>
      <c r="L41" s="351">
        <f t="shared" ca="1" si="14"/>
        <v>0</v>
      </c>
      <c r="M41" s="351"/>
      <c r="N41" s="341"/>
    </row>
    <row r="42" spans="1:14">
      <c r="A42" s="312" t="str">
        <f t="shared" ca="1" si="10"/>
        <v/>
      </c>
      <c r="B42" s="347" t="str">
        <f ca="1">IF(ROWS($1:29)&gt;COUNT(Dong11),"",OFFSET(TH!D$1,SMALL(Dong11,ROWS($1:29)),))</f>
        <v/>
      </c>
      <c r="C42" s="348" t="str">
        <f ca="1">IF(ROWS($1:29)&gt;COUNT(Dong11),"",OFFSET(TH!E$1,SMALL(Dong11,ROWS($1:29)),))</f>
        <v/>
      </c>
      <c r="D42" s="349" t="str">
        <f ca="1">IF(ROWS($1:29)&gt;COUNT(Dong11),"",OFFSET(TH!H$1,SMALL(Dong11,ROWS($1:29)),))</f>
        <v/>
      </c>
      <c r="E42" s="347" t="str">
        <f ca="1">IF(ROWS($1:29)&gt;COUNT(Dong11),"",IF(OFFSET(TH!L$1,SMALL(Dong11,ROWS($1:29)),)=$G$7,OFFSET(TH!M$1,SMALL(Dong11,ROWS($1:29)),),OFFSET(TH!L$1,SMALL(Dong11,ROWS($1:29)),)))</f>
        <v/>
      </c>
      <c r="F42" s="350">
        <f ca="1">IF(ROWS($1:29)&gt;COUNT(Dong11),0,OFFSET(TH!J$1,SMALL(Dong11,ROWS($1:29)),))</f>
        <v>0</v>
      </c>
      <c r="G42" s="350">
        <f ca="1">IF(ROWS($1:29)&gt;COUNT(Dong11),0,IF(MID(OFFSET(TH!D$1,SMALL(Dong11,ROWS($1:29)),),4,1)="N",OFFSET(TH!I$1,SMALL(Dong11,ROWS($1:29)),),0))</f>
        <v>0</v>
      </c>
      <c r="H42" s="351">
        <f t="shared" ca="1" si="11"/>
        <v>0</v>
      </c>
      <c r="I42" s="350">
        <f ca="1">IF(ROWS($1:29)&gt;COUNT(Dong11),0,IF(MID(OFFSET(TH!D$1,SMALL(Dong11,ROWS($1:29)),),4,1)="X",OFFSET(TH!I$1,SMALL(Dong11,ROWS($1:29)),),0))</f>
        <v>0</v>
      </c>
      <c r="J42" s="351">
        <f t="shared" ca="1" si="12"/>
        <v>0</v>
      </c>
      <c r="K42" s="351">
        <f t="shared" ca="1" si="13"/>
        <v>0</v>
      </c>
      <c r="L42" s="351">
        <f t="shared" ca="1" si="14"/>
        <v>0</v>
      </c>
      <c r="M42" s="351"/>
      <c r="N42" s="341"/>
    </row>
    <row r="43" spans="1:14">
      <c r="A43" s="312" t="str">
        <f t="shared" ca="1" si="10"/>
        <v/>
      </c>
      <c r="B43" s="347" t="str">
        <f ca="1">IF(ROWS($1:30)&gt;COUNT(Dong11),"",OFFSET(TH!D$1,SMALL(Dong11,ROWS($1:30)),))</f>
        <v/>
      </c>
      <c r="C43" s="348" t="str">
        <f ca="1">IF(ROWS($1:30)&gt;COUNT(Dong11),"",OFFSET(TH!E$1,SMALL(Dong11,ROWS($1:30)),))</f>
        <v/>
      </c>
      <c r="D43" s="349" t="str">
        <f ca="1">IF(ROWS($1:30)&gt;COUNT(Dong11),"",OFFSET(TH!H$1,SMALL(Dong11,ROWS($1:30)),))</f>
        <v/>
      </c>
      <c r="E43" s="347" t="str">
        <f ca="1">IF(ROWS($1:30)&gt;COUNT(Dong11),"",IF(OFFSET(TH!L$1,SMALL(Dong11,ROWS($1:30)),)=$G$7,OFFSET(TH!M$1,SMALL(Dong11,ROWS($1:30)),),OFFSET(TH!L$1,SMALL(Dong11,ROWS($1:30)),)))</f>
        <v/>
      </c>
      <c r="F43" s="350">
        <f ca="1">IF(ROWS($1:30)&gt;COUNT(Dong11),0,OFFSET(TH!J$1,SMALL(Dong11,ROWS($1:30)),))</f>
        <v>0</v>
      </c>
      <c r="G43" s="350">
        <f ca="1">IF(ROWS($1:30)&gt;COUNT(Dong11),0,IF(MID(OFFSET(TH!D$1,SMALL(Dong11,ROWS($1:30)),),4,1)="N",OFFSET(TH!I$1,SMALL(Dong11,ROWS($1:30)),),0))</f>
        <v>0</v>
      </c>
      <c r="H43" s="351">
        <f t="shared" ca="1" si="11"/>
        <v>0</v>
      </c>
      <c r="I43" s="350">
        <f ca="1">IF(ROWS($1:30)&gt;COUNT(Dong11),0,IF(MID(OFFSET(TH!D$1,SMALL(Dong11,ROWS($1:30)),),4,1)="X",OFFSET(TH!I$1,SMALL(Dong11,ROWS($1:30)),),0))</f>
        <v>0</v>
      </c>
      <c r="J43" s="351">
        <f t="shared" ca="1" si="12"/>
        <v>0</v>
      </c>
      <c r="K43" s="351">
        <f t="shared" ca="1" si="13"/>
        <v>0</v>
      </c>
      <c r="L43" s="351">
        <f t="shared" ca="1" si="14"/>
        <v>0</v>
      </c>
      <c r="M43" s="351"/>
      <c r="N43" s="341"/>
    </row>
    <row r="44" spans="1:14">
      <c r="A44" s="312" t="str">
        <f t="shared" ca="1" si="10"/>
        <v/>
      </c>
      <c r="B44" s="347" t="str">
        <f ca="1">IF(ROWS($1:31)&gt;COUNT(Dong11),"",OFFSET(TH!D$1,SMALL(Dong11,ROWS($1:31)),))</f>
        <v/>
      </c>
      <c r="C44" s="348" t="str">
        <f ca="1">IF(ROWS($1:31)&gt;COUNT(Dong11),"",OFFSET(TH!E$1,SMALL(Dong11,ROWS($1:31)),))</f>
        <v/>
      </c>
      <c r="D44" s="349" t="str">
        <f ca="1">IF(ROWS($1:31)&gt;COUNT(Dong11),"",OFFSET(TH!H$1,SMALL(Dong11,ROWS($1:31)),))</f>
        <v/>
      </c>
      <c r="E44" s="347" t="str">
        <f ca="1">IF(ROWS($1:31)&gt;COUNT(Dong11),"",IF(OFFSET(TH!L$1,SMALL(Dong11,ROWS($1:31)),)=$G$7,OFFSET(TH!M$1,SMALL(Dong11,ROWS($1:31)),),OFFSET(TH!L$1,SMALL(Dong11,ROWS($1:31)),)))</f>
        <v/>
      </c>
      <c r="F44" s="350">
        <f ca="1">IF(ROWS($1:31)&gt;COUNT(Dong11),0,OFFSET(TH!J$1,SMALL(Dong11,ROWS($1:31)),))</f>
        <v>0</v>
      </c>
      <c r="G44" s="350">
        <f ca="1">IF(ROWS($1:31)&gt;COUNT(Dong11),0,IF(MID(OFFSET(TH!D$1,SMALL(Dong11,ROWS($1:31)),),4,1)="N",OFFSET(TH!I$1,SMALL(Dong11,ROWS($1:31)),),0))</f>
        <v>0</v>
      </c>
      <c r="H44" s="351">
        <f t="shared" ca="1" si="11"/>
        <v>0</v>
      </c>
      <c r="I44" s="350">
        <f ca="1">IF(ROWS($1:31)&gt;COUNT(Dong11),0,IF(MID(OFFSET(TH!D$1,SMALL(Dong11,ROWS($1:31)),),4,1)="X",OFFSET(TH!I$1,SMALL(Dong11,ROWS($1:31)),),0))</f>
        <v>0</v>
      </c>
      <c r="J44" s="351">
        <f t="shared" ca="1" si="12"/>
        <v>0</v>
      </c>
      <c r="K44" s="351">
        <f t="shared" ca="1" si="13"/>
        <v>0</v>
      </c>
      <c r="L44" s="351">
        <f t="shared" ca="1" si="14"/>
        <v>0</v>
      </c>
      <c r="M44" s="351"/>
      <c r="N44" s="341"/>
    </row>
    <row r="45" spans="1:14">
      <c r="A45" s="312" t="str">
        <f t="shared" ca="1" si="10"/>
        <v/>
      </c>
      <c r="B45" s="347" t="str">
        <f ca="1">IF(ROWS($1:32)&gt;COUNT(Dong11),"",OFFSET(TH!D$1,SMALL(Dong11,ROWS($1:32)),))</f>
        <v/>
      </c>
      <c r="C45" s="348" t="str">
        <f ca="1">IF(ROWS($1:32)&gt;COUNT(Dong11),"",OFFSET(TH!E$1,SMALL(Dong11,ROWS($1:32)),))</f>
        <v/>
      </c>
      <c r="D45" s="349" t="str">
        <f ca="1">IF(ROWS($1:32)&gt;COUNT(Dong11),"",OFFSET(TH!H$1,SMALL(Dong11,ROWS($1:32)),))</f>
        <v/>
      </c>
      <c r="E45" s="347" t="str">
        <f ca="1">IF(ROWS($1:32)&gt;COUNT(Dong11),"",IF(OFFSET(TH!L$1,SMALL(Dong11,ROWS($1:32)),)=$G$7,OFFSET(TH!M$1,SMALL(Dong11,ROWS($1:32)),),OFFSET(TH!L$1,SMALL(Dong11,ROWS($1:32)),)))</f>
        <v/>
      </c>
      <c r="F45" s="350">
        <f ca="1">IF(ROWS($1:32)&gt;COUNT(Dong11),0,OFFSET(TH!J$1,SMALL(Dong11,ROWS($1:32)),))</f>
        <v>0</v>
      </c>
      <c r="G45" s="350">
        <f ca="1">IF(ROWS($1:32)&gt;COUNT(Dong11),0,IF(MID(OFFSET(TH!D$1,SMALL(Dong11,ROWS($1:32)),),4,1)="N",OFFSET(TH!I$1,SMALL(Dong11,ROWS($1:32)),),0))</f>
        <v>0</v>
      </c>
      <c r="H45" s="351">
        <f t="shared" ca="1" si="11"/>
        <v>0</v>
      </c>
      <c r="I45" s="350">
        <f ca="1">IF(ROWS($1:32)&gt;COUNT(Dong11),0,IF(MID(OFFSET(TH!D$1,SMALL(Dong11,ROWS($1:32)),),4,1)="X",OFFSET(TH!I$1,SMALL(Dong11,ROWS($1:32)),),0))</f>
        <v>0</v>
      </c>
      <c r="J45" s="351">
        <f t="shared" ca="1" si="12"/>
        <v>0</v>
      </c>
      <c r="K45" s="351">
        <f t="shared" ca="1" si="13"/>
        <v>0</v>
      </c>
      <c r="L45" s="351">
        <f t="shared" ca="1" si="14"/>
        <v>0</v>
      </c>
      <c r="M45" s="351"/>
      <c r="N45" s="341"/>
    </row>
    <row r="46" spans="1:14">
      <c r="A46" s="312" t="str">
        <f t="shared" ca="1" si="10"/>
        <v/>
      </c>
      <c r="B46" s="347" t="str">
        <f ca="1">IF(ROWS($1:33)&gt;COUNT(Dong11),"",OFFSET(TH!D$1,SMALL(Dong11,ROWS($1:33)),))</f>
        <v/>
      </c>
      <c r="C46" s="348" t="str">
        <f ca="1">IF(ROWS($1:33)&gt;COUNT(Dong11),"",OFFSET(TH!E$1,SMALL(Dong11,ROWS($1:33)),))</f>
        <v/>
      </c>
      <c r="D46" s="349" t="str">
        <f ca="1">IF(ROWS($1:33)&gt;COUNT(Dong11),"",OFFSET(TH!H$1,SMALL(Dong11,ROWS($1:33)),))</f>
        <v/>
      </c>
      <c r="E46" s="347" t="str">
        <f ca="1">IF(ROWS($1:33)&gt;COUNT(Dong11),"",IF(OFFSET(TH!L$1,SMALL(Dong11,ROWS($1:33)),)=$G$7,OFFSET(TH!M$1,SMALL(Dong11,ROWS($1:33)),),OFFSET(TH!L$1,SMALL(Dong11,ROWS($1:33)),)))</f>
        <v/>
      </c>
      <c r="F46" s="350">
        <f ca="1">IF(ROWS($1:33)&gt;COUNT(Dong11),0,OFFSET(TH!J$1,SMALL(Dong11,ROWS($1:33)),))</f>
        <v>0</v>
      </c>
      <c r="G46" s="350">
        <f ca="1">IF(ROWS($1:33)&gt;COUNT(Dong11),0,IF(MID(OFFSET(TH!D$1,SMALL(Dong11,ROWS($1:33)),),4,1)="N",OFFSET(TH!I$1,SMALL(Dong11,ROWS($1:33)),),0))</f>
        <v>0</v>
      </c>
      <c r="H46" s="351">
        <f t="shared" ca="1" si="11"/>
        <v>0</v>
      </c>
      <c r="I46" s="350">
        <f ca="1">IF(ROWS($1:33)&gt;COUNT(Dong11),0,IF(MID(OFFSET(TH!D$1,SMALL(Dong11,ROWS($1:33)),),4,1)="X",OFFSET(TH!I$1,SMALL(Dong11,ROWS($1:33)),),0))</f>
        <v>0</v>
      </c>
      <c r="J46" s="351">
        <f t="shared" ca="1" si="12"/>
        <v>0</v>
      </c>
      <c r="K46" s="351">
        <f t="shared" ca="1" si="13"/>
        <v>0</v>
      </c>
      <c r="L46" s="351">
        <f t="shared" ca="1" si="14"/>
        <v>0</v>
      </c>
      <c r="M46" s="351"/>
      <c r="N46" s="341"/>
    </row>
    <row r="47" spans="1:14">
      <c r="A47" s="312" t="str">
        <f t="shared" ca="1" si="10"/>
        <v/>
      </c>
      <c r="B47" s="347" t="str">
        <f ca="1">IF(ROWS($1:34)&gt;COUNT(Dong11),"",OFFSET(TH!D$1,SMALL(Dong11,ROWS($1:34)),))</f>
        <v/>
      </c>
      <c r="C47" s="348" t="str">
        <f ca="1">IF(ROWS($1:34)&gt;COUNT(Dong11),"",OFFSET(TH!E$1,SMALL(Dong11,ROWS($1:34)),))</f>
        <v/>
      </c>
      <c r="D47" s="349" t="str">
        <f ca="1">IF(ROWS($1:34)&gt;COUNT(Dong11),"",OFFSET(TH!H$1,SMALL(Dong11,ROWS($1:34)),))</f>
        <v/>
      </c>
      <c r="E47" s="347" t="str">
        <f ca="1">IF(ROWS($1:34)&gt;COUNT(Dong11),"",IF(OFFSET(TH!L$1,SMALL(Dong11,ROWS($1:34)),)=$G$7,OFFSET(TH!M$1,SMALL(Dong11,ROWS($1:34)),),OFFSET(TH!L$1,SMALL(Dong11,ROWS($1:34)),)))</f>
        <v/>
      </c>
      <c r="F47" s="350">
        <f ca="1">IF(ROWS($1:34)&gt;COUNT(Dong11),0,OFFSET(TH!J$1,SMALL(Dong11,ROWS($1:34)),))</f>
        <v>0</v>
      </c>
      <c r="G47" s="350">
        <f ca="1">IF(ROWS($1:34)&gt;COUNT(Dong11),0,IF(MID(OFFSET(TH!D$1,SMALL(Dong11,ROWS($1:34)),),4,1)="N",OFFSET(TH!I$1,SMALL(Dong11,ROWS($1:34)),),0))</f>
        <v>0</v>
      </c>
      <c r="H47" s="351">
        <f t="shared" ca="1" si="11"/>
        <v>0</v>
      </c>
      <c r="I47" s="350">
        <f ca="1">IF(ROWS($1:34)&gt;COUNT(Dong11),0,IF(MID(OFFSET(TH!D$1,SMALL(Dong11,ROWS($1:34)),),4,1)="X",OFFSET(TH!I$1,SMALL(Dong11,ROWS($1:34)),),0))</f>
        <v>0</v>
      </c>
      <c r="J47" s="351">
        <f t="shared" ca="1" si="12"/>
        <v>0</v>
      </c>
      <c r="K47" s="351">
        <f t="shared" ca="1" si="13"/>
        <v>0</v>
      </c>
      <c r="L47" s="351">
        <f t="shared" ca="1" si="14"/>
        <v>0</v>
      </c>
      <c r="M47" s="351"/>
      <c r="N47" s="341"/>
    </row>
    <row r="48" spans="1:14">
      <c r="A48" s="312" t="str">
        <f t="shared" ca="1" si="10"/>
        <v/>
      </c>
      <c r="B48" s="347" t="str">
        <f ca="1">IF(ROWS($1:35)&gt;COUNT(Dong11),"",OFFSET(TH!D$1,SMALL(Dong11,ROWS($1:35)),))</f>
        <v/>
      </c>
      <c r="C48" s="348" t="str">
        <f ca="1">IF(ROWS($1:35)&gt;COUNT(Dong11),"",OFFSET(TH!E$1,SMALL(Dong11,ROWS($1:35)),))</f>
        <v/>
      </c>
      <c r="D48" s="349" t="str">
        <f ca="1">IF(ROWS($1:35)&gt;COUNT(Dong11),"",OFFSET(TH!H$1,SMALL(Dong11,ROWS($1:35)),))</f>
        <v/>
      </c>
      <c r="E48" s="347" t="str">
        <f ca="1">IF(ROWS($1:35)&gt;COUNT(Dong11),"",IF(OFFSET(TH!L$1,SMALL(Dong11,ROWS($1:35)),)=$G$7,OFFSET(TH!M$1,SMALL(Dong11,ROWS($1:35)),),OFFSET(TH!L$1,SMALL(Dong11,ROWS($1:35)),)))</f>
        <v/>
      </c>
      <c r="F48" s="350">
        <f ca="1">IF(ROWS($1:35)&gt;COUNT(Dong11),0,OFFSET(TH!J$1,SMALL(Dong11,ROWS($1:35)),))</f>
        <v>0</v>
      </c>
      <c r="G48" s="350">
        <f ca="1">IF(ROWS($1:35)&gt;COUNT(Dong11),0,IF(MID(OFFSET(TH!D$1,SMALL(Dong11,ROWS($1:35)),),4,1)="N",OFFSET(TH!I$1,SMALL(Dong11,ROWS($1:35)),),0))</f>
        <v>0</v>
      </c>
      <c r="H48" s="351">
        <f t="shared" ca="1" si="11"/>
        <v>0</v>
      </c>
      <c r="I48" s="350">
        <f ca="1">IF(ROWS($1:35)&gt;COUNT(Dong11),0,IF(MID(OFFSET(TH!D$1,SMALL(Dong11,ROWS($1:35)),),4,1)="X",OFFSET(TH!I$1,SMALL(Dong11,ROWS($1:35)),),0))</f>
        <v>0</v>
      </c>
      <c r="J48" s="351">
        <f t="shared" ca="1" si="12"/>
        <v>0</v>
      </c>
      <c r="K48" s="351">
        <f t="shared" ca="1" si="13"/>
        <v>0</v>
      </c>
      <c r="L48" s="351">
        <f t="shared" ca="1" si="14"/>
        <v>0</v>
      </c>
      <c r="M48" s="351"/>
      <c r="N48" s="341"/>
    </row>
    <row r="49" spans="1:14">
      <c r="A49" s="312" t="str">
        <f t="shared" ca="1" si="10"/>
        <v/>
      </c>
      <c r="B49" s="347" t="str">
        <f ca="1">IF(ROWS($1:36)&gt;COUNT(Dong11),"",OFFSET(TH!D$1,SMALL(Dong11,ROWS($1:36)),))</f>
        <v/>
      </c>
      <c r="C49" s="348" t="str">
        <f ca="1">IF(ROWS($1:36)&gt;COUNT(Dong11),"",OFFSET(TH!E$1,SMALL(Dong11,ROWS($1:36)),))</f>
        <v/>
      </c>
      <c r="D49" s="349" t="str">
        <f ca="1">IF(ROWS($1:36)&gt;COUNT(Dong11),"",OFFSET(TH!H$1,SMALL(Dong11,ROWS($1:36)),))</f>
        <v/>
      </c>
      <c r="E49" s="347" t="str">
        <f ca="1">IF(ROWS($1:36)&gt;COUNT(Dong11),"",IF(OFFSET(TH!L$1,SMALL(Dong11,ROWS($1:36)),)=$G$7,OFFSET(TH!M$1,SMALL(Dong11,ROWS($1:36)),),OFFSET(TH!L$1,SMALL(Dong11,ROWS($1:36)),)))</f>
        <v/>
      </c>
      <c r="F49" s="350">
        <f ca="1">IF(ROWS($1:36)&gt;COUNT(Dong11),0,OFFSET(TH!J$1,SMALL(Dong11,ROWS($1:36)),))</f>
        <v>0</v>
      </c>
      <c r="G49" s="350">
        <f ca="1">IF(ROWS($1:36)&gt;COUNT(Dong11),0,IF(MID(OFFSET(TH!D$1,SMALL(Dong11,ROWS($1:36)),),4,1)="N",OFFSET(TH!I$1,SMALL(Dong11,ROWS($1:36)),),0))</f>
        <v>0</v>
      </c>
      <c r="H49" s="351">
        <f t="shared" ca="1" si="11"/>
        <v>0</v>
      </c>
      <c r="I49" s="350">
        <f ca="1">IF(ROWS($1:36)&gt;COUNT(Dong11),0,IF(MID(OFFSET(TH!D$1,SMALL(Dong11,ROWS($1:36)),),4,1)="X",OFFSET(TH!I$1,SMALL(Dong11,ROWS($1:36)),),0))</f>
        <v>0</v>
      </c>
      <c r="J49" s="351">
        <f t="shared" ca="1" si="12"/>
        <v>0</v>
      </c>
      <c r="K49" s="351">
        <f t="shared" ca="1" si="13"/>
        <v>0</v>
      </c>
      <c r="L49" s="351">
        <f t="shared" ca="1" si="14"/>
        <v>0</v>
      </c>
      <c r="M49" s="351"/>
      <c r="N49" s="341"/>
    </row>
    <row r="50" spans="1:14">
      <c r="A50" s="312" t="str">
        <f t="shared" ca="1" si="10"/>
        <v/>
      </c>
      <c r="B50" s="347" t="str">
        <f ca="1">IF(ROWS($1:37)&gt;COUNT(Dong11),"",OFFSET(TH!D$1,SMALL(Dong11,ROWS($1:37)),))</f>
        <v/>
      </c>
      <c r="C50" s="348" t="str">
        <f ca="1">IF(ROWS($1:37)&gt;COUNT(Dong11),"",OFFSET(TH!E$1,SMALL(Dong11,ROWS($1:37)),))</f>
        <v/>
      </c>
      <c r="D50" s="349" t="str">
        <f ca="1">IF(ROWS($1:37)&gt;COUNT(Dong11),"",OFFSET(TH!H$1,SMALL(Dong11,ROWS($1:37)),))</f>
        <v/>
      </c>
      <c r="E50" s="347" t="str">
        <f ca="1">IF(ROWS($1:37)&gt;COUNT(Dong11),"",IF(OFFSET(TH!L$1,SMALL(Dong11,ROWS($1:37)),)=$G$7,OFFSET(TH!M$1,SMALL(Dong11,ROWS($1:37)),),OFFSET(TH!L$1,SMALL(Dong11,ROWS($1:37)),)))</f>
        <v/>
      </c>
      <c r="F50" s="350">
        <f ca="1">IF(ROWS($1:37)&gt;COUNT(Dong11),0,OFFSET(TH!J$1,SMALL(Dong11,ROWS($1:37)),))</f>
        <v>0</v>
      </c>
      <c r="G50" s="350">
        <f ca="1">IF(ROWS($1:37)&gt;COUNT(Dong11),0,IF(MID(OFFSET(TH!D$1,SMALL(Dong11,ROWS($1:37)),),4,1)="N",OFFSET(TH!I$1,SMALL(Dong11,ROWS($1:37)),),0))</f>
        <v>0</v>
      </c>
      <c r="H50" s="351">
        <f t="shared" ca="1" si="11"/>
        <v>0</v>
      </c>
      <c r="I50" s="350">
        <f ca="1">IF(ROWS($1:37)&gt;COUNT(Dong11),0,IF(MID(OFFSET(TH!D$1,SMALL(Dong11,ROWS($1:37)),),4,1)="X",OFFSET(TH!I$1,SMALL(Dong11,ROWS($1:37)),),0))</f>
        <v>0</v>
      </c>
      <c r="J50" s="351">
        <f t="shared" ca="1" si="12"/>
        <v>0</v>
      </c>
      <c r="K50" s="351">
        <f t="shared" ca="1" si="13"/>
        <v>0</v>
      </c>
      <c r="L50" s="351">
        <f t="shared" ca="1" si="14"/>
        <v>0</v>
      </c>
      <c r="M50" s="351"/>
      <c r="N50" s="341"/>
    </row>
    <row r="51" spans="1:14">
      <c r="A51" s="312" t="str">
        <f t="shared" ca="1" si="10"/>
        <v/>
      </c>
      <c r="B51" s="347" t="str">
        <f ca="1">IF(ROWS($1:38)&gt;COUNT(Dong11),"",OFFSET(TH!D$1,SMALL(Dong11,ROWS($1:38)),))</f>
        <v/>
      </c>
      <c r="C51" s="348" t="str">
        <f ca="1">IF(ROWS($1:38)&gt;COUNT(Dong11),"",OFFSET(TH!E$1,SMALL(Dong11,ROWS($1:38)),))</f>
        <v/>
      </c>
      <c r="D51" s="349" t="str">
        <f ca="1">IF(ROWS($1:38)&gt;COUNT(Dong11),"",OFFSET(TH!H$1,SMALL(Dong11,ROWS($1:38)),))</f>
        <v/>
      </c>
      <c r="E51" s="347" t="str">
        <f ca="1">IF(ROWS($1:38)&gt;COUNT(Dong11),"",IF(OFFSET(TH!L$1,SMALL(Dong11,ROWS($1:38)),)=$G$7,OFFSET(TH!M$1,SMALL(Dong11,ROWS($1:38)),),OFFSET(TH!L$1,SMALL(Dong11,ROWS($1:38)),)))</f>
        <v/>
      </c>
      <c r="F51" s="350">
        <f ca="1">IF(ROWS($1:38)&gt;COUNT(Dong11),0,OFFSET(TH!J$1,SMALL(Dong11,ROWS($1:38)),))</f>
        <v>0</v>
      </c>
      <c r="G51" s="350">
        <f ca="1">IF(ROWS($1:38)&gt;COUNT(Dong11),0,IF(MID(OFFSET(TH!D$1,SMALL(Dong11,ROWS($1:38)),),4,1)="N",OFFSET(TH!I$1,SMALL(Dong11,ROWS($1:38)),),0))</f>
        <v>0</v>
      </c>
      <c r="H51" s="351">
        <f t="shared" ca="1" si="11"/>
        <v>0</v>
      </c>
      <c r="I51" s="350">
        <f ca="1">IF(ROWS($1:38)&gt;COUNT(Dong11),0,IF(MID(OFFSET(TH!D$1,SMALL(Dong11,ROWS($1:38)),),4,1)="X",OFFSET(TH!I$1,SMALL(Dong11,ROWS($1:38)),),0))</f>
        <v>0</v>
      </c>
      <c r="J51" s="351">
        <f t="shared" ca="1" si="12"/>
        <v>0</v>
      </c>
      <c r="K51" s="351">
        <f t="shared" ca="1" si="13"/>
        <v>0</v>
      </c>
      <c r="L51" s="351">
        <f t="shared" ca="1" si="14"/>
        <v>0</v>
      </c>
      <c r="M51" s="351"/>
      <c r="N51" s="341"/>
    </row>
    <row r="52" spans="1:14">
      <c r="A52" s="312" t="str">
        <f t="shared" ca="1" si="10"/>
        <v/>
      </c>
      <c r="B52" s="347" t="str">
        <f ca="1">IF(ROWS($1:39)&gt;COUNT(Dong11),"",OFFSET(TH!D$1,SMALL(Dong11,ROWS($1:39)),))</f>
        <v/>
      </c>
      <c r="C52" s="348" t="str">
        <f ca="1">IF(ROWS($1:39)&gt;COUNT(Dong11),"",OFFSET(TH!E$1,SMALL(Dong11,ROWS($1:39)),))</f>
        <v/>
      </c>
      <c r="D52" s="349" t="str">
        <f ca="1">IF(ROWS($1:39)&gt;COUNT(Dong11),"",OFFSET(TH!H$1,SMALL(Dong11,ROWS($1:39)),))</f>
        <v/>
      </c>
      <c r="E52" s="347" t="str">
        <f ca="1">IF(ROWS($1:39)&gt;COUNT(Dong11),"",IF(OFFSET(TH!L$1,SMALL(Dong11,ROWS($1:39)),)=$G$7,OFFSET(TH!M$1,SMALL(Dong11,ROWS($1:39)),),OFFSET(TH!L$1,SMALL(Dong11,ROWS($1:39)),)))</f>
        <v/>
      </c>
      <c r="F52" s="350">
        <f ca="1">IF(ROWS($1:39)&gt;COUNT(Dong11),0,OFFSET(TH!J$1,SMALL(Dong11,ROWS($1:39)),))</f>
        <v>0</v>
      </c>
      <c r="G52" s="350">
        <f ca="1">IF(ROWS($1:39)&gt;COUNT(Dong11),0,IF(MID(OFFSET(TH!D$1,SMALL(Dong11,ROWS($1:39)),),4,1)="N",OFFSET(TH!I$1,SMALL(Dong11,ROWS($1:39)),),0))</f>
        <v>0</v>
      </c>
      <c r="H52" s="351">
        <f t="shared" ca="1" si="11"/>
        <v>0</v>
      </c>
      <c r="I52" s="350">
        <f ca="1">IF(ROWS($1:39)&gt;COUNT(Dong11),0,IF(MID(OFFSET(TH!D$1,SMALL(Dong11,ROWS($1:39)),),4,1)="X",OFFSET(TH!I$1,SMALL(Dong11,ROWS($1:39)),),0))</f>
        <v>0</v>
      </c>
      <c r="J52" s="351">
        <f t="shared" ca="1" si="12"/>
        <v>0</v>
      </c>
      <c r="K52" s="351">
        <f t="shared" ca="1" si="13"/>
        <v>0</v>
      </c>
      <c r="L52" s="351">
        <f t="shared" ca="1" si="14"/>
        <v>0</v>
      </c>
      <c r="M52" s="351"/>
      <c r="N52" s="341"/>
    </row>
    <row r="53" spans="1:14">
      <c r="A53" s="312" t="str">
        <f t="shared" ca="1" si="10"/>
        <v/>
      </c>
      <c r="B53" s="347" t="str">
        <f ca="1">IF(ROWS($1:40)&gt;COUNT(Dong11),"",OFFSET(TH!D$1,SMALL(Dong11,ROWS($1:40)),))</f>
        <v/>
      </c>
      <c r="C53" s="348" t="str">
        <f ca="1">IF(ROWS($1:40)&gt;COUNT(Dong11),"",OFFSET(TH!E$1,SMALL(Dong11,ROWS($1:40)),))</f>
        <v/>
      </c>
      <c r="D53" s="349" t="str">
        <f ca="1">IF(ROWS($1:40)&gt;COUNT(Dong11),"",OFFSET(TH!H$1,SMALL(Dong11,ROWS($1:40)),))</f>
        <v/>
      </c>
      <c r="E53" s="347" t="str">
        <f ca="1">IF(ROWS($1:40)&gt;COUNT(Dong11),"",IF(OFFSET(TH!L$1,SMALL(Dong11,ROWS($1:40)),)=$G$7,OFFSET(TH!M$1,SMALL(Dong11,ROWS($1:40)),),OFFSET(TH!L$1,SMALL(Dong11,ROWS($1:40)),)))</f>
        <v/>
      </c>
      <c r="F53" s="350">
        <f ca="1">IF(ROWS($1:40)&gt;COUNT(Dong11),0,OFFSET(TH!J$1,SMALL(Dong11,ROWS($1:40)),))</f>
        <v>0</v>
      </c>
      <c r="G53" s="350">
        <f ca="1">IF(ROWS($1:40)&gt;COUNT(Dong11),0,IF(MID(OFFSET(TH!D$1,SMALL(Dong11,ROWS($1:40)),),4,1)="N",OFFSET(TH!I$1,SMALL(Dong11,ROWS($1:40)),),0))</f>
        <v>0</v>
      </c>
      <c r="H53" s="351">
        <f t="shared" ca="1" si="11"/>
        <v>0</v>
      </c>
      <c r="I53" s="350">
        <f ca="1">IF(ROWS($1:40)&gt;COUNT(Dong11),0,IF(MID(OFFSET(TH!D$1,SMALL(Dong11,ROWS($1:40)),),4,1)="X",OFFSET(TH!I$1,SMALL(Dong11,ROWS($1:40)),),0))</f>
        <v>0</v>
      </c>
      <c r="J53" s="351">
        <f t="shared" ca="1" si="12"/>
        <v>0</v>
      </c>
      <c r="K53" s="351">
        <f t="shared" ca="1" si="13"/>
        <v>0</v>
      </c>
      <c r="L53" s="351">
        <f t="shared" ca="1" si="14"/>
        <v>0</v>
      </c>
      <c r="M53" s="351"/>
      <c r="N53" s="341"/>
    </row>
    <row r="54" spans="1:14">
      <c r="A54" s="312" t="str">
        <f t="shared" ca="1" si="10"/>
        <v/>
      </c>
      <c r="B54" s="347" t="str">
        <f ca="1">IF(ROWS($1:41)&gt;COUNT(Dong11),"",OFFSET(TH!D$1,SMALL(Dong11,ROWS($1:41)),))</f>
        <v/>
      </c>
      <c r="C54" s="348" t="str">
        <f ca="1">IF(ROWS($1:41)&gt;COUNT(Dong11),"",OFFSET(TH!E$1,SMALL(Dong11,ROWS($1:41)),))</f>
        <v/>
      </c>
      <c r="D54" s="349" t="str">
        <f ca="1">IF(ROWS($1:41)&gt;COUNT(Dong11),"",OFFSET(TH!H$1,SMALL(Dong11,ROWS($1:41)),))</f>
        <v/>
      </c>
      <c r="E54" s="347" t="str">
        <f ca="1">IF(ROWS($1:41)&gt;COUNT(Dong11),"",IF(OFFSET(TH!L$1,SMALL(Dong11,ROWS($1:41)),)=$G$7,OFFSET(TH!M$1,SMALL(Dong11,ROWS($1:41)),),OFFSET(TH!L$1,SMALL(Dong11,ROWS($1:41)),)))</f>
        <v/>
      </c>
      <c r="F54" s="350">
        <f ca="1">IF(ROWS($1:41)&gt;COUNT(Dong11),0,OFFSET(TH!J$1,SMALL(Dong11,ROWS($1:41)),))</f>
        <v>0</v>
      </c>
      <c r="G54" s="350">
        <f ca="1">IF(ROWS($1:41)&gt;COUNT(Dong11),0,IF(MID(OFFSET(TH!D$1,SMALL(Dong11,ROWS($1:41)),),4,1)="N",OFFSET(TH!I$1,SMALL(Dong11,ROWS($1:41)),),0))</f>
        <v>0</v>
      </c>
      <c r="H54" s="351">
        <f t="shared" ca="1" si="11"/>
        <v>0</v>
      </c>
      <c r="I54" s="350">
        <f ca="1">IF(ROWS($1:41)&gt;COUNT(Dong11),0,IF(MID(OFFSET(TH!D$1,SMALL(Dong11,ROWS($1:41)),),4,1)="X",OFFSET(TH!I$1,SMALL(Dong11,ROWS($1:41)),),0))</f>
        <v>0</v>
      </c>
      <c r="J54" s="351">
        <f t="shared" ca="1" si="12"/>
        <v>0</v>
      </c>
      <c r="K54" s="351">
        <f t="shared" ca="1" si="13"/>
        <v>0</v>
      </c>
      <c r="L54" s="351">
        <f t="shared" ca="1" si="14"/>
        <v>0</v>
      </c>
      <c r="M54" s="351"/>
      <c r="N54" s="341"/>
    </row>
    <row r="55" spans="1:14">
      <c r="A55" s="312" t="str">
        <f t="shared" ca="1" si="10"/>
        <v/>
      </c>
      <c r="B55" s="347" t="str">
        <f ca="1">IF(ROWS($1:42)&gt;COUNT(Dong11),"",OFFSET(TH!D$1,SMALL(Dong11,ROWS($1:42)),))</f>
        <v/>
      </c>
      <c r="C55" s="348" t="str">
        <f ca="1">IF(ROWS($1:42)&gt;COUNT(Dong11),"",OFFSET(TH!E$1,SMALL(Dong11,ROWS($1:42)),))</f>
        <v/>
      </c>
      <c r="D55" s="349" t="str">
        <f ca="1">IF(ROWS($1:42)&gt;COUNT(Dong11),"",OFFSET(TH!H$1,SMALL(Dong11,ROWS($1:42)),))</f>
        <v/>
      </c>
      <c r="E55" s="347" t="str">
        <f ca="1">IF(ROWS($1:42)&gt;COUNT(Dong11),"",IF(OFFSET(TH!L$1,SMALL(Dong11,ROWS($1:42)),)=$G$7,OFFSET(TH!M$1,SMALL(Dong11,ROWS($1:42)),),OFFSET(TH!L$1,SMALL(Dong11,ROWS($1:42)),)))</f>
        <v/>
      </c>
      <c r="F55" s="350">
        <f ca="1">IF(ROWS($1:42)&gt;COUNT(Dong11),0,OFFSET(TH!J$1,SMALL(Dong11,ROWS($1:42)),))</f>
        <v>0</v>
      </c>
      <c r="G55" s="350">
        <f ca="1">IF(ROWS($1:42)&gt;COUNT(Dong11),0,IF(MID(OFFSET(TH!D$1,SMALL(Dong11,ROWS($1:42)),),4,1)="N",OFFSET(TH!I$1,SMALL(Dong11,ROWS($1:42)),),0))</f>
        <v>0</v>
      </c>
      <c r="H55" s="351">
        <f t="shared" ca="1" si="11"/>
        <v>0</v>
      </c>
      <c r="I55" s="350">
        <f ca="1">IF(ROWS($1:42)&gt;COUNT(Dong11),0,IF(MID(OFFSET(TH!D$1,SMALL(Dong11,ROWS($1:42)),),4,1)="X",OFFSET(TH!I$1,SMALL(Dong11,ROWS($1:42)),),0))</f>
        <v>0</v>
      </c>
      <c r="J55" s="351">
        <f t="shared" ca="1" si="12"/>
        <v>0</v>
      </c>
      <c r="K55" s="351">
        <f t="shared" ca="1" si="13"/>
        <v>0</v>
      </c>
      <c r="L55" s="351">
        <f t="shared" ca="1" si="14"/>
        <v>0</v>
      </c>
      <c r="M55" s="351"/>
      <c r="N55" s="341"/>
    </row>
    <row r="56" spans="1:14">
      <c r="A56" s="312" t="str">
        <f t="shared" ca="1" si="10"/>
        <v/>
      </c>
      <c r="B56" s="347" t="str">
        <f ca="1">IF(ROWS($1:43)&gt;COUNT(Dong11),"",OFFSET(TH!D$1,SMALL(Dong11,ROWS($1:43)),))</f>
        <v/>
      </c>
      <c r="C56" s="348" t="str">
        <f ca="1">IF(ROWS($1:43)&gt;COUNT(Dong11),"",OFFSET(TH!E$1,SMALL(Dong11,ROWS($1:43)),))</f>
        <v/>
      </c>
      <c r="D56" s="349" t="str">
        <f ca="1">IF(ROWS($1:43)&gt;COUNT(Dong11),"",OFFSET(TH!H$1,SMALL(Dong11,ROWS($1:43)),))</f>
        <v/>
      </c>
      <c r="E56" s="347" t="str">
        <f ca="1">IF(ROWS($1:43)&gt;COUNT(Dong11),"",IF(OFFSET(TH!L$1,SMALL(Dong11,ROWS($1:43)),)=$G$7,OFFSET(TH!M$1,SMALL(Dong11,ROWS($1:43)),),OFFSET(TH!L$1,SMALL(Dong11,ROWS($1:43)),)))</f>
        <v/>
      </c>
      <c r="F56" s="350">
        <f ca="1">IF(ROWS($1:43)&gt;COUNT(Dong11),0,OFFSET(TH!J$1,SMALL(Dong11,ROWS($1:43)),))</f>
        <v>0</v>
      </c>
      <c r="G56" s="350">
        <f ca="1">IF(ROWS($1:43)&gt;COUNT(Dong11),0,IF(MID(OFFSET(TH!D$1,SMALL(Dong11,ROWS($1:43)),),4,1)="N",OFFSET(TH!I$1,SMALL(Dong11,ROWS($1:43)),),0))</f>
        <v>0</v>
      </c>
      <c r="H56" s="351">
        <f t="shared" ca="1" si="11"/>
        <v>0</v>
      </c>
      <c r="I56" s="350">
        <f ca="1">IF(ROWS($1:43)&gt;COUNT(Dong11),0,IF(MID(OFFSET(TH!D$1,SMALL(Dong11,ROWS($1:43)),),4,1)="X",OFFSET(TH!I$1,SMALL(Dong11,ROWS($1:43)),),0))</f>
        <v>0</v>
      </c>
      <c r="J56" s="351">
        <f t="shared" ca="1" si="12"/>
        <v>0</v>
      </c>
      <c r="K56" s="351">
        <f t="shared" ca="1" si="13"/>
        <v>0</v>
      </c>
      <c r="L56" s="351">
        <f t="shared" ca="1" si="14"/>
        <v>0</v>
      </c>
      <c r="M56" s="351"/>
      <c r="N56" s="341"/>
    </row>
    <row r="57" spans="1:14">
      <c r="A57" s="312" t="str">
        <f t="shared" ca="1" si="10"/>
        <v/>
      </c>
      <c r="B57" s="347" t="str">
        <f ca="1">IF(ROWS($1:44)&gt;COUNT(Dong11),"",OFFSET(TH!D$1,SMALL(Dong11,ROWS($1:44)),))</f>
        <v/>
      </c>
      <c r="C57" s="348" t="str">
        <f ca="1">IF(ROWS($1:44)&gt;COUNT(Dong11),"",OFFSET(TH!E$1,SMALL(Dong11,ROWS($1:44)),))</f>
        <v/>
      </c>
      <c r="D57" s="349" t="str">
        <f ca="1">IF(ROWS($1:44)&gt;COUNT(Dong11),"",OFFSET(TH!H$1,SMALL(Dong11,ROWS($1:44)),))</f>
        <v/>
      </c>
      <c r="E57" s="347" t="str">
        <f ca="1">IF(ROWS($1:44)&gt;COUNT(Dong11),"",IF(OFFSET(TH!L$1,SMALL(Dong11,ROWS($1:44)),)=$G$7,OFFSET(TH!M$1,SMALL(Dong11,ROWS($1:44)),),OFFSET(TH!L$1,SMALL(Dong11,ROWS($1:44)),)))</f>
        <v/>
      </c>
      <c r="F57" s="350">
        <f ca="1">IF(ROWS($1:44)&gt;COUNT(Dong11),0,OFFSET(TH!J$1,SMALL(Dong11,ROWS($1:44)),))</f>
        <v>0</v>
      </c>
      <c r="G57" s="350">
        <f ca="1">IF(ROWS($1:44)&gt;COUNT(Dong11),0,IF(MID(OFFSET(TH!D$1,SMALL(Dong11,ROWS($1:44)),),4,1)="N",OFFSET(TH!I$1,SMALL(Dong11,ROWS($1:44)),),0))</f>
        <v>0</v>
      </c>
      <c r="H57" s="351">
        <f t="shared" ca="1" si="11"/>
        <v>0</v>
      </c>
      <c r="I57" s="350">
        <f ca="1">IF(ROWS($1:44)&gt;COUNT(Dong11),0,IF(MID(OFFSET(TH!D$1,SMALL(Dong11,ROWS($1:44)),),4,1)="X",OFFSET(TH!I$1,SMALL(Dong11,ROWS($1:44)),),0))</f>
        <v>0</v>
      </c>
      <c r="J57" s="351">
        <f t="shared" ca="1" si="12"/>
        <v>0</v>
      </c>
      <c r="K57" s="351">
        <f t="shared" ca="1" si="13"/>
        <v>0</v>
      </c>
      <c r="L57" s="351">
        <f t="shared" ca="1" si="14"/>
        <v>0</v>
      </c>
      <c r="M57" s="351"/>
      <c r="N57" s="341"/>
    </row>
    <row r="58" spans="1:14">
      <c r="A58" s="312" t="str">
        <f t="shared" ca="1" si="10"/>
        <v/>
      </c>
      <c r="B58" s="347" t="str">
        <f ca="1">IF(ROWS($1:45)&gt;COUNT(Dong11),"",OFFSET(TH!D$1,SMALL(Dong11,ROWS($1:45)),))</f>
        <v/>
      </c>
      <c r="C58" s="348" t="str">
        <f ca="1">IF(ROWS($1:45)&gt;COUNT(Dong11),"",OFFSET(TH!E$1,SMALL(Dong11,ROWS($1:45)),))</f>
        <v/>
      </c>
      <c r="D58" s="349" t="str">
        <f ca="1">IF(ROWS($1:45)&gt;COUNT(Dong11),"",OFFSET(TH!H$1,SMALL(Dong11,ROWS($1:45)),))</f>
        <v/>
      </c>
      <c r="E58" s="347" t="str">
        <f ca="1">IF(ROWS($1:45)&gt;COUNT(Dong11),"",IF(OFFSET(TH!L$1,SMALL(Dong11,ROWS($1:45)),)=$G$7,OFFSET(TH!M$1,SMALL(Dong11,ROWS($1:45)),),OFFSET(TH!L$1,SMALL(Dong11,ROWS($1:45)),)))</f>
        <v/>
      </c>
      <c r="F58" s="350">
        <f ca="1">IF(ROWS($1:45)&gt;COUNT(Dong11),0,OFFSET(TH!J$1,SMALL(Dong11,ROWS($1:45)),))</f>
        <v>0</v>
      </c>
      <c r="G58" s="350">
        <f ca="1">IF(ROWS($1:45)&gt;COUNT(Dong11),0,IF(MID(OFFSET(TH!D$1,SMALL(Dong11,ROWS($1:45)),),4,1)="N",OFFSET(TH!I$1,SMALL(Dong11,ROWS($1:45)),),0))</f>
        <v>0</v>
      </c>
      <c r="H58" s="351">
        <f t="shared" ca="1" si="11"/>
        <v>0</v>
      </c>
      <c r="I58" s="350">
        <f ca="1">IF(ROWS($1:45)&gt;COUNT(Dong11),0,IF(MID(OFFSET(TH!D$1,SMALL(Dong11,ROWS($1:45)),),4,1)="X",OFFSET(TH!I$1,SMALL(Dong11,ROWS($1:45)),),0))</f>
        <v>0</v>
      </c>
      <c r="J58" s="351">
        <f t="shared" ca="1" si="12"/>
        <v>0</v>
      </c>
      <c r="K58" s="351">
        <f t="shared" ca="1" si="13"/>
        <v>0</v>
      </c>
      <c r="L58" s="351">
        <f t="shared" ca="1" si="14"/>
        <v>0</v>
      </c>
      <c r="M58" s="351"/>
      <c r="N58" s="341"/>
    </row>
    <row r="59" spans="1:14">
      <c r="A59" s="312" t="str">
        <f t="shared" ca="1" si="10"/>
        <v/>
      </c>
      <c r="B59" s="347" t="str">
        <f ca="1">IF(ROWS($1:46)&gt;COUNT(Dong11),"",OFFSET(TH!D$1,SMALL(Dong11,ROWS($1:46)),))</f>
        <v/>
      </c>
      <c r="C59" s="348" t="str">
        <f ca="1">IF(ROWS($1:46)&gt;COUNT(Dong11),"",OFFSET(TH!E$1,SMALL(Dong11,ROWS($1:46)),))</f>
        <v/>
      </c>
      <c r="D59" s="349" t="str">
        <f ca="1">IF(ROWS($1:46)&gt;COUNT(Dong11),"",OFFSET(TH!H$1,SMALL(Dong11,ROWS($1:46)),))</f>
        <v/>
      </c>
      <c r="E59" s="347" t="str">
        <f ca="1">IF(ROWS($1:46)&gt;COUNT(Dong11),"",IF(OFFSET(TH!L$1,SMALL(Dong11,ROWS($1:46)),)=$G$7,OFFSET(TH!M$1,SMALL(Dong11,ROWS($1:46)),),OFFSET(TH!L$1,SMALL(Dong11,ROWS($1:46)),)))</f>
        <v/>
      </c>
      <c r="F59" s="350">
        <f ca="1">IF(ROWS($1:46)&gt;COUNT(Dong11),0,OFFSET(TH!J$1,SMALL(Dong11,ROWS($1:46)),))</f>
        <v>0</v>
      </c>
      <c r="G59" s="350">
        <f ca="1">IF(ROWS($1:46)&gt;COUNT(Dong11),0,IF(MID(OFFSET(TH!D$1,SMALL(Dong11,ROWS($1:46)),),4,1)="N",OFFSET(TH!I$1,SMALL(Dong11,ROWS($1:46)),),0))</f>
        <v>0</v>
      </c>
      <c r="H59" s="351">
        <f t="shared" ca="1" si="11"/>
        <v>0</v>
      </c>
      <c r="I59" s="350">
        <f ca="1">IF(ROWS($1:46)&gt;COUNT(Dong11),0,IF(MID(OFFSET(TH!D$1,SMALL(Dong11,ROWS($1:46)),),4,1)="X",OFFSET(TH!I$1,SMALL(Dong11,ROWS($1:46)),),0))</f>
        <v>0</v>
      </c>
      <c r="J59" s="351">
        <f t="shared" ca="1" si="12"/>
        <v>0</v>
      </c>
      <c r="K59" s="351">
        <f t="shared" ca="1" si="13"/>
        <v>0</v>
      </c>
      <c r="L59" s="351">
        <f t="shared" ca="1" si="14"/>
        <v>0</v>
      </c>
      <c r="M59" s="351"/>
      <c r="N59" s="341"/>
    </row>
    <row r="60" spans="1:14">
      <c r="A60" s="312" t="str">
        <f t="shared" ca="1" si="10"/>
        <v/>
      </c>
      <c r="B60" s="347" t="str">
        <f ca="1">IF(ROWS($1:47)&gt;COUNT(Dong11),"",OFFSET(TH!D$1,SMALL(Dong11,ROWS($1:47)),))</f>
        <v/>
      </c>
      <c r="C60" s="348" t="str">
        <f ca="1">IF(ROWS($1:47)&gt;COUNT(Dong11),"",OFFSET(TH!E$1,SMALL(Dong11,ROWS($1:47)),))</f>
        <v/>
      </c>
      <c r="D60" s="349" t="str">
        <f ca="1">IF(ROWS($1:47)&gt;COUNT(Dong11),"",OFFSET(TH!H$1,SMALL(Dong11,ROWS($1:47)),))</f>
        <v/>
      </c>
      <c r="E60" s="347" t="str">
        <f ca="1">IF(ROWS($1:47)&gt;COUNT(Dong11),"",IF(OFFSET(TH!L$1,SMALL(Dong11,ROWS($1:47)),)=$G$7,OFFSET(TH!M$1,SMALL(Dong11,ROWS($1:47)),),OFFSET(TH!L$1,SMALL(Dong11,ROWS($1:47)),)))</f>
        <v/>
      </c>
      <c r="F60" s="350">
        <f ca="1">IF(ROWS($1:47)&gt;COUNT(Dong11),0,OFFSET(TH!J$1,SMALL(Dong11,ROWS($1:47)),))</f>
        <v>0</v>
      </c>
      <c r="G60" s="350">
        <f ca="1">IF(ROWS($1:47)&gt;COUNT(Dong11),0,IF(MID(OFFSET(TH!D$1,SMALL(Dong11,ROWS($1:47)),),4,1)="N",OFFSET(TH!I$1,SMALL(Dong11,ROWS($1:47)),),0))</f>
        <v>0</v>
      </c>
      <c r="H60" s="351">
        <f t="shared" ca="1" si="11"/>
        <v>0</v>
      </c>
      <c r="I60" s="350">
        <f ca="1">IF(ROWS($1:47)&gt;COUNT(Dong11),0,IF(MID(OFFSET(TH!D$1,SMALL(Dong11,ROWS($1:47)),),4,1)="X",OFFSET(TH!I$1,SMALL(Dong11,ROWS($1:47)),),0))</f>
        <v>0</v>
      </c>
      <c r="J60" s="351">
        <f t="shared" ca="1" si="12"/>
        <v>0</v>
      </c>
      <c r="K60" s="351">
        <f t="shared" ca="1" si="13"/>
        <v>0</v>
      </c>
      <c r="L60" s="351">
        <f t="shared" ca="1" si="14"/>
        <v>0</v>
      </c>
      <c r="M60" s="351"/>
      <c r="N60" s="341"/>
    </row>
    <row r="61" spans="1:14">
      <c r="A61" s="312" t="str">
        <f t="shared" ca="1" si="10"/>
        <v/>
      </c>
      <c r="B61" s="347" t="str">
        <f ca="1">IF(ROWS($1:48)&gt;COUNT(Dong11),"",OFFSET(TH!D$1,SMALL(Dong11,ROWS($1:48)),))</f>
        <v/>
      </c>
      <c r="C61" s="348" t="str">
        <f ca="1">IF(ROWS($1:48)&gt;COUNT(Dong11),"",OFFSET(TH!E$1,SMALL(Dong11,ROWS($1:48)),))</f>
        <v/>
      </c>
      <c r="D61" s="349" t="str">
        <f ca="1">IF(ROWS($1:48)&gt;COUNT(Dong11),"",OFFSET(TH!H$1,SMALL(Dong11,ROWS($1:48)),))</f>
        <v/>
      </c>
      <c r="E61" s="347" t="str">
        <f ca="1">IF(ROWS($1:48)&gt;COUNT(Dong11),"",IF(OFFSET(TH!L$1,SMALL(Dong11,ROWS($1:48)),)=$G$7,OFFSET(TH!M$1,SMALL(Dong11,ROWS($1:48)),),OFFSET(TH!L$1,SMALL(Dong11,ROWS($1:48)),)))</f>
        <v/>
      </c>
      <c r="F61" s="350">
        <f ca="1">IF(ROWS($1:48)&gt;COUNT(Dong11),0,OFFSET(TH!J$1,SMALL(Dong11,ROWS($1:48)),))</f>
        <v>0</v>
      </c>
      <c r="G61" s="350">
        <f ca="1">IF(ROWS($1:48)&gt;COUNT(Dong11),0,IF(MID(OFFSET(TH!D$1,SMALL(Dong11,ROWS($1:48)),),4,1)="N",OFFSET(TH!I$1,SMALL(Dong11,ROWS($1:48)),),0))</f>
        <v>0</v>
      </c>
      <c r="H61" s="351">
        <f t="shared" ca="1" si="11"/>
        <v>0</v>
      </c>
      <c r="I61" s="350">
        <f ca="1">IF(ROWS($1:48)&gt;COUNT(Dong11),0,IF(MID(OFFSET(TH!D$1,SMALL(Dong11,ROWS($1:48)),),4,1)="X",OFFSET(TH!I$1,SMALL(Dong11,ROWS($1:48)),),0))</f>
        <v>0</v>
      </c>
      <c r="J61" s="351">
        <f t="shared" ca="1" si="12"/>
        <v>0</v>
      </c>
      <c r="K61" s="351">
        <f t="shared" ca="1" si="13"/>
        <v>0</v>
      </c>
      <c r="L61" s="351">
        <f t="shared" ca="1" si="14"/>
        <v>0</v>
      </c>
      <c r="M61" s="351"/>
      <c r="N61" s="341"/>
    </row>
    <row r="62" spans="1:14">
      <c r="A62" s="312" t="str">
        <f t="shared" ca="1" si="10"/>
        <v/>
      </c>
      <c r="B62" s="347" t="str">
        <f ca="1">IF(ROWS($1:49)&gt;COUNT(Dong11),"",OFFSET(TH!D$1,SMALL(Dong11,ROWS($1:49)),))</f>
        <v/>
      </c>
      <c r="C62" s="348" t="str">
        <f ca="1">IF(ROWS($1:49)&gt;COUNT(Dong11),"",OFFSET(TH!E$1,SMALL(Dong11,ROWS($1:49)),))</f>
        <v/>
      </c>
      <c r="D62" s="349" t="str">
        <f ca="1">IF(ROWS($1:49)&gt;COUNT(Dong11),"",OFFSET(TH!H$1,SMALL(Dong11,ROWS($1:49)),))</f>
        <v/>
      </c>
      <c r="E62" s="347" t="str">
        <f ca="1">IF(ROWS($1:49)&gt;COUNT(Dong11),"",IF(OFFSET(TH!L$1,SMALL(Dong11,ROWS($1:49)),)=$G$7,OFFSET(TH!M$1,SMALL(Dong11,ROWS($1:49)),),OFFSET(TH!L$1,SMALL(Dong11,ROWS($1:49)),)))</f>
        <v/>
      </c>
      <c r="F62" s="350">
        <f ca="1">IF(ROWS($1:49)&gt;COUNT(Dong11),0,OFFSET(TH!J$1,SMALL(Dong11,ROWS($1:49)),))</f>
        <v>0</v>
      </c>
      <c r="G62" s="350">
        <f ca="1">IF(ROWS($1:49)&gt;COUNT(Dong11),0,IF(MID(OFFSET(TH!D$1,SMALL(Dong11,ROWS($1:49)),),4,1)="N",OFFSET(TH!I$1,SMALL(Dong11,ROWS($1:49)),),0))</f>
        <v>0</v>
      </c>
      <c r="H62" s="351">
        <f t="shared" ca="1" si="11"/>
        <v>0</v>
      </c>
      <c r="I62" s="350">
        <f ca="1">IF(ROWS($1:49)&gt;COUNT(Dong11),0,IF(MID(OFFSET(TH!D$1,SMALL(Dong11,ROWS($1:49)),),4,1)="X",OFFSET(TH!I$1,SMALL(Dong11,ROWS($1:49)),),0))</f>
        <v>0</v>
      </c>
      <c r="J62" s="351">
        <f t="shared" ca="1" si="12"/>
        <v>0</v>
      </c>
      <c r="K62" s="351">
        <f t="shared" ca="1" si="13"/>
        <v>0</v>
      </c>
      <c r="L62" s="351">
        <f t="shared" ca="1" si="14"/>
        <v>0</v>
      </c>
      <c r="M62" s="351"/>
      <c r="N62" s="341"/>
    </row>
    <row r="63" spans="1:14">
      <c r="A63" s="312" t="str">
        <f t="shared" ref="A63:A72" ca="1" si="15">IF(B63="","",A62+1)</f>
        <v/>
      </c>
      <c r="B63" s="347" t="str">
        <f ca="1">IF(ROWS($1:50)&gt;COUNT(Dong11),"",OFFSET(TH!D$1,SMALL(Dong11,ROWS($1:50)),))</f>
        <v/>
      </c>
      <c r="C63" s="348" t="str">
        <f ca="1">IF(ROWS($1:50)&gt;COUNT(Dong11),"",OFFSET(TH!E$1,SMALL(Dong11,ROWS($1:50)),))</f>
        <v/>
      </c>
      <c r="D63" s="349" t="str">
        <f ca="1">IF(ROWS($1:50)&gt;COUNT(Dong11),"",OFFSET(TH!H$1,SMALL(Dong11,ROWS($1:50)),))</f>
        <v/>
      </c>
      <c r="E63" s="347" t="str">
        <f ca="1">IF(ROWS($1:50)&gt;COUNT(Dong11),"",IF(OFFSET(TH!L$1,SMALL(Dong11,ROWS($1:50)),)=$G$7,OFFSET(TH!M$1,SMALL(Dong11,ROWS($1:50)),),OFFSET(TH!L$1,SMALL(Dong11,ROWS($1:50)),)))</f>
        <v/>
      </c>
      <c r="F63" s="350">
        <f ca="1">IF(ROWS($1:50)&gt;COUNT(Dong11),0,OFFSET(TH!J$1,SMALL(Dong11,ROWS($1:50)),))</f>
        <v>0</v>
      </c>
      <c r="G63" s="350">
        <f ca="1">IF(ROWS($1:50)&gt;COUNT(Dong11),0,IF(MID(OFFSET(TH!D$1,SMALL(Dong11,ROWS($1:50)),),4,1)="N",OFFSET(TH!I$1,SMALL(Dong11,ROWS($1:50)),),0))</f>
        <v>0</v>
      </c>
      <c r="H63" s="351">
        <f t="shared" ref="H63:H72" ca="1" si="16">ROUND(F63*G63,0)</f>
        <v>0</v>
      </c>
      <c r="I63" s="350">
        <f ca="1">IF(ROWS($1:50)&gt;COUNT(Dong11),0,IF(MID(OFFSET(TH!D$1,SMALL(Dong11,ROWS($1:50)),),4,1)="X",OFFSET(TH!I$1,SMALL(Dong11,ROWS($1:50)),),0))</f>
        <v>0</v>
      </c>
      <c r="J63" s="351">
        <f t="shared" ref="J63:J72" ca="1" si="17">ROUND(F63*I63,0)</f>
        <v>0</v>
      </c>
      <c r="K63" s="351">
        <f t="shared" ref="K63:K72" ca="1" si="18">IF(D63&lt;&gt;"",K62+G63-I63,0)</f>
        <v>0</v>
      </c>
      <c r="L63" s="351">
        <f t="shared" ref="L63:L72" ca="1" si="19">IF(D63&lt;&gt;"",L62+H63-J63,0)</f>
        <v>0</v>
      </c>
      <c r="M63" s="351"/>
      <c r="N63" s="341"/>
    </row>
    <row r="64" spans="1:14">
      <c r="A64" s="312" t="str">
        <f t="shared" ca="1" si="15"/>
        <v/>
      </c>
      <c r="B64" s="347" t="str">
        <f ca="1">IF(ROWS($1:51)&gt;COUNT(Dong11),"",OFFSET(TH!D$1,SMALL(Dong11,ROWS($1:51)),))</f>
        <v/>
      </c>
      <c r="C64" s="348" t="str">
        <f ca="1">IF(ROWS($1:51)&gt;COUNT(Dong11),"",OFFSET(TH!E$1,SMALL(Dong11,ROWS($1:51)),))</f>
        <v/>
      </c>
      <c r="D64" s="349" t="str">
        <f ca="1">IF(ROWS($1:51)&gt;COUNT(Dong11),"",OFFSET(TH!H$1,SMALL(Dong11,ROWS($1:51)),))</f>
        <v/>
      </c>
      <c r="E64" s="347" t="str">
        <f ca="1">IF(ROWS($1:51)&gt;COUNT(Dong11),"",IF(OFFSET(TH!L$1,SMALL(Dong11,ROWS($1:51)),)=$G$7,OFFSET(TH!M$1,SMALL(Dong11,ROWS($1:51)),),OFFSET(TH!L$1,SMALL(Dong11,ROWS($1:51)),)))</f>
        <v/>
      </c>
      <c r="F64" s="350">
        <f ca="1">IF(ROWS($1:51)&gt;COUNT(Dong11),0,OFFSET(TH!J$1,SMALL(Dong11,ROWS($1:51)),))</f>
        <v>0</v>
      </c>
      <c r="G64" s="350">
        <f ca="1">IF(ROWS($1:51)&gt;COUNT(Dong11),0,IF(MID(OFFSET(TH!D$1,SMALL(Dong11,ROWS($1:51)),),4,1)="N",OFFSET(TH!I$1,SMALL(Dong11,ROWS($1:51)),),0))</f>
        <v>0</v>
      </c>
      <c r="H64" s="351">
        <f t="shared" ca="1" si="16"/>
        <v>0</v>
      </c>
      <c r="I64" s="350">
        <f ca="1">IF(ROWS($1:51)&gt;COUNT(Dong11),0,IF(MID(OFFSET(TH!D$1,SMALL(Dong11,ROWS($1:51)),),4,1)="X",OFFSET(TH!I$1,SMALL(Dong11,ROWS($1:51)),),0))</f>
        <v>0</v>
      </c>
      <c r="J64" s="351">
        <f t="shared" ca="1" si="17"/>
        <v>0</v>
      </c>
      <c r="K64" s="351">
        <f t="shared" ca="1" si="18"/>
        <v>0</v>
      </c>
      <c r="L64" s="351">
        <f t="shared" ca="1" si="19"/>
        <v>0</v>
      </c>
      <c r="M64" s="351"/>
      <c r="N64" s="341"/>
    </row>
    <row r="65" spans="1:14">
      <c r="A65" s="312" t="str">
        <f t="shared" ca="1" si="15"/>
        <v/>
      </c>
      <c r="B65" s="347" t="str">
        <f ca="1">IF(ROWS($1:52)&gt;COUNT(Dong11),"",OFFSET(TH!D$1,SMALL(Dong11,ROWS($1:52)),))</f>
        <v/>
      </c>
      <c r="C65" s="348" t="str">
        <f ca="1">IF(ROWS($1:52)&gt;COUNT(Dong11),"",OFFSET(TH!E$1,SMALL(Dong11,ROWS($1:52)),))</f>
        <v/>
      </c>
      <c r="D65" s="349" t="str">
        <f ca="1">IF(ROWS($1:52)&gt;COUNT(Dong11),"",OFFSET(TH!H$1,SMALL(Dong11,ROWS($1:52)),))</f>
        <v/>
      </c>
      <c r="E65" s="347" t="str">
        <f ca="1">IF(ROWS($1:52)&gt;COUNT(Dong11),"",IF(OFFSET(TH!L$1,SMALL(Dong11,ROWS($1:52)),)=$G$7,OFFSET(TH!M$1,SMALL(Dong11,ROWS($1:52)),),OFFSET(TH!L$1,SMALL(Dong11,ROWS($1:52)),)))</f>
        <v/>
      </c>
      <c r="F65" s="350">
        <f ca="1">IF(ROWS($1:52)&gt;COUNT(Dong11),0,OFFSET(TH!J$1,SMALL(Dong11,ROWS($1:52)),))</f>
        <v>0</v>
      </c>
      <c r="G65" s="350">
        <f ca="1">IF(ROWS($1:52)&gt;COUNT(Dong11),0,IF(MID(OFFSET(TH!D$1,SMALL(Dong11,ROWS($1:52)),),4,1)="N",OFFSET(TH!I$1,SMALL(Dong11,ROWS($1:52)),),0))</f>
        <v>0</v>
      </c>
      <c r="H65" s="351">
        <f t="shared" ca="1" si="16"/>
        <v>0</v>
      </c>
      <c r="I65" s="350">
        <f ca="1">IF(ROWS($1:52)&gt;COUNT(Dong11),0,IF(MID(OFFSET(TH!D$1,SMALL(Dong11,ROWS($1:52)),),4,1)="X",OFFSET(TH!I$1,SMALL(Dong11,ROWS($1:52)),),0))</f>
        <v>0</v>
      </c>
      <c r="J65" s="351">
        <f t="shared" ca="1" si="17"/>
        <v>0</v>
      </c>
      <c r="K65" s="351">
        <f t="shared" ca="1" si="18"/>
        <v>0</v>
      </c>
      <c r="L65" s="351">
        <f t="shared" ca="1" si="19"/>
        <v>0</v>
      </c>
      <c r="M65" s="351"/>
      <c r="N65" s="341"/>
    </row>
    <row r="66" spans="1:14">
      <c r="A66" s="312" t="str">
        <f t="shared" ca="1" si="15"/>
        <v/>
      </c>
      <c r="B66" s="347" t="str">
        <f ca="1">IF(ROWS($1:53)&gt;COUNT(Dong11),"",OFFSET(TH!D$1,SMALL(Dong11,ROWS($1:53)),))</f>
        <v/>
      </c>
      <c r="C66" s="348" t="str">
        <f ca="1">IF(ROWS($1:53)&gt;COUNT(Dong11),"",OFFSET(TH!E$1,SMALL(Dong11,ROWS($1:53)),))</f>
        <v/>
      </c>
      <c r="D66" s="349" t="str">
        <f ca="1">IF(ROWS($1:53)&gt;COUNT(Dong11),"",OFFSET(TH!H$1,SMALL(Dong11,ROWS($1:53)),))</f>
        <v/>
      </c>
      <c r="E66" s="347" t="str">
        <f ca="1">IF(ROWS($1:53)&gt;COUNT(Dong11),"",IF(OFFSET(TH!L$1,SMALL(Dong11,ROWS($1:53)),)=$G$7,OFFSET(TH!M$1,SMALL(Dong11,ROWS($1:53)),),OFFSET(TH!L$1,SMALL(Dong11,ROWS($1:53)),)))</f>
        <v/>
      </c>
      <c r="F66" s="350">
        <f ca="1">IF(ROWS($1:53)&gt;COUNT(Dong11),0,OFFSET(TH!J$1,SMALL(Dong11,ROWS($1:53)),))</f>
        <v>0</v>
      </c>
      <c r="G66" s="350">
        <f ca="1">IF(ROWS($1:53)&gt;COUNT(Dong11),0,IF(MID(OFFSET(TH!D$1,SMALL(Dong11,ROWS($1:53)),),4,1)="N",OFFSET(TH!I$1,SMALL(Dong11,ROWS($1:53)),),0))</f>
        <v>0</v>
      </c>
      <c r="H66" s="351">
        <f t="shared" ca="1" si="16"/>
        <v>0</v>
      </c>
      <c r="I66" s="350">
        <f ca="1">IF(ROWS($1:53)&gt;COUNT(Dong11),0,IF(MID(OFFSET(TH!D$1,SMALL(Dong11,ROWS($1:53)),),4,1)="X",OFFSET(TH!I$1,SMALL(Dong11,ROWS($1:53)),),0))</f>
        <v>0</v>
      </c>
      <c r="J66" s="351">
        <f t="shared" ca="1" si="17"/>
        <v>0</v>
      </c>
      <c r="K66" s="351">
        <f t="shared" ca="1" si="18"/>
        <v>0</v>
      </c>
      <c r="L66" s="351">
        <f t="shared" ca="1" si="19"/>
        <v>0</v>
      </c>
      <c r="M66" s="351"/>
      <c r="N66" s="341"/>
    </row>
    <row r="67" spans="1:14">
      <c r="A67" s="312" t="str">
        <f t="shared" ca="1" si="15"/>
        <v/>
      </c>
      <c r="B67" s="347" t="str">
        <f ca="1">IF(ROWS($1:54)&gt;COUNT(Dong11),"",OFFSET(TH!D$1,SMALL(Dong11,ROWS($1:54)),))</f>
        <v/>
      </c>
      <c r="C67" s="348" t="str">
        <f ca="1">IF(ROWS($1:54)&gt;COUNT(Dong11),"",OFFSET(TH!E$1,SMALL(Dong11,ROWS($1:54)),))</f>
        <v/>
      </c>
      <c r="D67" s="349" t="str">
        <f ca="1">IF(ROWS($1:54)&gt;COUNT(Dong11),"",OFFSET(TH!H$1,SMALL(Dong11,ROWS($1:54)),))</f>
        <v/>
      </c>
      <c r="E67" s="347" t="str">
        <f ca="1">IF(ROWS($1:54)&gt;COUNT(Dong11),"",IF(OFFSET(TH!L$1,SMALL(Dong11,ROWS($1:54)),)=$G$7,OFFSET(TH!M$1,SMALL(Dong11,ROWS($1:54)),),OFFSET(TH!L$1,SMALL(Dong11,ROWS($1:54)),)))</f>
        <v/>
      </c>
      <c r="F67" s="350">
        <f ca="1">IF(ROWS($1:54)&gt;COUNT(Dong11),0,OFFSET(TH!J$1,SMALL(Dong11,ROWS($1:54)),))</f>
        <v>0</v>
      </c>
      <c r="G67" s="350">
        <f ca="1">IF(ROWS($1:54)&gt;COUNT(Dong11),0,IF(MID(OFFSET(TH!D$1,SMALL(Dong11,ROWS($1:54)),),4,1)="N",OFFSET(TH!I$1,SMALL(Dong11,ROWS($1:54)),),0))</f>
        <v>0</v>
      </c>
      <c r="H67" s="351">
        <f t="shared" ca="1" si="16"/>
        <v>0</v>
      </c>
      <c r="I67" s="350">
        <f ca="1">IF(ROWS($1:54)&gt;COUNT(Dong11),0,IF(MID(OFFSET(TH!D$1,SMALL(Dong11,ROWS($1:54)),),4,1)="X",OFFSET(TH!I$1,SMALL(Dong11,ROWS($1:54)),),0))</f>
        <v>0</v>
      </c>
      <c r="J67" s="351">
        <f t="shared" ca="1" si="17"/>
        <v>0</v>
      </c>
      <c r="K67" s="351">
        <f t="shared" ca="1" si="18"/>
        <v>0</v>
      </c>
      <c r="L67" s="351">
        <f t="shared" ca="1" si="19"/>
        <v>0</v>
      </c>
      <c r="M67" s="351"/>
      <c r="N67" s="341"/>
    </row>
    <row r="68" spans="1:14">
      <c r="A68" s="312" t="str">
        <f t="shared" ca="1" si="15"/>
        <v/>
      </c>
      <c r="B68" s="347" t="str">
        <f ca="1">IF(ROWS($1:55)&gt;COUNT(Dong11),"",OFFSET(TH!D$1,SMALL(Dong11,ROWS($1:55)),))</f>
        <v/>
      </c>
      <c r="C68" s="348" t="str">
        <f ca="1">IF(ROWS($1:55)&gt;COUNT(Dong11),"",OFFSET(TH!E$1,SMALL(Dong11,ROWS($1:55)),))</f>
        <v/>
      </c>
      <c r="D68" s="349" t="str">
        <f ca="1">IF(ROWS($1:55)&gt;COUNT(Dong11),"",OFFSET(TH!H$1,SMALL(Dong11,ROWS($1:55)),))</f>
        <v/>
      </c>
      <c r="E68" s="347" t="str">
        <f ca="1">IF(ROWS($1:55)&gt;COUNT(Dong11),"",IF(OFFSET(TH!L$1,SMALL(Dong11,ROWS($1:55)),)=$G$7,OFFSET(TH!M$1,SMALL(Dong11,ROWS($1:55)),),OFFSET(TH!L$1,SMALL(Dong11,ROWS($1:55)),)))</f>
        <v/>
      </c>
      <c r="F68" s="350">
        <f ca="1">IF(ROWS($1:55)&gt;COUNT(Dong11),0,OFFSET(TH!J$1,SMALL(Dong11,ROWS($1:55)),))</f>
        <v>0</v>
      </c>
      <c r="G68" s="350">
        <f ca="1">IF(ROWS($1:55)&gt;COUNT(Dong11),0,IF(MID(OFFSET(TH!D$1,SMALL(Dong11,ROWS($1:55)),),4,1)="N",OFFSET(TH!I$1,SMALL(Dong11,ROWS($1:55)),),0))</f>
        <v>0</v>
      </c>
      <c r="H68" s="351">
        <f t="shared" ca="1" si="16"/>
        <v>0</v>
      </c>
      <c r="I68" s="350">
        <f ca="1">IF(ROWS($1:55)&gt;COUNT(Dong11),0,IF(MID(OFFSET(TH!D$1,SMALL(Dong11,ROWS($1:55)),),4,1)="X",OFFSET(TH!I$1,SMALL(Dong11,ROWS($1:55)),),0))</f>
        <v>0</v>
      </c>
      <c r="J68" s="351">
        <f t="shared" ca="1" si="17"/>
        <v>0</v>
      </c>
      <c r="K68" s="351">
        <f t="shared" ca="1" si="18"/>
        <v>0</v>
      </c>
      <c r="L68" s="351">
        <f t="shared" ca="1" si="19"/>
        <v>0</v>
      </c>
      <c r="M68" s="351"/>
      <c r="N68" s="341"/>
    </row>
    <row r="69" spans="1:14">
      <c r="A69" s="312" t="str">
        <f t="shared" ca="1" si="15"/>
        <v/>
      </c>
      <c r="B69" s="347" t="str">
        <f ca="1">IF(ROWS($1:56)&gt;COUNT(Dong11),"",OFFSET(TH!D$1,SMALL(Dong11,ROWS($1:56)),))</f>
        <v/>
      </c>
      <c r="C69" s="348" t="str">
        <f ca="1">IF(ROWS($1:56)&gt;COUNT(Dong11),"",OFFSET(TH!E$1,SMALL(Dong11,ROWS($1:56)),))</f>
        <v/>
      </c>
      <c r="D69" s="349" t="str">
        <f ca="1">IF(ROWS($1:56)&gt;COUNT(Dong11),"",OFFSET(TH!H$1,SMALL(Dong11,ROWS($1:56)),))</f>
        <v/>
      </c>
      <c r="E69" s="347" t="str">
        <f ca="1">IF(ROWS($1:56)&gt;COUNT(Dong11),"",IF(OFFSET(TH!L$1,SMALL(Dong11,ROWS($1:56)),)=$G$7,OFFSET(TH!M$1,SMALL(Dong11,ROWS($1:56)),),OFFSET(TH!L$1,SMALL(Dong11,ROWS($1:56)),)))</f>
        <v/>
      </c>
      <c r="F69" s="350">
        <f ca="1">IF(ROWS($1:56)&gt;COUNT(Dong11),0,OFFSET(TH!J$1,SMALL(Dong11,ROWS($1:56)),))</f>
        <v>0</v>
      </c>
      <c r="G69" s="350">
        <f ca="1">IF(ROWS($1:56)&gt;COUNT(Dong11),0,IF(MID(OFFSET(TH!D$1,SMALL(Dong11,ROWS($1:56)),),4,1)="N",OFFSET(TH!I$1,SMALL(Dong11,ROWS($1:56)),),0))</f>
        <v>0</v>
      </c>
      <c r="H69" s="351">
        <f t="shared" ca="1" si="16"/>
        <v>0</v>
      </c>
      <c r="I69" s="350">
        <f ca="1">IF(ROWS($1:56)&gt;COUNT(Dong11),0,IF(MID(OFFSET(TH!D$1,SMALL(Dong11,ROWS($1:56)),),4,1)="X",OFFSET(TH!I$1,SMALL(Dong11,ROWS($1:56)),),0))</f>
        <v>0</v>
      </c>
      <c r="J69" s="351">
        <f t="shared" ca="1" si="17"/>
        <v>0</v>
      </c>
      <c r="K69" s="351">
        <f t="shared" ca="1" si="18"/>
        <v>0</v>
      </c>
      <c r="L69" s="351">
        <f t="shared" ca="1" si="19"/>
        <v>0</v>
      </c>
      <c r="M69" s="351"/>
      <c r="N69" s="341"/>
    </row>
    <row r="70" spans="1:14">
      <c r="A70" s="312" t="str">
        <f t="shared" ca="1" si="15"/>
        <v/>
      </c>
      <c r="B70" s="347" t="str">
        <f ca="1">IF(ROWS($1:57)&gt;COUNT(Dong11),"",OFFSET(TH!D$1,SMALL(Dong11,ROWS($1:57)),))</f>
        <v/>
      </c>
      <c r="C70" s="348" t="str">
        <f ca="1">IF(ROWS($1:57)&gt;COUNT(Dong11),"",OFFSET(TH!E$1,SMALL(Dong11,ROWS($1:57)),))</f>
        <v/>
      </c>
      <c r="D70" s="349" t="str">
        <f ca="1">IF(ROWS($1:57)&gt;COUNT(Dong11),"",OFFSET(TH!H$1,SMALL(Dong11,ROWS($1:57)),))</f>
        <v/>
      </c>
      <c r="E70" s="347" t="str">
        <f ca="1">IF(ROWS($1:57)&gt;COUNT(Dong11),"",IF(OFFSET(TH!L$1,SMALL(Dong11,ROWS($1:57)),)=$G$7,OFFSET(TH!M$1,SMALL(Dong11,ROWS($1:57)),),OFFSET(TH!L$1,SMALL(Dong11,ROWS($1:57)),)))</f>
        <v/>
      </c>
      <c r="F70" s="350">
        <f ca="1">IF(ROWS($1:57)&gt;COUNT(Dong11),0,OFFSET(TH!J$1,SMALL(Dong11,ROWS($1:57)),))</f>
        <v>0</v>
      </c>
      <c r="G70" s="350">
        <f ca="1">IF(ROWS($1:57)&gt;COUNT(Dong11),0,IF(MID(OFFSET(TH!D$1,SMALL(Dong11,ROWS($1:57)),),4,1)="N",OFFSET(TH!I$1,SMALL(Dong11,ROWS($1:57)),),0))</f>
        <v>0</v>
      </c>
      <c r="H70" s="351">
        <f t="shared" ca="1" si="16"/>
        <v>0</v>
      </c>
      <c r="I70" s="350">
        <f ca="1">IF(ROWS($1:57)&gt;COUNT(Dong11),0,IF(MID(OFFSET(TH!D$1,SMALL(Dong11,ROWS($1:57)),),4,1)="X",OFFSET(TH!I$1,SMALL(Dong11,ROWS($1:57)),),0))</f>
        <v>0</v>
      </c>
      <c r="J70" s="351">
        <f t="shared" ca="1" si="17"/>
        <v>0</v>
      </c>
      <c r="K70" s="351">
        <f t="shared" ca="1" si="18"/>
        <v>0</v>
      </c>
      <c r="L70" s="351">
        <f t="shared" ca="1" si="19"/>
        <v>0</v>
      </c>
      <c r="M70" s="351"/>
      <c r="N70" s="341"/>
    </row>
    <row r="71" spans="1:14">
      <c r="A71" s="312" t="str">
        <f t="shared" ca="1" si="15"/>
        <v/>
      </c>
      <c r="B71" s="347" t="str">
        <f ca="1">IF(ROWS($1:58)&gt;COUNT(Dong11),"",OFFSET(TH!D$1,SMALL(Dong11,ROWS($1:58)),))</f>
        <v/>
      </c>
      <c r="C71" s="348" t="str">
        <f ca="1">IF(ROWS($1:58)&gt;COUNT(Dong11),"",OFFSET(TH!E$1,SMALL(Dong11,ROWS($1:58)),))</f>
        <v/>
      </c>
      <c r="D71" s="349" t="str">
        <f ca="1">IF(ROWS($1:58)&gt;COUNT(Dong11),"",OFFSET(TH!H$1,SMALL(Dong11,ROWS($1:58)),))</f>
        <v/>
      </c>
      <c r="E71" s="347" t="str">
        <f ca="1">IF(ROWS($1:58)&gt;COUNT(Dong11),"",IF(OFFSET(TH!L$1,SMALL(Dong11,ROWS($1:58)),)=$G$7,OFFSET(TH!M$1,SMALL(Dong11,ROWS($1:58)),),OFFSET(TH!L$1,SMALL(Dong11,ROWS($1:58)),)))</f>
        <v/>
      </c>
      <c r="F71" s="350">
        <f ca="1">IF(ROWS($1:58)&gt;COUNT(Dong11),0,OFFSET(TH!J$1,SMALL(Dong11,ROWS($1:58)),))</f>
        <v>0</v>
      </c>
      <c r="G71" s="350">
        <f ca="1">IF(ROWS($1:58)&gt;COUNT(Dong11),0,IF(MID(OFFSET(TH!D$1,SMALL(Dong11,ROWS($1:58)),),4,1)="N",OFFSET(TH!I$1,SMALL(Dong11,ROWS($1:58)),),0))</f>
        <v>0</v>
      </c>
      <c r="H71" s="351">
        <f t="shared" ca="1" si="16"/>
        <v>0</v>
      </c>
      <c r="I71" s="350">
        <f ca="1">IF(ROWS($1:58)&gt;COUNT(Dong11),0,IF(MID(OFFSET(TH!D$1,SMALL(Dong11,ROWS($1:58)),),4,1)="X",OFFSET(TH!I$1,SMALL(Dong11,ROWS($1:58)),),0))</f>
        <v>0</v>
      </c>
      <c r="J71" s="351">
        <f t="shared" ca="1" si="17"/>
        <v>0</v>
      </c>
      <c r="K71" s="351">
        <f t="shared" ca="1" si="18"/>
        <v>0</v>
      </c>
      <c r="L71" s="351">
        <f t="shared" ca="1" si="19"/>
        <v>0</v>
      </c>
      <c r="M71" s="351"/>
      <c r="N71" s="341"/>
    </row>
    <row r="72" spans="1:14">
      <c r="A72" s="312" t="str">
        <f t="shared" ca="1" si="15"/>
        <v/>
      </c>
      <c r="B72" s="347" t="str">
        <f ca="1">IF(ROWS($1:59)&gt;COUNT(Dong11),"",OFFSET(TH!D$1,SMALL(Dong11,ROWS($1:59)),))</f>
        <v/>
      </c>
      <c r="C72" s="348" t="str">
        <f ca="1">IF(ROWS($1:59)&gt;COUNT(Dong11),"",OFFSET(TH!E$1,SMALL(Dong11,ROWS($1:59)),))</f>
        <v/>
      </c>
      <c r="D72" s="349" t="str">
        <f ca="1">IF(ROWS($1:59)&gt;COUNT(Dong11),"",OFFSET(TH!H$1,SMALL(Dong11,ROWS($1:59)),))</f>
        <v/>
      </c>
      <c r="E72" s="347" t="str">
        <f ca="1">IF(ROWS($1:59)&gt;COUNT(Dong11),"",IF(OFFSET(TH!L$1,SMALL(Dong11,ROWS($1:59)),)=$G$7,OFFSET(TH!M$1,SMALL(Dong11,ROWS($1:59)),),OFFSET(TH!L$1,SMALL(Dong11,ROWS($1:59)),)))</f>
        <v/>
      </c>
      <c r="F72" s="350">
        <f ca="1">IF(ROWS($1:59)&gt;COUNT(Dong11),0,OFFSET(TH!J$1,SMALL(Dong11,ROWS($1:59)),))</f>
        <v>0</v>
      </c>
      <c r="G72" s="350">
        <f ca="1">IF(ROWS($1:59)&gt;COUNT(Dong11),0,IF(MID(OFFSET(TH!D$1,SMALL(Dong11,ROWS($1:59)),),4,1)="N",OFFSET(TH!I$1,SMALL(Dong11,ROWS($1:59)),),0))</f>
        <v>0</v>
      </c>
      <c r="H72" s="351">
        <f t="shared" ca="1" si="16"/>
        <v>0</v>
      </c>
      <c r="I72" s="350">
        <f ca="1">IF(ROWS($1:59)&gt;COUNT(Dong11),0,IF(MID(OFFSET(TH!D$1,SMALL(Dong11,ROWS($1:59)),),4,1)="X",OFFSET(TH!I$1,SMALL(Dong11,ROWS($1:59)),),0))</f>
        <v>0</v>
      </c>
      <c r="J72" s="351">
        <f t="shared" ca="1" si="17"/>
        <v>0</v>
      </c>
      <c r="K72" s="351">
        <f t="shared" ca="1" si="18"/>
        <v>0</v>
      </c>
      <c r="L72" s="351">
        <f t="shared" ca="1" si="19"/>
        <v>0</v>
      </c>
      <c r="M72" s="351"/>
      <c r="N72" s="341"/>
    </row>
    <row r="73" spans="1:14">
      <c r="A73" s="312" t="str">
        <f>IF(B73="","",#REF!+1)</f>
        <v/>
      </c>
      <c r="B73" s="354"/>
      <c r="C73" s="355"/>
      <c r="D73" s="349"/>
      <c r="E73" s="356"/>
      <c r="F73" s="357"/>
      <c r="G73" s="343"/>
      <c r="H73" s="343"/>
      <c r="I73" s="343"/>
      <c r="J73" s="343"/>
      <c r="K73" s="343"/>
      <c r="L73" s="343"/>
      <c r="M73" s="358"/>
      <c r="N73" s="341"/>
    </row>
    <row r="74" spans="1:14">
      <c r="A74" s="359"/>
      <c r="B74" s="359"/>
      <c r="C74" s="359"/>
      <c r="D74" s="359" t="s">
        <v>222</v>
      </c>
      <c r="E74" s="339" t="s">
        <v>19</v>
      </c>
      <c r="F74" s="339" t="s">
        <v>19</v>
      </c>
      <c r="G74" s="360">
        <f ca="1">SUM(G14:G73)</f>
        <v>2300</v>
      </c>
      <c r="H74" s="360">
        <f ca="1">SUM(H14:H73)</f>
        <v>19550000</v>
      </c>
      <c r="I74" s="360">
        <f ca="1">SUM(I14:I73)</f>
        <v>0</v>
      </c>
      <c r="J74" s="360">
        <f ca="1">SUM(J14:J73)</f>
        <v>0</v>
      </c>
      <c r="K74" s="360">
        <f ca="1">K13+G74-I74</f>
        <v>2300</v>
      </c>
      <c r="L74" s="360">
        <f ca="1">L13+H74-J74</f>
        <v>19550000</v>
      </c>
      <c r="M74" s="359"/>
      <c r="N74" s="341"/>
    </row>
    <row r="75" spans="1:14">
      <c r="B75" s="361" t="s">
        <v>223</v>
      </c>
      <c r="G75" s="353"/>
      <c r="N75" s="341"/>
    </row>
    <row r="76" spans="1:14">
      <c r="B76" s="36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53"/>
      <c r="I76" s="353"/>
      <c r="N76" s="341"/>
    </row>
    <row r="77" spans="1:14">
      <c r="B77" s="328"/>
      <c r="C77" s="328"/>
      <c r="D77" s="328"/>
      <c r="F77" s="328"/>
      <c r="G77" s="363"/>
      <c r="H77" s="329"/>
      <c r="I77" s="364"/>
      <c r="J77" s="1002" t="str">
        <f ca="1">"Ngày 31 tháng  12  năm  "&amp;YEAR($A$14)</f>
        <v>Ngày 31 tháng  12  năm  1900</v>
      </c>
      <c r="K77" s="1002"/>
      <c r="L77" s="1002"/>
      <c r="M77" s="1002"/>
      <c r="N77" s="341"/>
    </row>
    <row r="78" spans="1:14">
      <c r="C78" s="328"/>
      <c r="D78" s="553" t="s">
        <v>11</v>
      </c>
      <c r="E78" s="1002" t="s">
        <v>12</v>
      </c>
      <c r="F78" s="1002"/>
      <c r="G78" s="1002"/>
      <c r="H78" s="1002"/>
      <c r="I78" s="1002"/>
      <c r="J78" s="1002" t="s">
        <v>107</v>
      </c>
      <c r="K78" s="1002"/>
      <c r="L78" s="1002"/>
      <c r="M78" s="1002"/>
      <c r="N78" s="341"/>
    </row>
    <row r="79" spans="1:14">
      <c r="C79" s="328"/>
      <c r="D79" s="553" t="s">
        <v>13</v>
      </c>
      <c r="E79" s="1002" t="s">
        <v>13</v>
      </c>
      <c r="F79" s="1002"/>
      <c r="G79" s="1002"/>
      <c r="H79" s="1002" t="s">
        <v>134</v>
      </c>
      <c r="I79" s="1002"/>
      <c r="J79" s="1002" t="s">
        <v>134</v>
      </c>
      <c r="K79" s="1002"/>
      <c r="L79" s="1002"/>
      <c r="M79" s="1002"/>
      <c r="N79" s="341"/>
    </row>
    <row r="80" spans="1:14">
      <c r="N80" s="365"/>
    </row>
    <row r="81" spans="4:14">
      <c r="E81" s="316"/>
    </row>
    <row r="83" spans="4:14" customFormat="1" ht="12.75">
      <c r="E83" s="366"/>
    </row>
    <row r="88" spans="4:14">
      <c r="D88" s="580" t="s">
        <v>148</v>
      </c>
      <c r="E88" s="580"/>
      <c r="J88" s="998" t="s">
        <v>101</v>
      </c>
      <c r="K88" s="998"/>
      <c r="L88" s="998"/>
      <c r="M88" s="998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0" customWidth="1"/>
    <col min="2" max="2" width="9.140625" style="370"/>
    <col min="3" max="3" width="9.140625" style="429" customWidth="1"/>
    <col min="4" max="4" width="10.85546875" style="429" customWidth="1"/>
    <col min="5" max="5" width="39.42578125" style="430" customWidth="1"/>
    <col min="6" max="6" width="10.85546875" style="431" customWidth="1"/>
    <col min="7" max="7" width="9" style="432" customWidth="1"/>
    <col min="8" max="8" width="9.5703125" style="432" customWidth="1"/>
    <col min="9" max="9" width="10" style="432" customWidth="1"/>
    <col min="10" max="10" width="8" style="370" customWidth="1"/>
    <col min="11" max="11" width="2.42578125" style="370" customWidth="1"/>
    <col min="12" max="12" width="6.5703125" style="370" customWidth="1"/>
    <col min="13" max="16384" width="9.140625" style="370"/>
  </cols>
  <sheetData>
    <row r="1" spans="1:12" ht="15" customHeight="1">
      <c r="A1" s="367" t="str">
        <f>TH!A1</f>
        <v>Đơn vị: CÔNG TY TNHH SX TM KIM DUNG PHÁT</v>
      </c>
      <c r="B1" s="368"/>
      <c r="C1" s="368"/>
      <c r="D1" s="368"/>
      <c r="E1" s="369"/>
      <c r="F1" s="1011" t="s">
        <v>224</v>
      </c>
      <c r="G1" s="1011"/>
      <c r="H1" s="1011"/>
      <c r="I1" s="1011"/>
      <c r="J1" s="1011"/>
      <c r="K1" s="371"/>
      <c r="L1" s="372"/>
    </row>
    <row r="2" spans="1:12" ht="15" customHeight="1">
      <c r="A2" s="614" t="str">
        <f>TH!A2</f>
        <v>Địa chỉ: 1A227/1 Ấp 1, Phạm Văn Hai, Bình Chánh, TPHCM</v>
      </c>
      <c r="B2" s="373"/>
      <c r="C2" s="373"/>
      <c r="D2" s="373"/>
      <c r="E2" s="374"/>
      <c r="F2" s="101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0"/>
      <c r="H2" s="1010"/>
      <c r="I2" s="1010"/>
      <c r="J2" s="1010"/>
      <c r="K2" s="371"/>
    </row>
    <row r="3" spans="1:12" ht="15">
      <c r="A3" s="373"/>
      <c r="B3" s="373"/>
      <c r="C3" s="373"/>
      <c r="D3" s="373"/>
      <c r="E3" s="374"/>
      <c r="F3" s="1010"/>
      <c r="G3" s="1010"/>
      <c r="H3" s="1010"/>
      <c r="I3" s="1010"/>
      <c r="J3" s="1010"/>
      <c r="K3" s="371"/>
    </row>
    <row r="4" spans="1:12" ht="18.75" customHeight="1">
      <c r="A4" s="376"/>
      <c r="B4" s="376"/>
      <c r="C4" s="376"/>
      <c r="D4" s="376"/>
      <c r="E4" s="377" t="s">
        <v>225</v>
      </c>
      <c r="F4" s="376"/>
      <c r="G4" s="376"/>
      <c r="H4" s="376"/>
      <c r="I4" s="376"/>
      <c r="J4" s="371"/>
      <c r="K4" s="371"/>
    </row>
    <row r="5" spans="1:12" ht="15">
      <c r="A5" s="378"/>
      <c r="B5" s="378"/>
      <c r="C5" s="378"/>
      <c r="D5" s="378"/>
      <c r="E5" s="37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78"/>
      <c r="G5" s="378"/>
      <c r="H5" s="378"/>
      <c r="I5" s="378"/>
      <c r="J5" s="371"/>
      <c r="K5" s="371"/>
    </row>
    <row r="6" spans="1:12" ht="15">
      <c r="A6" s="378"/>
      <c r="B6" s="378"/>
      <c r="C6" s="378"/>
      <c r="D6" s="378"/>
      <c r="E6" s="379" t="s">
        <v>226</v>
      </c>
      <c r="F6" s="378"/>
      <c r="G6" s="378"/>
      <c r="H6" s="378"/>
      <c r="I6" s="378"/>
      <c r="J6" s="371"/>
      <c r="K6" s="371"/>
    </row>
    <row r="7" spans="1:12" ht="15">
      <c r="A7" s="362" t="s">
        <v>227</v>
      </c>
      <c r="B7" s="362"/>
      <c r="C7" s="380"/>
      <c r="D7" s="380"/>
      <c r="E7" s="381" t="s">
        <v>369</v>
      </c>
      <c r="F7" s="375"/>
      <c r="G7" s="382"/>
      <c r="H7" s="382"/>
      <c r="I7" s="382"/>
      <c r="J7" s="371"/>
      <c r="K7" s="371"/>
    </row>
    <row r="8" spans="1:12" ht="15">
      <c r="A8" s="362" t="s">
        <v>228</v>
      </c>
      <c r="B8" s="362"/>
      <c r="C8" s="371" t="str">
        <f>VLOOKUP($E$7,NXT!$C$12:$L$381,2,0)</f>
        <v>kg</v>
      </c>
      <c r="D8" s="362"/>
      <c r="E8" s="381"/>
      <c r="F8" s="375"/>
      <c r="G8" s="382"/>
      <c r="H8" s="382"/>
      <c r="I8" s="382"/>
      <c r="J8" s="371"/>
      <c r="K8" s="371"/>
    </row>
    <row r="9" spans="1:12" ht="15">
      <c r="A9" s="1012" t="s">
        <v>229</v>
      </c>
      <c r="B9" s="1013"/>
      <c r="C9" s="1013"/>
      <c r="D9" s="1013"/>
      <c r="E9" s="381"/>
      <c r="F9" s="375"/>
      <c r="G9" s="382"/>
      <c r="H9" s="382"/>
      <c r="I9" s="382"/>
      <c r="J9" s="383"/>
      <c r="K9" s="383"/>
    </row>
    <row r="10" spans="1:12" ht="19.5" customHeight="1">
      <c r="A10" s="1014" t="s">
        <v>230</v>
      </c>
      <c r="B10" s="1015" t="s">
        <v>231</v>
      </c>
      <c r="C10" s="1017" t="s">
        <v>15</v>
      </c>
      <c r="D10" s="1018"/>
      <c r="E10" s="1019" t="s">
        <v>0</v>
      </c>
      <c r="F10" s="1028" t="s">
        <v>232</v>
      </c>
      <c r="G10" s="1022" t="s">
        <v>201</v>
      </c>
      <c r="H10" s="1022"/>
      <c r="I10" s="1018"/>
      <c r="J10" s="1023" t="s">
        <v>233</v>
      </c>
      <c r="K10" s="384"/>
      <c r="L10" s="385" t="s">
        <v>218</v>
      </c>
    </row>
    <row r="11" spans="1:12" ht="19.5" customHeight="1">
      <c r="A11" s="1014"/>
      <c r="B11" s="1016"/>
      <c r="C11" s="386" t="s">
        <v>215</v>
      </c>
      <c r="D11" s="386" t="s">
        <v>216</v>
      </c>
      <c r="E11" s="1020"/>
      <c r="F11" s="1029"/>
      <c r="G11" s="387" t="s">
        <v>215</v>
      </c>
      <c r="H11" s="387" t="s">
        <v>216</v>
      </c>
      <c r="I11" s="387" t="s">
        <v>217</v>
      </c>
      <c r="J11" s="1024"/>
      <c r="K11" s="384"/>
    </row>
    <row r="12" spans="1:12" ht="15">
      <c r="A12" s="388" t="s">
        <v>2</v>
      </c>
      <c r="B12" s="389" t="s">
        <v>3</v>
      </c>
      <c r="C12" s="390" t="s">
        <v>4</v>
      </c>
      <c r="D12" s="390" t="s">
        <v>5</v>
      </c>
      <c r="E12" s="391" t="s">
        <v>6</v>
      </c>
      <c r="F12" s="389" t="s">
        <v>128</v>
      </c>
      <c r="G12" s="392">
        <v>1</v>
      </c>
      <c r="H12" s="392">
        <v>2</v>
      </c>
      <c r="I12" s="392">
        <v>3</v>
      </c>
      <c r="J12" s="390" t="s">
        <v>129</v>
      </c>
      <c r="K12" s="393"/>
    </row>
    <row r="13" spans="1:12" ht="16.5" customHeight="1">
      <c r="A13" s="394"/>
      <c r="B13" s="395"/>
      <c r="C13" s="396"/>
      <c r="D13" s="396"/>
      <c r="E13" s="397" t="s">
        <v>192</v>
      </c>
      <c r="F13" s="395"/>
      <c r="G13" s="398"/>
      <c r="H13" s="398"/>
      <c r="I13" s="399">
        <f>VLOOKUP($E$7,NXT!$C$12:$L$381,3,0)</f>
        <v>50</v>
      </c>
      <c r="J13" s="394"/>
      <c r="K13" s="400"/>
    </row>
    <row r="14" spans="1:12" ht="16.5" customHeight="1">
      <c r="A14" s="401">
        <f ca="1">IF(B14&lt;&gt;"",ROW()-(ROW()-1),"")</f>
        <v>1</v>
      </c>
      <c r="B14" s="402">
        <f ca="1">IF(ROWS($1:1)&gt;COUNT(Dong12),"",OFFSET(TH!E$1,SMALL(Dong12,ROWS($1:1)),))</f>
        <v>41281</v>
      </c>
      <c r="C14" s="457" t="str">
        <f ca="1">IF(ROWS($1:1)&gt;COUNT(Dong12),"",IF(MID(OFFSET(TH!D$1,SMALL(Dong12,ROWS($1:1)),),4,1)="N",OFFSET(TH!D$1,SMALL(Dong12,ROWS($1:1)),),""))</f>
        <v>VL/N02</v>
      </c>
      <c r="D14" s="402" t="str">
        <f ca="1">IF(ROWS($1:1)&gt;COUNT(Dong12),"",IF(MID(OFFSET(TH!D$1,SMALL(Dong12,ROWS($1:1)),),4,1)="X",OFFSET(TH!D$1,SMALL(Dong12,ROWS($1:1)),),""))</f>
        <v/>
      </c>
      <c r="E14" s="660" t="str">
        <f ca="1">IF(ROWS($1:1)&gt;COUNT(Dong12),"",OFFSET(TH!H$1,SMALL(Dong12,ROWS($1:1)),))</f>
        <v>Cty TNHH Thành Thành Dũng</v>
      </c>
      <c r="F14" s="402">
        <f ca="1">B14</f>
        <v>41281</v>
      </c>
      <c r="G14" s="403">
        <f ca="1">IF(ROWS($1:1)&gt;COUNT(Dong12),0,IF(MID(OFFSET(TH!D$1,SMALL(Dong12,ROWS($1:1)),),4,1)="N",OFFSET(TH!I$1,SMALL(Dong12,ROWS($1:1)),),0))</f>
        <v>50</v>
      </c>
      <c r="H14" s="403">
        <f ca="1">IF(ROWS($1:1)&gt;COUNT(Dong12),0,IF(MID(OFFSET(TH!D$1,SMALL(Dong12,ROWS($1:1)),),4,1)="X",OFFSET(TH!I$1,SMALL(Dong12,ROWS($1:1)),),0))</f>
        <v>0</v>
      </c>
      <c r="I14" s="404">
        <f ca="1">IF(E14&lt;&gt;"",I13+G14-H14,0)</f>
        <v>100</v>
      </c>
      <c r="J14" s="405"/>
      <c r="K14" s="406"/>
    </row>
    <row r="15" spans="1:12" ht="16.5" customHeight="1">
      <c r="A15" s="407">
        <f ca="1">IF(B15&lt;&gt;"",A14+1,"")</f>
        <v>2</v>
      </c>
      <c r="B15" s="402">
        <f ca="1">IF(ROWS($1:2)&gt;COUNT(Dong12),"",OFFSET(TH!E$1,SMALL(Dong12,ROWS($1:2)),))</f>
        <v>41276</v>
      </c>
      <c r="C15" s="457" t="str">
        <f ca="1">IF(ROWS($1:2)&gt;COUNT(Dong12),"",IF(MID(OFFSET(TH!D$1,SMALL(Dong12,ROWS($1:2)),),4,1)="N",OFFSET(TH!D$1,SMALL(Dong12,ROWS($1:2)),),""))</f>
        <v/>
      </c>
      <c r="D15" s="402" t="str">
        <f ca="1">IF(ROWS($1:2)&gt;COUNT(Dong12),"",IF(MID(OFFSET(TH!D$1,SMALL(Dong12,ROWS($1:2)),),4,1)="X",OFFSET(TH!D$1,SMALL(Dong12,ROWS($1:2)),),""))</f>
        <v>VL/X01</v>
      </c>
      <c r="E15" s="660" t="str">
        <f ca="1">IF(ROWS($1:2)&gt;COUNT(Dong12),"",OFFSET(TH!H$1,SMALL(Dong12,ROWS($1:2)),))</f>
        <v>Xuất sản xuất</v>
      </c>
      <c r="F15" s="402">
        <f t="shared" ref="F15:F30" ca="1" si="0">B15</f>
        <v>41276</v>
      </c>
      <c r="G15" s="403">
        <f ca="1">IF(ROWS($1:2)&gt;COUNT(Dong12),0,IF(MID(OFFSET(TH!D$1,SMALL(Dong12,ROWS($1:2)),),4,1)="N",OFFSET(TH!I$1,SMALL(Dong12,ROWS($1:2)),),0))</f>
        <v>0</v>
      </c>
      <c r="H15" s="403">
        <f ca="1">IF(ROWS($1:2)&gt;COUNT(Dong12),0,IF(MID(OFFSET(TH!D$1,SMALL(Dong12,ROWS($1:2)),),4,1)="X",OFFSET(TH!I$1,SMALL(Dong12,ROWS($1:2)),),0))</f>
        <v>25</v>
      </c>
      <c r="I15" s="404">
        <f t="shared" ref="I15:I30" ca="1" si="1">IF(E15&lt;&gt;"",I14+G15-H15,0)</f>
        <v>75</v>
      </c>
      <c r="J15" s="405"/>
      <c r="K15" s="406"/>
    </row>
    <row r="16" spans="1:12" ht="16.5" customHeight="1">
      <c r="A16" s="407">
        <f t="shared" ref="A16:A30" ca="1" si="2">IF(B16&lt;&gt;"",A15+1,"")</f>
        <v>3</v>
      </c>
      <c r="B16" s="402">
        <f ca="1">IF(ROWS($1:3)&gt;COUNT(Dong12),"",OFFSET(TH!E$1,SMALL(Dong12,ROWS($1:3)),))</f>
        <v>41365</v>
      </c>
      <c r="C16" s="457" t="str">
        <f ca="1">IF(ROWS($1:3)&gt;COUNT(Dong12),"",IF(MID(OFFSET(TH!D$1,SMALL(Dong12,ROWS($1:3)),),4,1)="N",OFFSET(TH!D$1,SMALL(Dong12,ROWS($1:3)),),""))</f>
        <v/>
      </c>
      <c r="D16" s="402" t="str">
        <f ca="1">IF(ROWS($1:3)&gt;COUNT(Dong12),"",IF(MID(OFFSET(TH!D$1,SMALL(Dong12,ROWS($1:3)),),4,1)="X",OFFSET(TH!D$1,SMALL(Dong12,ROWS($1:3)),),""))</f>
        <v>VL/X01</v>
      </c>
      <c r="E16" s="660" t="str">
        <f ca="1">IF(ROWS($1:3)&gt;COUNT(Dong12),"",OFFSET(TH!H$1,SMALL(Dong12,ROWS($1:3)),))</f>
        <v>Xuất sản xuất</v>
      </c>
      <c r="F16" s="402">
        <f t="shared" ca="1" si="0"/>
        <v>41365</v>
      </c>
      <c r="G16" s="403">
        <f ca="1">IF(ROWS($1:3)&gt;COUNT(Dong12),0,IF(MID(OFFSET(TH!D$1,SMALL(Dong12,ROWS($1:3)),),4,1)="N",OFFSET(TH!I$1,SMALL(Dong12,ROWS($1:3)),),0))</f>
        <v>0</v>
      </c>
      <c r="H16" s="403">
        <f ca="1">IF(ROWS($1:3)&gt;COUNT(Dong12),0,IF(MID(OFFSET(TH!D$1,SMALL(Dong12,ROWS($1:3)),),4,1)="X",OFFSET(TH!I$1,SMALL(Dong12,ROWS($1:3)),),0))</f>
        <v>25</v>
      </c>
      <c r="I16" s="404">
        <f t="shared" ca="1" si="1"/>
        <v>50</v>
      </c>
      <c r="J16" s="405"/>
      <c r="K16" s="406"/>
    </row>
    <row r="17" spans="1:11" ht="16.5" customHeight="1">
      <c r="A17" s="407">
        <f t="shared" ca="1" si="2"/>
        <v>4</v>
      </c>
      <c r="B17" s="402">
        <f ca="1">IF(ROWS($1:4)&gt;COUNT(Dong12),"",OFFSET(TH!E$1,SMALL(Dong12,ROWS($1:4)),))</f>
        <v>41456</v>
      </c>
      <c r="C17" s="457" t="str">
        <f ca="1">IF(ROWS($1:4)&gt;COUNT(Dong12),"",IF(MID(OFFSET(TH!D$1,SMALL(Dong12,ROWS($1:4)),),4,1)="N",OFFSET(TH!D$1,SMALL(Dong12,ROWS($1:4)),),""))</f>
        <v/>
      </c>
      <c r="D17" s="402" t="str">
        <f ca="1">IF(ROWS($1:4)&gt;COUNT(Dong12),"",IF(MID(OFFSET(TH!D$1,SMALL(Dong12,ROWS($1:4)),),4,1)="X",OFFSET(TH!D$1,SMALL(Dong12,ROWS($1:4)),),""))</f>
        <v>VL/X01</v>
      </c>
      <c r="E17" s="660" t="str">
        <f ca="1">IF(ROWS($1:4)&gt;COUNT(Dong12),"",OFFSET(TH!H$1,SMALL(Dong12,ROWS($1:4)),))</f>
        <v>Xuất sản xuất</v>
      </c>
      <c r="F17" s="402">
        <f t="shared" ca="1" si="0"/>
        <v>41456</v>
      </c>
      <c r="G17" s="403">
        <f ca="1">IF(ROWS($1:4)&gt;COUNT(Dong12),0,IF(MID(OFFSET(TH!D$1,SMALL(Dong12,ROWS($1:4)),),4,1)="N",OFFSET(TH!I$1,SMALL(Dong12,ROWS($1:4)),),0))</f>
        <v>0</v>
      </c>
      <c r="H17" s="403">
        <f ca="1">IF(ROWS($1:4)&gt;COUNT(Dong12),0,IF(MID(OFFSET(TH!D$1,SMALL(Dong12,ROWS($1:4)),),4,1)="X",OFFSET(TH!I$1,SMALL(Dong12,ROWS($1:4)),),0))</f>
        <v>25</v>
      </c>
      <c r="I17" s="404">
        <f t="shared" ca="1" si="1"/>
        <v>25</v>
      </c>
      <c r="J17" s="405"/>
      <c r="K17" s="406"/>
    </row>
    <row r="18" spans="1:11" ht="16.5" customHeight="1">
      <c r="A18" s="407">
        <f t="shared" ca="1" si="2"/>
        <v>5</v>
      </c>
      <c r="B18" s="402">
        <f ca="1">IF(ROWS($1:5)&gt;COUNT(Dong12),"",OFFSET(TH!E$1,SMALL(Dong12,ROWS($1:5)),))</f>
        <v>41548</v>
      </c>
      <c r="C18" s="457" t="str">
        <f ca="1">IF(ROWS($1:5)&gt;COUNT(Dong12),"",IF(MID(OFFSET(TH!D$1,SMALL(Dong12,ROWS($1:5)),),4,1)="N",OFFSET(TH!D$1,SMALL(Dong12,ROWS($1:5)),),""))</f>
        <v/>
      </c>
      <c r="D18" s="402" t="str">
        <f ca="1">IF(ROWS($1:5)&gt;COUNT(Dong12),"",IF(MID(OFFSET(TH!D$1,SMALL(Dong12,ROWS($1:5)),),4,1)="X",OFFSET(TH!D$1,SMALL(Dong12,ROWS($1:5)),),""))</f>
        <v>VL/X01</v>
      </c>
      <c r="E18" s="660" t="str">
        <f ca="1">IF(ROWS($1:5)&gt;COUNT(Dong12),"",OFFSET(TH!H$1,SMALL(Dong12,ROWS($1:5)),))</f>
        <v>Xuất sản xuất</v>
      </c>
      <c r="F18" s="402">
        <f t="shared" ca="1" si="0"/>
        <v>41548</v>
      </c>
      <c r="G18" s="403">
        <f ca="1">IF(ROWS($1:5)&gt;COUNT(Dong12),0,IF(MID(OFFSET(TH!D$1,SMALL(Dong12,ROWS($1:5)),),4,1)="N",OFFSET(TH!I$1,SMALL(Dong12,ROWS($1:5)),),0))</f>
        <v>0</v>
      </c>
      <c r="H18" s="403">
        <f ca="1">IF(ROWS($1:5)&gt;COUNT(Dong12),0,IF(MID(OFFSET(TH!D$1,SMALL(Dong12,ROWS($1:5)),),4,1)="X",OFFSET(TH!I$1,SMALL(Dong12,ROWS($1:5)),),0))</f>
        <v>25</v>
      </c>
      <c r="I18" s="404">
        <f t="shared" ca="1" si="1"/>
        <v>0</v>
      </c>
      <c r="J18" s="405"/>
      <c r="K18" s="406"/>
    </row>
    <row r="19" spans="1:11" ht="16.5" customHeight="1">
      <c r="A19" s="407" t="str">
        <f t="shared" ca="1" si="2"/>
        <v/>
      </c>
      <c r="B19" s="402" t="str">
        <f ca="1">IF(ROWS($1:6)&gt;COUNT(Dong12),"",OFFSET(TH!E$1,SMALL(Dong12,ROWS($1:6)),))</f>
        <v/>
      </c>
      <c r="C19" s="457" t="str">
        <f ca="1">IF(ROWS($1:6)&gt;COUNT(Dong12),"",IF(MID(OFFSET(TH!D$1,SMALL(Dong12,ROWS($1:6)),),4,1)="N",OFFSET(TH!D$1,SMALL(Dong12,ROWS($1:6)),),""))</f>
        <v/>
      </c>
      <c r="D19" s="402" t="str">
        <f ca="1">IF(ROWS($1:6)&gt;COUNT(Dong12),"",IF(MID(OFFSET(TH!D$1,SMALL(Dong12,ROWS($1:6)),),4,1)="X",OFFSET(TH!D$1,SMALL(Dong12,ROWS($1:6)),),""))</f>
        <v/>
      </c>
      <c r="E19" s="660" t="str">
        <f ca="1">IF(ROWS($1:6)&gt;COUNT(Dong12),"",OFFSET(TH!H$1,SMALL(Dong12,ROWS($1:6)),))</f>
        <v/>
      </c>
      <c r="F19" s="402" t="str">
        <f t="shared" ca="1" si="0"/>
        <v/>
      </c>
      <c r="G19" s="403">
        <f ca="1">IF(ROWS($1:6)&gt;COUNT(Dong12),0,IF(MID(OFFSET(TH!D$1,SMALL(Dong12,ROWS($1:6)),),4,1)="N",OFFSET(TH!I$1,SMALL(Dong12,ROWS($1:6)),),0))</f>
        <v>0</v>
      </c>
      <c r="H19" s="403">
        <f ca="1">IF(ROWS($1:6)&gt;COUNT(Dong12),0,IF(MID(OFFSET(TH!D$1,SMALL(Dong12,ROWS($1:6)),),4,1)="X",OFFSET(TH!I$1,SMALL(Dong12,ROWS($1:6)),),0))</f>
        <v>0</v>
      </c>
      <c r="I19" s="404">
        <f t="shared" ca="1" si="1"/>
        <v>0</v>
      </c>
      <c r="J19" s="405"/>
      <c r="K19" s="406"/>
    </row>
    <row r="20" spans="1:11" ht="16.5" customHeight="1">
      <c r="A20" s="407" t="str">
        <f t="shared" ca="1" si="2"/>
        <v/>
      </c>
      <c r="B20" s="402" t="str">
        <f ca="1">IF(ROWS($1:7)&gt;COUNT(Dong12),"",OFFSET(TH!E$1,SMALL(Dong12,ROWS($1:7)),))</f>
        <v/>
      </c>
      <c r="C20" s="457" t="str">
        <f ca="1">IF(ROWS($1:7)&gt;COUNT(Dong12),"",IF(MID(OFFSET(TH!D$1,SMALL(Dong12,ROWS($1:7)),),4,1)="N",OFFSET(TH!D$1,SMALL(Dong12,ROWS($1:7)),),""))</f>
        <v/>
      </c>
      <c r="D20" s="402" t="str">
        <f ca="1">IF(ROWS($1:7)&gt;COUNT(Dong12),"",IF(MID(OFFSET(TH!D$1,SMALL(Dong12,ROWS($1:7)),),4,1)="X",OFFSET(TH!D$1,SMALL(Dong12,ROWS($1:7)),),""))</f>
        <v/>
      </c>
      <c r="E20" s="660" t="str">
        <f ca="1">IF(ROWS($1:7)&gt;COUNT(Dong12),"",OFFSET(TH!H$1,SMALL(Dong12,ROWS($1:7)),))</f>
        <v/>
      </c>
      <c r="F20" s="402" t="str">
        <f t="shared" ca="1" si="0"/>
        <v/>
      </c>
      <c r="G20" s="403">
        <f ca="1">IF(ROWS($1:7)&gt;COUNT(Dong12),0,IF(MID(OFFSET(TH!D$1,SMALL(Dong12,ROWS($1:7)),),4,1)="N",OFFSET(TH!I$1,SMALL(Dong12,ROWS($1:7)),),0))</f>
        <v>0</v>
      </c>
      <c r="H20" s="403">
        <f ca="1">IF(ROWS($1:7)&gt;COUNT(Dong12),0,IF(MID(OFFSET(TH!D$1,SMALL(Dong12,ROWS($1:7)),),4,1)="X",OFFSET(TH!I$1,SMALL(Dong12,ROWS($1:7)),),0))</f>
        <v>0</v>
      </c>
      <c r="I20" s="404">
        <f t="shared" ca="1" si="1"/>
        <v>0</v>
      </c>
      <c r="J20" s="405"/>
      <c r="K20" s="406"/>
    </row>
    <row r="21" spans="1:11" ht="16.5" customHeight="1">
      <c r="A21" s="407" t="str">
        <f t="shared" ca="1" si="2"/>
        <v/>
      </c>
      <c r="B21" s="402" t="str">
        <f ca="1">IF(ROWS($1:8)&gt;COUNT(Dong12),"",OFFSET(TH!E$1,SMALL(Dong12,ROWS($1:8)),))</f>
        <v/>
      </c>
      <c r="C21" s="457" t="str">
        <f ca="1">IF(ROWS($1:8)&gt;COUNT(Dong12),"",IF(MID(OFFSET(TH!D$1,SMALL(Dong12,ROWS($1:8)),),4,1)="N",OFFSET(TH!D$1,SMALL(Dong12,ROWS($1:8)),),""))</f>
        <v/>
      </c>
      <c r="D21" s="402" t="str">
        <f ca="1">IF(ROWS($1:8)&gt;COUNT(Dong12),"",IF(MID(OFFSET(TH!D$1,SMALL(Dong12,ROWS($1:8)),),4,1)="X",OFFSET(TH!D$1,SMALL(Dong12,ROWS($1:8)),),""))</f>
        <v/>
      </c>
      <c r="E21" s="660" t="str">
        <f ca="1">IF(ROWS($1:8)&gt;COUNT(Dong12),"",OFFSET(TH!H$1,SMALL(Dong12,ROWS($1:8)),))</f>
        <v/>
      </c>
      <c r="F21" s="402" t="str">
        <f t="shared" ca="1" si="0"/>
        <v/>
      </c>
      <c r="G21" s="403">
        <f ca="1">IF(ROWS($1:8)&gt;COUNT(Dong12),0,IF(MID(OFFSET(TH!D$1,SMALL(Dong12,ROWS($1:8)),),4,1)="N",OFFSET(TH!I$1,SMALL(Dong12,ROWS($1:8)),),0))</f>
        <v>0</v>
      </c>
      <c r="H21" s="403">
        <f ca="1">IF(ROWS($1:8)&gt;COUNT(Dong12),0,IF(MID(OFFSET(TH!D$1,SMALL(Dong12,ROWS($1:8)),),4,1)="X",OFFSET(TH!I$1,SMALL(Dong12,ROWS($1:8)),),0))</f>
        <v>0</v>
      </c>
      <c r="I21" s="404">
        <f t="shared" ca="1" si="1"/>
        <v>0</v>
      </c>
      <c r="J21" s="405"/>
      <c r="K21" s="406"/>
    </row>
    <row r="22" spans="1:11" ht="16.5" customHeight="1">
      <c r="A22" s="407" t="str">
        <f t="shared" ca="1" si="2"/>
        <v/>
      </c>
      <c r="B22" s="402" t="str">
        <f ca="1">IF(ROWS($1:9)&gt;COUNT(Dong12),"",OFFSET(TH!E$1,SMALL(Dong12,ROWS($1:9)),))</f>
        <v/>
      </c>
      <c r="C22" s="457" t="str">
        <f ca="1">IF(ROWS($1:9)&gt;COUNT(Dong12),"",IF(MID(OFFSET(TH!D$1,SMALL(Dong12,ROWS($1:9)),),4,1)="N",OFFSET(TH!D$1,SMALL(Dong12,ROWS($1:9)),),""))</f>
        <v/>
      </c>
      <c r="D22" s="402" t="str">
        <f ca="1">IF(ROWS($1:9)&gt;COUNT(Dong12),"",IF(MID(OFFSET(TH!D$1,SMALL(Dong12,ROWS($1:9)),),4,1)="X",OFFSET(TH!D$1,SMALL(Dong12,ROWS($1:9)),),""))</f>
        <v/>
      </c>
      <c r="E22" s="660" t="str">
        <f ca="1">IF(ROWS($1:9)&gt;COUNT(Dong12),"",OFFSET(TH!H$1,SMALL(Dong12,ROWS($1:9)),))</f>
        <v/>
      </c>
      <c r="F22" s="402" t="str">
        <f t="shared" ca="1" si="0"/>
        <v/>
      </c>
      <c r="G22" s="403">
        <f ca="1">IF(ROWS($1:9)&gt;COUNT(Dong12),0,IF(MID(OFFSET(TH!D$1,SMALL(Dong12,ROWS($1:9)),),4,1)="N",OFFSET(TH!I$1,SMALL(Dong12,ROWS($1:9)),),0))</f>
        <v>0</v>
      </c>
      <c r="H22" s="403">
        <f ca="1">IF(ROWS($1:9)&gt;COUNT(Dong12),0,IF(MID(OFFSET(TH!D$1,SMALL(Dong12,ROWS($1:9)),),4,1)="X",OFFSET(TH!I$1,SMALL(Dong12,ROWS($1:9)),),0))</f>
        <v>0</v>
      </c>
      <c r="I22" s="404">
        <f t="shared" ca="1" si="1"/>
        <v>0</v>
      </c>
      <c r="J22" s="405"/>
      <c r="K22" s="406"/>
    </row>
    <row r="23" spans="1:11" ht="16.5" customHeight="1">
      <c r="A23" s="407" t="str">
        <f t="shared" ca="1" si="2"/>
        <v/>
      </c>
      <c r="B23" s="402" t="str">
        <f ca="1">IF(ROWS($1:10)&gt;COUNT(Dong12),"",OFFSET(TH!E$1,SMALL(Dong12,ROWS($1:10)),))</f>
        <v/>
      </c>
      <c r="C23" s="457" t="str">
        <f ca="1">IF(ROWS($1:10)&gt;COUNT(Dong12),"",IF(MID(OFFSET(TH!D$1,SMALL(Dong12,ROWS($1:10)),),4,1)="N",OFFSET(TH!D$1,SMALL(Dong12,ROWS($1:10)),),""))</f>
        <v/>
      </c>
      <c r="D23" s="402" t="str">
        <f ca="1">IF(ROWS($1:10)&gt;COUNT(Dong12),"",IF(MID(OFFSET(TH!D$1,SMALL(Dong12,ROWS($1:10)),),4,1)="X",OFFSET(TH!D$1,SMALL(Dong12,ROWS($1:10)),),""))</f>
        <v/>
      </c>
      <c r="E23" s="660" t="str">
        <f ca="1">IF(ROWS($1:10)&gt;COUNT(Dong12),"",OFFSET(TH!H$1,SMALL(Dong12,ROWS($1:10)),))</f>
        <v/>
      </c>
      <c r="F23" s="402" t="str">
        <f t="shared" ca="1" si="0"/>
        <v/>
      </c>
      <c r="G23" s="403">
        <f ca="1">IF(ROWS($1:10)&gt;COUNT(Dong12),0,IF(MID(OFFSET(TH!D$1,SMALL(Dong12,ROWS($1:10)),),4,1)="N",OFFSET(TH!I$1,SMALL(Dong12,ROWS($1:10)),),0))</f>
        <v>0</v>
      </c>
      <c r="H23" s="403">
        <f ca="1">IF(ROWS($1:10)&gt;COUNT(Dong12),0,IF(MID(OFFSET(TH!D$1,SMALL(Dong12,ROWS($1:10)),),4,1)="X",OFFSET(TH!I$1,SMALL(Dong12,ROWS($1:10)),),0))</f>
        <v>0</v>
      </c>
      <c r="I23" s="404">
        <f t="shared" ca="1" si="1"/>
        <v>0</v>
      </c>
      <c r="J23" s="405"/>
      <c r="K23" s="406"/>
    </row>
    <row r="24" spans="1:11" ht="16.5" customHeight="1">
      <c r="A24" s="407" t="str">
        <f t="shared" ca="1" si="2"/>
        <v/>
      </c>
      <c r="B24" s="402" t="str">
        <f ca="1">IF(ROWS($1:11)&gt;COUNT(Dong12),"",OFFSET(TH!E$1,SMALL(Dong12,ROWS($1:11)),))</f>
        <v/>
      </c>
      <c r="C24" s="457" t="str">
        <f ca="1">IF(ROWS($1:11)&gt;COUNT(Dong12),"",IF(MID(OFFSET(TH!D$1,SMALL(Dong12,ROWS($1:11)),),4,1)="N",OFFSET(TH!D$1,SMALL(Dong12,ROWS($1:11)),),""))</f>
        <v/>
      </c>
      <c r="D24" s="402" t="str">
        <f ca="1">IF(ROWS($1:11)&gt;COUNT(Dong12),"",IF(MID(OFFSET(TH!D$1,SMALL(Dong12,ROWS($1:11)),),4,1)="X",OFFSET(TH!D$1,SMALL(Dong12,ROWS($1:11)),),""))</f>
        <v/>
      </c>
      <c r="E24" s="660" t="str">
        <f ca="1">IF(ROWS($1:11)&gt;COUNT(Dong12),"",OFFSET(TH!H$1,SMALL(Dong12,ROWS($1:11)),))</f>
        <v/>
      </c>
      <c r="F24" s="402" t="str">
        <f t="shared" ca="1" si="0"/>
        <v/>
      </c>
      <c r="G24" s="403">
        <f ca="1">IF(ROWS($1:11)&gt;COUNT(Dong12),0,IF(MID(OFFSET(TH!D$1,SMALL(Dong12,ROWS($1:11)),),4,1)="N",OFFSET(TH!I$1,SMALL(Dong12,ROWS($1:11)),),0))</f>
        <v>0</v>
      </c>
      <c r="H24" s="403">
        <f ca="1">IF(ROWS($1:11)&gt;COUNT(Dong12),0,IF(MID(OFFSET(TH!D$1,SMALL(Dong12,ROWS($1:11)),),4,1)="X",OFFSET(TH!I$1,SMALL(Dong12,ROWS($1:11)),),0))</f>
        <v>0</v>
      </c>
      <c r="I24" s="404">
        <f t="shared" ca="1" si="1"/>
        <v>0</v>
      </c>
      <c r="J24" s="405"/>
      <c r="K24" s="406"/>
    </row>
    <row r="25" spans="1:11" ht="16.5" customHeight="1">
      <c r="A25" s="407" t="str">
        <f t="shared" ca="1" si="2"/>
        <v/>
      </c>
      <c r="B25" s="402" t="str">
        <f ca="1">IF(ROWS($1:12)&gt;COUNT(Dong12),"",OFFSET(TH!E$1,SMALL(Dong12,ROWS($1:12)),))</f>
        <v/>
      </c>
      <c r="C25" s="457" t="str">
        <f ca="1">IF(ROWS($1:12)&gt;COUNT(Dong12),"",IF(MID(OFFSET(TH!D$1,SMALL(Dong12,ROWS($1:12)),),4,1)="N",OFFSET(TH!D$1,SMALL(Dong12,ROWS($1:12)),),""))</f>
        <v/>
      </c>
      <c r="D25" s="402" t="str">
        <f ca="1">IF(ROWS($1:12)&gt;COUNT(Dong12),"",IF(MID(OFFSET(TH!D$1,SMALL(Dong12,ROWS($1:12)),),4,1)="X",OFFSET(TH!D$1,SMALL(Dong12,ROWS($1:12)),),""))</f>
        <v/>
      </c>
      <c r="E25" s="660" t="str">
        <f ca="1">IF(ROWS($1:12)&gt;COUNT(Dong12),"",OFFSET(TH!H$1,SMALL(Dong12,ROWS($1:12)),))</f>
        <v/>
      </c>
      <c r="F25" s="402" t="str">
        <f t="shared" ca="1" si="0"/>
        <v/>
      </c>
      <c r="G25" s="403">
        <f ca="1">IF(ROWS($1:12)&gt;COUNT(Dong12),0,IF(MID(OFFSET(TH!D$1,SMALL(Dong12,ROWS($1:12)),),4,1)="N",OFFSET(TH!I$1,SMALL(Dong12,ROWS($1:12)),),0))</f>
        <v>0</v>
      </c>
      <c r="H25" s="403">
        <f ca="1">IF(ROWS($1:12)&gt;COUNT(Dong12),0,IF(MID(OFFSET(TH!D$1,SMALL(Dong12,ROWS($1:12)),),4,1)="X",OFFSET(TH!I$1,SMALL(Dong12,ROWS($1:12)),),0))</f>
        <v>0</v>
      </c>
      <c r="I25" s="404">
        <f t="shared" ca="1" si="1"/>
        <v>0</v>
      </c>
      <c r="J25" s="405"/>
      <c r="K25" s="406"/>
    </row>
    <row r="26" spans="1:11" ht="16.5" customHeight="1">
      <c r="A26" s="407" t="str">
        <f t="shared" ca="1" si="2"/>
        <v/>
      </c>
      <c r="B26" s="402" t="str">
        <f ca="1">IF(ROWS($1:13)&gt;COUNT(Dong12),"",OFFSET(TH!E$1,SMALL(Dong12,ROWS($1:13)),))</f>
        <v/>
      </c>
      <c r="C26" s="457" t="str">
        <f ca="1">IF(ROWS($1:13)&gt;COUNT(Dong12),"",IF(MID(OFFSET(TH!D$1,SMALL(Dong12,ROWS($1:13)),),4,1)="N",OFFSET(TH!D$1,SMALL(Dong12,ROWS($1:13)),),""))</f>
        <v/>
      </c>
      <c r="D26" s="402" t="str">
        <f ca="1">IF(ROWS($1:13)&gt;COUNT(Dong12),"",IF(MID(OFFSET(TH!D$1,SMALL(Dong12,ROWS($1:13)),),4,1)="X",OFFSET(TH!D$1,SMALL(Dong12,ROWS($1:13)),),""))</f>
        <v/>
      </c>
      <c r="E26" s="660" t="str">
        <f ca="1">IF(ROWS($1:13)&gt;COUNT(Dong12),"",OFFSET(TH!H$1,SMALL(Dong12,ROWS($1:13)),))</f>
        <v/>
      </c>
      <c r="F26" s="402" t="str">
        <f t="shared" ca="1" si="0"/>
        <v/>
      </c>
      <c r="G26" s="403">
        <f ca="1">IF(ROWS($1:13)&gt;COUNT(Dong12),0,IF(MID(OFFSET(TH!D$1,SMALL(Dong12,ROWS($1:13)),),4,1)="N",OFFSET(TH!I$1,SMALL(Dong12,ROWS($1:13)),),0))</f>
        <v>0</v>
      </c>
      <c r="H26" s="403">
        <f ca="1">IF(ROWS($1:13)&gt;COUNT(Dong12),0,IF(MID(OFFSET(TH!D$1,SMALL(Dong12,ROWS($1:13)),),4,1)="X",OFFSET(TH!I$1,SMALL(Dong12,ROWS($1:13)),),0))</f>
        <v>0</v>
      </c>
      <c r="I26" s="404">
        <f t="shared" ca="1" si="1"/>
        <v>0</v>
      </c>
      <c r="J26" s="405"/>
      <c r="K26" s="406"/>
    </row>
    <row r="27" spans="1:11" ht="16.5" customHeight="1">
      <c r="A27" s="407" t="str">
        <f t="shared" ca="1" si="2"/>
        <v/>
      </c>
      <c r="B27" s="402" t="str">
        <f ca="1">IF(ROWS($1:14)&gt;COUNT(Dong12),"",OFFSET(TH!E$1,SMALL(Dong12,ROWS($1:14)),))</f>
        <v/>
      </c>
      <c r="C27" s="457" t="str">
        <f ca="1">IF(ROWS($1:14)&gt;COUNT(Dong12),"",IF(MID(OFFSET(TH!D$1,SMALL(Dong12,ROWS($1:14)),),4,1)="N",OFFSET(TH!D$1,SMALL(Dong12,ROWS($1:14)),),""))</f>
        <v/>
      </c>
      <c r="D27" s="402" t="str">
        <f ca="1">IF(ROWS($1:14)&gt;COUNT(Dong12),"",IF(MID(OFFSET(TH!D$1,SMALL(Dong12,ROWS($1:14)),),4,1)="X",OFFSET(TH!D$1,SMALL(Dong12,ROWS($1:14)),),""))</f>
        <v/>
      </c>
      <c r="E27" s="660" t="str">
        <f ca="1">IF(ROWS($1:14)&gt;COUNT(Dong12),"",OFFSET(TH!H$1,SMALL(Dong12,ROWS($1:14)),))</f>
        <v/>
      </c>
      <c r="F27" s="402" t="str">
        <f t="shared" ca="1" si="0"/>
        <v/>
      </c>
      <c r="G27" s="403">
        <f ca="1">IF(ROWS($1:14)&gt;COUNT(Dong12),0,IF(MID(OFFSET(TH!D$1,SMALL(Dong12,ROWS($1:14)),),4,1)="N",OFFSET(TH!I$1,SMALL(Dong12,ROWS($1:14)),),0))</f>
        <v>0</v>
      </c>
      <c r="H27" s="403">
        <f ca="1">IF(ROWS($1:14)&gt;COUNT(Dong12),0,IF(MID(OFFSET(TH!D$1,SMALL(Dong12,ROWS($1:14)),),4,1)="X",OFFSET(TH!I$1,SMALL(Dong12,ROWS($1:14)),),0))</f>
        <v>0</v>
      </c>
      <c r="I27" s="404">
        <f t="shared" ca="1" si="1"/>
        <v>0</v>
      </c>
      <c r="J27" s="405"/>
      <c r="K27" s="406"/>
    </row>
    <row r="28" spans="1:11" ht="16.5" customHeight="1">
      <c r="A28" s="407" t="str">
        <f t="shared" ca="1" si="2"/>
        <v/>
      </c>
      <c r="B28" s="402" t="str">
        <f ca="1">IF(ROWS($1:15)&gt;COUNT(Dong12),"",OFFSET(TH!E$1,SMALL(Dong12,ROWS($1:15)),))</f>
        <v/>
      </c>
      <c r="C28" s="457" t="str">
        <f ca="1">IF(ROWS($1:15)&gt;COUNT(Dong12),"",IF(MID(OFFSET(TH!D$1,SMALL(Dong12,ROWS($1:15)),),4,1)="N",OFFSET(TH!D$1,SMALL(Dong12,ROWS($1:15)),),""))</f>
        <v/>
      </c>
      <c r="D28" s="402" t="str">
        <f ca="1">IF(ROWS($1:15)&gt;COUNT(Dong12),"",IF(MID(OFFSET(TH!D$1,SMALL(Dong12,ROWS($1:15)),),4,1)="X",OFFSET(TH!D$1,SMALL(Dong12,ROWS($1:15)),),""))</f>
        <v/>
      </c>
      <c r="E28" s="660" t="str">
        <f ca="1">IF(ROWS($1:15)&gt;COUNT(Dong12),"",OFFSET(TH!H$1,SMALL(Dong12,ROWS($1:15)),))</f>
        <v/>
      </c>
      <c r="F28" s="402" t="str">
        <f t="shared" ca="1" si="0"/>
        <v/>
      </c>
      <c r="G28" s="403">
        <f ca="1">IF(ROWS($1:15)&gt;COUNT(Dong12),0,IF(MID(OFFSET(TH!D$1,SMALL(Dong12,ROWS($1:15)),),4,1)="N",OFFSET(TH!I$1,SMALL(Dong12,ROWS($1:15)),),0))</f>
        <v>0</v>
      </c>
      <c r="H28" s="403">
        <f ca="1">IF(ROWS($1:15)&gt;COUNT(Dong12),0,IF(MID(OFFSET(TH!D$1,SMALL(Dong12,ROWS($1:15)),),4,1)="X",OFFSET(TH!I$1,SMALL(Dong12,ROWS($1:15)),),0))</f>
        <v>0</v>
      </c>
      <c r="I28" s="404">
        <f t="shared" ca="1" si="1"/>
        <v>0</v>
      </c>
      <c r="J28" s="405"/>
      <c r="K28" s="406"/>
    </row>
    <row r="29" spans="1:11" ht="16.5" customHeight="1">
      <c r="A29" s="407" t="str">
        <f t="shared" ca="1" si="2"/>
        <v/>
      </c>
      <c r="B29" s="402" t="str">
        <f ca="1">IF(ROWS($1:16)&gt;COUNT(Dong12),"",OFFSET(TH!E$1,SMALL(Dong12,ROWS($1:16)),))</f>
        <v/>
      </c>
      <c r="C29" s="457" t="str">
        <f ca="1">IF(ROWS($1:16)&gt;COUNT(Dong12),"",IF(MID(OFFSET(TH!D$1,SMALL(Dong12,ROWS($1:16)),),4,1)="N",OFFSET(TH!D$1,SMALL(Dong12,ROWS($1:16)),),""))</f>
        <v/>
      </c>
      <c r="D29" s="402" t="str">
        <f ca="1">IF(ROWS($1:16)&gt;COUNT(Dong12),"",IF(MID(OFFSET(TH!D$1,SMALL(Dong12,ROWS($1:16)),),4,1)="X",OFFSET(TH!D$1,SMALL(Dong12,ROWS($1:16)),),""))</f>
        <v/>
      </c>
      <c r="E29" s="660" t="str">
        <f ca="1">IF(ROWS($1:16)&gt;COUNT(Dong12),"",OFFSET(TH!H$1,SMALL(Dong12,ROWS($1:16)),))</f>
        <v/>
      </c>
      <c r="F29" s="402" t="str">
        <f t="shared" ca="1" si="0"/>
        <v/>
      </c>
      <c r="G29" s="403">
        <f ca="1">IF(ROWS($1:16)&gt;COUNT(Dong12),0,IF(MID(OFFSET(TH!D$1,SMALL(Dong12,ROWS($1:16)),),4,1)="N",OFFSET(TH!I$1,SMALL(Dong12,ROWS($1:16)),),0))</f>
        <v>0</v>
      </c>
      <c r="H29" s="403">
        <f ca="1">IF(ROWS($1:16)&gt;COUNT(Dong12),0,IF(MID(OFFSET(TH!D$1,SMALL(Dong12,ROWS($1:16)),),4,1)="X",OFFSET(TH!I$1,SMALL(Dong12,ROWS($1:16)),),0))</f>
        <v>0</v>
      </c>
      <c r="I29" s="404">
        <f t="shared" ca="1" si="1"/>
        <v>0</v>
      </c>
      <c r="J29" s="405"/>
      <c r="K29" s="406"/>
    </row>
    <row r="30" spans="1:11" ht="16.5" customHeight="1">
      <c r="A30" s="407" t="str">
        <f t="shared" ca="1" si="2"/>
        <v/>
      </c>
      <c r="B30" s="402" t="str">
        <f ca="1">IF(ROWS($1:17)&gt;COUNT(Dong12),"",OFFSET(TH!E$1,SMALL(Dong12,ROWS($1:17)),))</f>
        <v/>
      </c>
      <c r="C30" s="457" t="str">
        <f ca="1">IF(ROWS($1:17)&gt;COUNT(Dong12),"",IF(MID(OFFSET(TH!D$1,SMALL(Dong12,ROWS($1:17)),),4,1)="N",OFFSET(TH!D$1,SMALL(Dong12,ROWS($1:17)),),""))</f>
        <v/>
      </c>
      <c r="D30" s="402" t="str">
        <f ca="1">IF(ROWS($1:17)&gt;COUNT(Dong12),"",IF(MID(OFFSET(TH!D$1,SMALL(Dong12,ROWS($1:17)),),4,1)="X",OFFSET(TH!D$1,SMALL(Dong12,ROWS($1:17)),),""))</f>
        <v/>
      </c>
      <c r="E30" s="660" t="str">
        <f ca="1">IF(ROWS($1:17)&gt;COUNT(Dong12),"",OFFSET(TH!H$1,SMALL(Dong12,ROWS($1:17)),))</f>
        <v/>
      </c>
      <c r="F30" s="402" t="str">
        <f t="shared" ca="1" si="0"/>
        <v/>
      </c>
      <c r="G30" s="403">
        <f ca="1">IF(ROWS($1:17)&gt;COUNT(Dong12),0,IF(MID(OFFSET(TH!D$1,SMALL(Dong12,ROWS($1:17)),),4,1)="N",OFFSET(TH!I$1,SMALL(Dong12,ROWS($1:17)),),0))</f>
        <v>0</v>
      </c>
      <c r="H30" s="403">
        <f ca="1">IF(ROWS($1:17)&gt;COUNT(Dong12),0,IF(MID(OFFSET(TH!D$1,SMALL(Dong12,ROWS($1:17)),),4,1)="X",OFFSET(TH!I$1,SMALL(Dong12,ROWS($1:17)),),0))</f>
        <v>0</v>
      </c>
      <c r="I30" s="404">
        <f t="shared" ca="1" si="1"/>
        <v>0</v>
      </c>
      <c r="J30" s="405"/>
      <c r="K30" s="406"/>
    </row>
    <row r="31" spans="1:11" ht="16.5" customHeight="1">
      <c r="A31" s="408" t="str">
        <f>IF(D31&lt;&gt;"",A21+1,"")</f>
        <v/>
      </c>
      <c r="B31" s="409"/>
      <c r="C31" s="410"/>
      <c r="D31" s="410"/>
      <c r="E31" s="661"/>
      <c r="F31" s="409"/>
      <c r="G31" s="411"/>
      <c r="H31" s="411"/>
      <c r="I31" s="411"/>
      <c r="J31" s="412"/>
      <c r="K31" s="406"/>
    </row>
    <row r="32" spans="1:11" ht="16.5" customHeight="1">
      <c r="A32" s="396"/>
      <c r="B32" s="413"/>
      <c r="C32" s="396"/>
      <c r="D32" s="396"/>
      <c r="E32" s="397" t="s">
        <v>234</v>
      </c>
      <c r="F32" s="414" t="s">
        <v>19</v>
      </c>
      <c r="G32" s="415">
        <f ca="1">SUM(G14:G31)</f>
        <v>50</v>
      </c>
      <c r="H32" s="415">
        <f ca="1">SUM(H14:H31)</f>
        <v>100</v>
      </c>
      <c r="I32" s="415">
        <f ca="1">I13+G32-H32</f>
        <v>0</v>
      </c>
      <c r="J32" s="396" t="s">
        <v>19</v>
      </c>
      <c r="K32" s="416"/>
    </row>
    <row r="33" spans="1:11" ht="12.75" customHeight="1">
      <c r="A33" s="417"/>
      <c r="B33" s="375"/>
      <c r="C33" s="417"/>
      <c r="D33" s="417"/>
      <c r="E33" s="381"/>
      <c r="F33" s="375"/>
      <c r="G33" s="382"/>
      <c r="H33" s="382"/>
      <c r="I33" s="382"/>
      <c r="J33" s="371"/>
      <c r="K33" s="371"/>
    </row>
    <row r="34" spans="1:11" ht="15">
      <c r="A34" s="418" t="s">
        <v>235</v>
      </c>
      <c r="B34" s="418"/>
      <c r="C34" s="419"/>
      <c r="D34" s="419"/>
      <c r="E34" s="381"/>
      <c r="F34" s="375"/>
      <c r="G34" s="382"/>
      <c r="H34" s="382"/>
      <c r="I34" s="382"/>
      <c r="J34" s="371"/>
      <c r="K34" s="371"/>
    </row>
    <row r="35" spans="1:11" ht="15">
      <c r="A35" s="102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26"/>
      <c r="C35" s="1026"/>
      <c r="D35" s="1026"/>
      <c r="E35" s="1026"/>
      <c r="F35" s="375"/>
      <c r="G35" s="382"/>
      <c r="H35" s="382"/>
      <c r="I35" s="382"/>
      <c r="J35" s="371"/>
      <c r="K35" s="371"/>
    </row>
    <row r="36" spans="1:11" ht="15">
      <c r="A36" s="420"/>
      <c r="B36" s="421"/>
      <c r="C36" s="422"/>
      <c r="D36" s="417"/>
      <c r="E36" s="381"/>
      <c r="F36" s="375"/>
      <c r="H36" s="303"/>
      <c r="I36" s="552" t="str">
        <f ca="1">"Ngày 31 tháng  12  năm  "&amp;YEAR($B$14)</f>
        <v>Ngày 31 tháng  12  năm  2013</v>
      </c>
      <c r="J36" s="303"/>
      <c r="K36" s="304"/>
    </row>
    <row r="37" spans="1:11" ht="15" customHeight="1">
      <c r="A37" s="420"/>
      <c r="C37" s="423" t="s">
        <v>236</v>
      </c>
      <c r="D37" s="417"/>
      <c r="E37" s="1027" t="s">
        <v>12</v>
      </c>
      <c r="F37" s="1027"/>
      <c r="G37" s="382"/>
      <c r="I37" s="584" t="s">
        <v>107</v>
      </c>
      <c r="J37" s="373"/>
      <c r="K37" s="420"/>
    </row>
    <row r="38" spans="1:11" ht="15" customHeight="1">
      <c r="A38" s="424"/>
      <c r="C38" s="425" t="s">
        <v>13</v>
      </c>
      <c r="D38" s="426"/>
      <c r="E38" s="1021" t="s">
        <v>13</v>
      </c>
      <c r="F38" s="1021"/>
      <c r="G38" s="382"/>
      <c r="I38" s="585" t="s">
        <v>134</v>
      </c>
      <c r="J38" s="583"/>
      <c r="K38" s="424"/>
    </row>
    <row r="39" spans="1:11" ht="15">
      <c r="A39" s="424"/>
      <c r="C39" s="425"/>
      <c r="D39" s="417"/>
      <c r="E39" s="427"/>
      <c r="F39" s="428"/>
      <c r="G39" s="382"/>
      <c r="H39" s="424"/>
      <c r="I39" s="424"/>
      <c r="J39" s="424"/>
      <c r="K39" s="424"/>
    </row>
    <row r="40" spans="1:11" ht="15">
      <c r="A40" s="424"/>
      <c r="B40" s="425"/>
      <c r="C40" s="424"/>
      <c r="D40" s="417"/>
      <c r="E40" s="427"/>
      <c r="F40" s="428"/>
      <c r="G40" s="382"/>
      <c r="H40" s="424"/>
      <c r="I40" s="424"/>
      <c r="J40" s="424"/>
      <c r="K40" s="424"/>
    </row>
    <row r="41" spans="1:11" ht="15">
      <c r="A41" s="424"/>
      <c r="B41" s="425"/>
      <c r="C41" s="424"/>
      <c r="D41" s="417"/>
      <c r="E41" s="427"/>
      <c r="F41" s="428"/>
      <c r="G41" s="382"/>
      <c r="H41" s="424"/>
      <c r="I41" s="424"/>
      <c r="J41" s="424"/>
      <c r="K41" s="424"/>
    </row>
    <row r="46" spans="1:11" ht="15">
      <c r="C46" s="586" t="s">
        <v>327</v>
      </c>
      <c r="H46" s="582"/>
      <c r="I46" s="581" t="s">
        <v>101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16" customWidth="1"/>
    <col min="2" max="2" width="23.140625" style="716" customWidth="1"/>
    <col min="3" max="3" width="12.140625" style="716" customWidth="1"/>
    <col min="4" max="4" width="11" style="716" customWidth="1"/>
    <col min="5" max="5" width="9.7109375" style="716" customWidth="1"/>
    <col min="6" max="6" width="11.140625" style="716" customWidth="1"/>
    <col min="7" max="7" width="10.85546875" style="716" customWidth="1"/>
    <col min="8" max="8" width="12" style="716" customWidth="1"/>
    <col min="9" max="10" width="7.42578125" style="716" customWidth="1"/>
    <col min="11" max="11" width="2.42578125" style="727" customWidth="1"/>
    <col min="12" max="12" width="23" style="716" customWidth="1"/>
    <col min="13" max="13" width="10.140625" style="728" customWidth="1"/>
    <col min="14" max="14" width="7.7109375" style="728" customWidth="1"/>
    <col min="15" max="15" width="7.7109375" style="729" customWidth="1"/>
    <col min="16" max="16" width="7" style="773" customWidth="1"/>
    <col min="17" max="17" width="7.5703125" style="286" customWidth="1"/>
    <col min="18" max="18" width="12.42578125" style="716" customWidth="1"/>
    <col min="19" max="19" width="15.85546875" style="716" customWidth="1"/>
    <col min="20" max="20" width="8.28515625" style="728" customWidth="1"/>
    <col min="21" max="21" width="7.5703125" style="286" customWidth="1"/>
    <col min="22" max="22" width="9" style="286" customWidth="1"/>
    <col min="23" max="23" width="9.7109375" style="716" customWidth="1"/>
    <col min="24" max="24" width="10.28515625" style="716" customWidth="1"/>
    <col min="25" max="16384" width="10.28515625" style="716"/>
  </cols>
  <sheetData>
    <row r="1" spans="1:25">
      <c r="B1" s="716">
        <v>1</v>
      </c>
      <c r="C1" s="716">
        <v>5</v>
      </c>
      <c r="D1" s="716">
        <v>6</v>
      </c>
      <c r="E1" s="716">
        <v>7</v>
      </c>
      <c r="F1" s="716">
        <v>8</v>
      </c>
      <c r="G1" s="716">
        <v>10</v>
      </c>
      <c r="H1" s="716">
        <v>13</v>
      </c>
      <c r="I1" s="716">
        <v>14</v>
      </c>
      <c r="J1" s="716">
        <v>15</v>
      </c>
    </row>
    <row r="2" spans="1:25" ht="18" hidden="1" customHeight="1">
      <c r="A2" s="565" t="str">
        <f>TH!$A$1</f>
        <v>Đơn vị: CÔNG TY TNHH SX TM KIM DUNG PHÁT</v>
      </c>
      <c r="B2" s="717"/>
      <c r="C2" s="286"/>
      <c r="D2" s="286"/>
      <c r="E2" s="286"/>
      <c r="F2" s="286"/>
      <c r="G2" s="286"/>
      <c r="H2" s="286"/>
      <c r="I2" s="593"/>
      <c r="J2" s="286"/>
      <c r="K2" s="730"/>
      <c r="L2" s="286"/>
      <c r="M2" s="711"/>
      <c r="N2" s="711"/>
      <c r="S2" s="286"/>
      <c r="T2" s="711"/>
    </row>
    <row r="3" spans="1:25" ht="18.75" customHeight="1">
      <c r="A3" s="718" t="s">
        <v>1132</v>
      </c>
      <c r="B3" s="718"/>
      <c r="C3" s="718"/>
      <c r="D3" s="718"/>
      <c r="E3" s="718"/>
      <c r="F3" s="718"/>
      <c r="G3" s="718"/>
      <c r="H3" s="718"/>
      <c r="I3" s="718"/>
      <c r="J3" s="718"/>
      <c r="K3" s="730"/>
      <c r="L3" s="286"/>
      <c r="M3" s="711"/>
      <c r="N3" s="711"/>
      <c r="S3" s="286"/>
      <c r="T3" s="711"/>
    </row>
    <row r="4" spans="1:25" ht="12.75" customHeight="1">
      <c r="A4" s="766"/>
      <c r="B4" s="761"/>
      <c r="C4" s="761"/>
      <c r="D4" s="761"/>
      <c r="E4" s="761"/>
      <c r="F4" s="761"/>
      <c r="G4" s="761"/>
      <c r="H4" s="761"/>
      <c r="I4" s="731"/>
      <c r="J4" s="761"/>
      <c r="K4" s="730"/>
      <c r="L4" s="725"/>
      <c r="M4" s="766"/>
      <c r="N4" s="766"/>
      <c r="O4" s="766"/>
      <c r="P4" s="774"/>
      <c r="Q4" s="732"/>
      <c r="R4" s="766"/>
      <c r="S4" s="766"/>
      <c r="T4" s="766"/>
      <c r="U4" s="766"/>
      <c r="V4" s="766"/>
      <c r="W4" s="766"/>
      <c r="X4" s="725"/>
      <c r="Y4" s="725"/>
    </row>
    <row r="5" spans="1:25" s="440" customFormat="1" ht="30.75" customHeight="1">
      <c r="A5" s="784" t="s">
        <v>35</v>
      </c>
      <c r="B5" s="435" t="s">
        <v>237</v>
      </c>
      <c r="C5" s="436" t="s">
        <v>240</v>
      </c>
      <c r="D5" s="436" t="s">
        <v>435</v>
      </c>
      <c r="E5" s="436" t="s">
        <v>241</v>
      </c>
      <c r="F5" s="436" t="s">
        <v>428</v>
      </c>
      <c r="G5" s="437" t="s">
        <v>242</v>
      </c>
      <c r="H5" s="436" t="s">
        <v>243</v>
      </c>
      <c r="I5" s="438" t="s">
        <v>238</v>
      </c>
      <c r="J5" s="436" t="s">
        <v>244</v>
      </c>
      <c r="K5" s="439"/>
      <c r="L5" s="435" t="s">
        <v>237</v>
      </c>
      <c r="M5" s="436" t="s">
        <v>231</v>
      </c>
      <c r="N5" s="436"/>
      <c r="O5" s="436"/>
      <c r="P5" s="775" t="s">
        <v>196</v>
      </c>
      <c r="Q5" s="436" t="s">
        <v>239</v>
      </c>
      <c r="R5" s="436" t="s">
        <v>245</v>
      </c>
      <c r="S5" s="435" t="s">
        <v>237</v>
      </c>
      <c r="T5" s="436" t="s">
        <v>231</v>
      </c>
      <c r="U5" s="436" t="s">
        <v>196</v>
      </c>
      <c r="V5" s="436" t="s">
        <v>239</v>
      </c>
      <c r="W5" s="435" t="s">
        <v>245</v>
      </c>
    </row>
    <row r="6" spans="1:25" ht="12.75" customHeight="1">
      <c r="A6" s="719">
        <f>IF(B6&lt;&gt;"",ROW()-5,"")</f>
        <v>1</v>
      </c>
      <c r="B6" s="290" t="s">
        <v>690</v>
      </c>
      <c r="C6" s="25">
        <f>R6</f>
        <v>3376750</v>
      </c>
      <c r="D6" s="720">
        <f t="shared" ref="D6:G25" si="0">IF($I$56&lt;&gt;0,D$56/$I$56*$I6,0)</f>
        <v>709456.76855895191</v>
      </c>
      <c r="E6" s="720">
        <f t="shared" si="0"/>
        <v>51628.471615720518</v>
      </c>
      <c r="F6" s="720">
        <f t="shared" si="0"/>
        <v>304775.54585152841</v>
      </c>
      <c r="G6" s="720">
        <f t="shared" si="0"/>
        <v>576986.8995633187</v>
      </c>
      <c r="H6" s="25">
        <f t="shared" ref="H6:H37" si="1">SUM(C6:G6)</f>
        <v>5019597.6855895203</v>
      </c>
      <c r="I6" s="720">
        <v>905</v>
      </c>
      <c r="J6" s="720">
        <f>IF(I6&lt;&gt;"",H6/I6,"")</f>
        <v>5546.5167796569285</v>
      </c>
      <c r="K6" s="659"/>
      <c r="L6" s="801" t="s">
        <v>1153</v>
      </c>
      <c r="M6" s="733">
        <f>N6-1</f>
        <v>41275</v>
      </c>
      <c r="N6" s="733">
        <v>41276</v>
      </c>
      <c r="O6" s="734" t="s">
        <v>691</v>
      </c>
      <c r="P6" s="298">
        <v>250</v>
      </c>
      <c r="Q6" s="765">
        <v>13507</v>
      </c>
      <c r="R6" s="25">
        <f>ROUND(P6*Q6,0)</f>
        <v>3376750</v>
      </c>
      <c r="S6" s="441" t="s">
        <v>369</v>
      </c>
      <c r="T6" s="733">
        <v>41276</v>
      </c>
      <c r="U6" s="765">
        <v>25</v>
      </c>
      <c r="V6" s="765">
        <v>25000</v>
      </c>
      <c r="W6" s="25">
        <f>U6*V6</f>
        <v>625000</v>
      </c>
    </row>
    <row r="7" spans="1:25" ht="12.75" customHeight="1">
      <c r="A7" s="719">
        <f t="shared" ref="A7:A54" si="2">IF(B7&lt;&gt;"",ROW()-5,"")</f>
        <v>2</v>
      </c>
      <c r="B7" s="290" t="s">
        <v>692</v>
      </c>
      <c r="C7" s="25">
        <f t="shared" ref="C7:C49" si="3">R7</f>
        <v>1080560</v>
      </c>
      <c r="D7" s="720">
        <f t="shared" si="0"/>
        <v>239098.68995633186</v>
      </c>
      <c r="E7" s="720">
        <f t="shared" si="0"/>
        <v>17399.650655021833</v>
      </c>
      <c r="F7" s="720">
        <f t="shared" si="0"/>
        <v>102714.41048034935</v>
      </c>
      <c r="G7" s="720">
        <f t="shared" si="0"/>
        <v>194454.14847161571</v>
      </c>
      <c r="H7" s="25">
        <f t="shared" si="1"/>
        <v>1634226.8995633188</v>
      </c>
      <c r="I7" s="720">
        <v>305</v>
      </c>
      <c r="J7" s="720">
        <f t="shared" ref="J7:J49" si="4">IF(I7&lt;&gt;"",H7/I7,"")</f>
        <v>5358.1209821748162</v>
      </c>
      <c r="K7" s="659"/>
      <c r="L7" s="801" t="s">
        <v>1153</v>
      </c>
      <c r="M7" s="733">
        <f>N7-1</f>
        <v>41275</v>
      </c>
      <c r="N7" s="735">
        <v>41276</v>
      </c>
      <c r="O7" s="736" t="s">
        <v>691</v>
      </c>
      <c r="P7" s="298">
        <v>80</v>
      </c>
      <c r="Q7" s="765">
        <v>13507</v>
      </c>
      <c r="R7" s="8">
        <f t="shared" ref="R7:R54" si="5">ROUND(P7*Q7,0)</f>
        <v>1080560</v>
      </c>
      <c r="S7" s="442" t="s">
        <v>342</v>
      </c>
      <c r="T7" s="733">
        <v>41276</v>
      </c>
      <c r="U7" s="763">
        <v>24</v>
      </c>
      <c r="V7" s="763">
        <v>42000</v>
      </c>
      <c r="W7" s="8">
        <f t="shared" ref="W7" si="6">U7*V7</f>
        <v>1008000</v>
      </c>
    </row>
    <row r="8" spans="1:25" ht="12.75" customHeight="1">
      <c r="A8" s="719">
        <f t="shared" si="2"/>
        <v>3</v>
      </c>
      <c r="B8" s="290" t="s">
        <v>694</v>
      </c>
      <c r="C8" s="25">
        <f t="shared" si="3"/>
        <v>4337550</v>
      </c>
      <c r="D8" s="720">
        <f t="shared" si="0"/>
        <v>376286.46288209606</v>
      </c>
      <c r="E8" s="720">
        <f t="shared" si="0"/>
        <v>27383.056768558952</v>
      </c>
      <c r="F8" s="720">
        <f t="shared" si="0"/>
        <v>161648.90829694323</v>
      </c>
      <c r="G8" s="720">
        <f t="shared" si="0"/>
        <v>306026.20087336242</v>
      </c>
      <c r="H8" s="25">
        <f t="shared" si="1"/>
        <v>5208894.6288209613</v>
      </c>
      <c r="I8" s="720">
        <v>480</v>
      </c>
      <c r="J8" s="720">
        <f t="shared" si="4"/>
        <v>10851.863810043669</v>
      </c>
      <c r="K8" s="659"/>
      <c r="L8" s="801" t="s">
        <v>1154</v>
      </c>
      <c r="M8" s="735">
        <f>N8-3</f>
        <v>41279</v>
      </c>
      <c r="N8" s="843">
        <v>41282</v>
      </c>
      <c r="O8" s="738" t="s">
        <v>695</v>
      </c>
      <c r="P8" s="776">
        <v>510</v>
      </c>
      <c r="Q8" s="764">
        <v>8505</v>
      </c>
      <c r="R8" s="8">
        <f t="shared" si="5"/>
        <v>4337550</v>
      </c>
      <c r="S8" s="502"/>
      <c r="T8" s="735"/>
      <c r="U8" s="764"/>
      <c r="V8" s="764"/>
      <c r="W8" s="8"/>
    </row>
    <row r="9" spans="1:25" ht="12.75" customHeight="1">
      <c r="A9" s="719">
        <f t="shared" si="2"/>
        <v>4</v>
      </c>
      <c r="B9" s="290" t="s">
        <v>697</v>
      </c>
      <c r="C9" s="25">
        <f t="shared" si="3"/>
        <v>1018000</v>
      </c>
      <c r="D9" s="720">
        <f t="shared" si="0"/>
        <v>156002.096069869</v>
      </c>
      <c r="E9" s="720">
        <f t="shared" si="0"/>
        <v>11352.558951965066</v>
      </c>
      <c r="F9" s="720">
        <f t="shared" si="0"/>
        <v>67016.943231441051</v>
      </c>
      <c r="G9" s="720">
        <f t="shared" si="0"/>
        <v>126873.36244541484</v>
      </c>
      <c r="H9" s="25">
        <f t="shared" si="1"/>
        <v>1379244.96069869</v>
      </c>
      <c r="I9" s="720">
        <v>199</v>
      </c>
      <c r="J9" s="720">
        <f t="shared" si="4"/>
        <v>6930.8791994909043</v>
      </c>
      <c r="K9" s="659"/>
      <c r="L9" s="801" t="s">
        <v>1244</v>
      </c>
      <c r="M9" s="735">
        <f t="shared" ref="M9:M54" si="7">N9-3</f>
        <v>41279</v>
      </c>
      <c r="N9" s="843">
        <v>41282</v>
      </c>
      <c r="O9" s="738" t="s">
        <v>695</v>
      </c>
      <c r="P9" s="776">
        <v>100</v>
      </c>
      <c r="Q9" s="764">
        <v>10180</v>
      </c>
      <c r="R9" s="8">
        <f t="shared" si="5"/>
        <v>1018000</v>
      </c>
      <c r="S9" s="502"/>
      <c r="T9" s="735"/>
      <c r="U9" s="764"/>
      <c r="V9" s="764"/>
      <c r="W9" s="8"/>
    </row>
    <row r="10" spans="1:25" ht="12.75" customHeight="1">
      <c r="A10" s="719">
        <f t="shared" si="2"/>
        <v>5</v>
      </c>
      <c r="B10" s="290" t="s">
        <v>698</v>
      </c>
      <c r="C10" s="25">
        <f t="shared" si="3"/>
        <v>6249880</v>
      </c>
      <c r="D10" s="720">
        <f t="shared" si="0"/>
        <v>777658.68995633186</v>
      </c>
      <c r="E10" s="720">
        <f t="shared" si="0"/>
        <v>56591.650655021833</v>
      </c>
      <c r="F10" s="720">
        <f t="shared" si="0"/>
        <v>334074.41048034938</v>
      </c>
      <c r="G10" s="720">
        <f t="shared" si="0"/>
        <v>632454.14847161574</v>
      </c>
      <c r="H10" s="25">
        <f t="shared" si="1"/>
        <v>8050658.8995633181</v>
      </c>
      <c r="I10" s="720">
        <v>992</v>
      </c>
      <c r="J10" s="720">
        <f t="shared" si="4"/>
        <v>8115.5835681081835</v>
      </c>
      <c r="K10" s="659"/>
      <c r="L10" s="801" t="s">
        <v>1212</v>
      </c>
      <c r="M10" s="735">
        <f t="shared" si="7"/>
        <v>41281</v>
      </c>
      <c r="N10" s="843">
        <v>41284</v>
      </c>
      <c r="O10" s="738" t="s">
        <v>699</v>
      </c>
      <c r="P10" s="776">
        <v>280</v>
      </c>
      <c r="Q10" s="764">
        <v>22321</v>
      </c>
      <c r="R10" s="8">
        <f t="shared" si="5"/>
        <v>6249880</v>
      </c>
      <c r="S10" s="502"/>
      <c r="T10" s="735"/>
      <c r="U10" s="764"/>
      <c r="V10" s="764"/>
      <c r="W10" s="8"/>
    </row>
    <row r="11" spans="1:25" ht="12.75" customHeight="1">
      <c r="A11" s="719">
        <f t="shared" si="2"/>
        <v>6</v>
      </c>
      <c r="B11" s="290" t="s">
        <v>700</v>
      </c>
      <c r="C11" s="25">
        <f t="shared" si="3"/>
        <v>1018000</v>
      </c>
      <c r="D11" s="720">
        <f t="shared" si="0"/>
        <v>158353.8864628821</v>
      </c>
      <c r="E11" s="720">
        <f t="shared" si="0"/>
        <v>11523.703056768558</v>
      </c>
      <c r="F11" s="720">
        <f t="shared" si="0"/>
        <v>68027.24890829694</v>
      </c>
      <c r="G11" s="720">
        <f t="shared" si="0"/>
        <v>128786.02620087336</v>
      </c>
      <c r="H11" s="25">
        <f t="shared" si="1"/>
        <v>1384690.8646288209</v>
      </c>
      <c r="I11" s="720">
        <v>202</v>
      </c>
      <c r="J11" s="720">
        <f t="shared" si="4"/>
        <v>6854.9052704397072</v>
      </c>
      <c r="K11" s="659"/>
      <c r="L11" s="801" t="s">
        <v>1244</v>
      </c>
      <c r="M11" s="735">
        <f t="shared" si="7"/>
        <v>41282</v>
      </c>
      <c r="N11" s="843">
        <v>41285</v>
      </c>
      <c r="O11" s="738" t="s">
        <v>701</v>
      </c>
      <c r="P11" s="776">
        <v>100</v>
      </c>
      <c r="Q11" s="764">
        <v>10180</v>
      </c>
      <c r="R11" s="8">
        <f t="shared" si="5"/>
        <v>1018000</v>
      </c>
      <c r="S11" s="502"/>
      <c r="T11" s="735"/>
      <c r="U11" s="764"/>
      <c r="V11" s="764"/>
      <c r="W11" s="8"/>
    </row>
    <row r="12" spans="1:25" ht="12.75" customHeight="1">
      <c r="A12" s="719">
        <f t="shared" si="2"/>
        <v>7</v>
      </c>
      <c r="B12" s="290" t="s">
        <v>702</v>
      </c>
      <c r="C12" s="25">
        <f t="shared" si="3"/>
        <v>1281400</v>
      </c>
      <c r="D12" s="720">
        <f t="shared" si="0"/>
        <v>159921.74672489084</v>
      </c>
      <c r="E12" s="720">
        <f t="shared" si="0"/>
        <v>11637.799126637554</v>
      </c>
      <c r="F12" s="720">
        <f t="shared" si="0"/>
        <v>68700.786026200876</v>
      </c>
      <c r="G12" s="720">
        <f t="shared" si="0"/>
        <v>130061.13537117903</v>
      </c>
      <c r="H12" s="25">
        <f t="shared" si="1"/>
        <v>1651721.4672489085</v>
      </c>
      <c r="I12" s="720">
        <v>204</v>
      </c>
      <c r="J12" s="720">
        <f t="shared" si="4"/>
        <v>8096.6738590632767</v>
      </c>
      <c r="K12" s="659"/>
      <c r="L12" s="801" t="s">
        <v>1183</v>
      </c>
      <c r="M12" s="735">
        <f t="shared" si="7"/>
        <v>41282</v>
      </c>
      <c r="N12" s="843">
        <v>41285</v>
      </c>
      <c r="O12" s="738" t="s">
        <v>701</v>
      </c>
      <c r="P12" s="776">
        <v>100</v>
      </c>
      <c r="Q12" s="764">
        <v>12814</v>
      </c>
      <c r="R12" s="8">
        <f t="shared" si="5"/>
        <v>1281400</v>
      </c>
      <c r="S12" s="502"/>
      <c r="T12" s="735"/>
      <c r="U12" s="764"/>
      <c r="V12" s="764"/>
      <c r="W12" s="8"/>
    </row>
    <row r="13" spans="1:25" ht="12.75" customHeight="1">
      <c r="A13" s="719">
        <f t="shared" si="2"/>
        <v>8</v>
      </c>
      <c r="B13" s="290" t="s">
        <v>703</v>
      </c>
      <c r="C13" s="25">
        <f t="shared" si="3"/>
        <v>53408</v>
      </c>
      <c r="D13" s="720">
        <f t="shared" si="0"/>
        <v>399804.36681222706</v>
      </c>
      <c r="E13" s="720">
        <f t="shared" si="0"/>
        <v>29094.497816593885</v>
      </c>
      <c r="F13" s="720">
        <f t="shared" si="0"/>
        <v>171751.96506550218</v>
      </c>
      <c r="G13" s="720">
        <f t="shared" si="0"/>
        <v>325152.8384279476</v>
      </c>
      <c r="H13" s="25">
        <f t="shared" si="1"/>
        <v>979211.66812227073</v>
      </c>
      <c r="I13" s="720">
        <v>510</v>
      </c>
      <c r="J13" s="720">
        <f t="shared" si="4"/>
        <v>1920.0228786711191</v>
      </c>
      <c r="K13" s="659"/>
      <c r="L13" s="801" t="s">
        <v>1151</v>
      </c>
      <c r="M13" s="735">
        <f t="shared" si="7"/>
        <v>41282</v>
      </c>
      <c r="N13" s="843">
        <v>41285</v>
      </c>
      <c r="O13" s="738" t="s">
        <v>701</v>
      </c>
      <c r="P13" s="776">
        <v>5</v>
      </c>
      <c r="Q13" s="764">
        <v>10681.539156626506</v>
      </c>
      <c r="R13" s="8">
        <f t="shared" si="5"/>
        <v>53408</v>
      </c>
      <c r="S13" s="502"/>
      <c r="T13" s="735"/>
      <c r="U13" s="764"/>
      <c r="V13" s="764"/>
      <c r="W13" s="8"/>
    </row>
    <row r="14" spans="1:25" ht="12.75" customHeight="1">
      <c r="A14" s="719">
        <f t="shared" si="2"/>
        <v>9</v>
      </c>
      <c r="B14" s="290" t="s">
        <v>704</v>
      </c>
      <c r="C14" s="25">
        <f t="shared" si="3"/>
        <v>53408</v>
      </c>
      <c r="D14" s="720">
        <f t="shared" si="0"/>
        <v>329250.65502183407</v>
      </c>
      <c r="E14" s="720">
        <f t="shared" si="0"/>
        <v>23960.17467248908</v>
      </c>
      <c r="F14" s="720">
        <f t="shared" si="0"/>
        <v>141442.79475982534</v>
      </c>
      <c r="G14" s="720">
        <f t="shared" si="0"/>
        <v>267772.92576419213</v>
      </c>
      <c r="H14" s="25">
        <f t="shared" si="1"/>
        <v>815834.55021834059</v>
      </c>
      <c r="I14" s="720">
        <v>420</v>
      </c>
      <c r="J14" s="720">
        <f t="shared" si="4"/>
        <v>1942.4632148055728</v>
      </c>
      <c r="K14" s="659"/>
      <c r="L14" s="801" t="s">
        <v>1151</v>
      </c>
      <c r="M14" s="735">
        <f t="shared" si="7"/>
        <v>41282</v>
      </c>
      <c r="N14" s="843">
        <v>41285</v>
      </c>
      <c r="O14" s="738" t="s">
        <v>701</v>
      </c>
      <c r="P14" s="776">
        <v>5</v>
      </c>
      <c r="Q14" s="764">
        <v>10681.539156626506</v>
      </c>
      <c r="R14" s="8">
        <f t="shared" si="5"/>
        <v>53408</v>
      </c>
      <c r="S14" s="502"/>
      <c r="T14" s="735"/>
      <c r="U14" s="764"/>
      <c r="V14" s="764"/>
      <c r="W14" s="8"/>
    </row>
    <row r="15" spans="1:25" ht="12.75" customHeight="1">
      <c r="A15" s="719">
        <f t="shared" si="2"/>
        <v>10</v>
      </c>
      <c r="B15" s="290" t="s">
        <v>705</v>
      </c>
      <c r="C15" s="25">
        <f t="shared" si="3"/>
        <v>53408</v>
      </c>
      <c r="D15" s="720">
        <f t="shared" si="0"/>
        <v>156786.02620087337</v>
      </c>
      <c r="E15" s="720">
        <f t="shared" si="0"/>
        <v>11409.606986899562</v>
      </c>
      <c r="F15" s="720">
        <f t="shared" si="0"/>
        <v>67353.711790393019</v>
      </c>
      <c r="G15" s="720">
        <f t="shared" si="0"/>
        <v>127510.91703056768</v>
      </c>
      <c r="H15" s="25">
        <f t="shared" si="1"/>
        <v>416468.26200873358</v>
      </c>
      <c r="I15" s="720">
        <v>200</v>
      </c>
      <c r="J15" s="720">
        <f t="shared" si="4"/>
        <v>2082.3413100436678</v>
      </c>
      <c r="K15" s="659"/>
      <c r="L15" s="801" t="s">
        <v>1151</v>
      </c>
      <c r="M15" s="735">
        <f t="shared" si="7"/>
        <v>41282</v>
      </c>
      <c r="N15" s="843">
        <v>41285</v>
      </c>
      <c r="O15" s="738" t="s">
        <v>701</v>
      </c>
      <c r="P15" s="776">
        <v>5</v>
      </c>
      <c r="Q15" s="764">
        <v>10681.539156626506</v>
      </c>
      <c r="R15" s="8">
        <f t="shared" si="5"/>
        <v>53408</v>
      </c>
      <c r="S15" s="502"/>
      <c r="T15" s="735"/>
      <c r="U15" s="764"/>
      <c r="V15" s="764"/>
      <c r="W15" s="8"/>
    </row>
    <row r="16" spans="1:25" ht="12.75" customHeight="1">
      <c r="A16" s="719">
        <f t="shared" si="2"/>
        <v>11</v>
      </c>
      <c r="B16" s="290" t="s">
        <v>706</v>
      </c>
      <c r="C16" s="25">
        <f t="shared" si="3"/>
        <v>53408</v>
      </c>
      <c r="D16" s="720">
        <f t="shared" si="0"/>
        <v>329250.65502183407</v>
      </c>
      <c r="E16" s="720">
        <f t="shared" si="0"/>
        <v>23960.17467248908</v>
      </c>
      <c r="F16" s="720">
        <f t="shared" si="0"/>
        <v>141442.79475982534</v>
      </c>
      <c r="G16" s="720">
        <f t="shared" si="0"/>
        <v>267772.92576419213</v>
      </c>
      <c r="H16" s="25">
        <f t="shared" si="1"/>
        <v>815834.55021834059</v>
      </c>
      <c r="I16" s="720">
        <v>420</v>
      </c>
      <c r="J16" s="720">
        <f t="shared" si="4"/>
        <v>1942.4632148055728</v>
      </c>
      <c r="K16" s="659"/>
      <c r="L16" s="801" t="s">
        <v>1151</v>
      </c>
      <c r="M16" s="735">
        <f t="shared" si="7"/>
        <v>41282</v>
      </c>
      <c r="N16" s="843">
        <v>41285</v>
      </c>
      <c r="O16" s="738" t="s">
        <v>701</v>
      </c>
      <c r="P16" s="776">
        <v>5</v>
      </c>
      <c r="Q16" s="764">
        <v>10681.539156626506</v>
      </c>
      <c r="R16" s="8">
        <f t="shared" si="5"/>
        <v>53408</v>
      </c>
      <c r="S16" s="502"/>
      <c r="T16" s="735"/>
      <c r="U16" s="764"/>
      <c r="V16" s="764"/>
      <c r="W16" s="8"/>
    </row>
    <row r="17" spans="1:23">
      <c r="A17" s="719">
        <f t="shared" si="2"/>
        <v>12</v>
      </c>
      <c r="B17" s="290" t="s">
        <v>707</v>
      </c>
      <c r="C17" s="25">
        <f t="shared" si="3"/>
        <v>453600</v>
      </c>
      <c r="D17" s="720">
        <f t="shared" si="0"/>
        <v>40764.366812227076</v>
      </c>
      <c r="E17" s="720">
        <f t="shared" si="0"/>
        <v>2966.4978165938865</v>
      </c>
      <c r="F17" s="720">
        <f t="shared" si="0"/>
        <v>17511.965065502183</v>
      </c>
      <c r="G17" s="720">
        <f t="shared" si="0"/>
        <v>33152.838427947594</v>
      </c>
      <c r="H17" s="25">
        <f t="shared" si="1"/>
        <v>547995.66812227073</v>
      </c>
      <c r="I17" s="720">
        <v>52</v>
      </c>
      <c r="J17" s="720">
        <f t="shared" si="4"/>
        <v>10538.378233120591</v>
      </c>
      <c r="K17" s="659"/>
      <c r="L17" s="801" t="s">
        <v>1156</v>
      </c>
      <c r="M17" s="735">
        <f t="shared" si="7"/>
        <v>41282</v>
      </c>
      <c r="N17" s="843">
        <v>41285</v>
      </c>
      <c r="O17" s="738" t="s">
        <v>701</v>
      </c>
      <c r="P17" s="776">
        <v>30</v>
      </c>
      <c r="Q17" s="764">
        <v>15120</v>
      </c>
      <c r="R17" s="8">
        <f t="shared" si="5"/>
        <v>453600</v>
      </c>
      <c r="S17" s="502"/>
      <c r="T17" s="735"/>
      <c r="U17" s="764"/>
      <c r="V17" s="764"/>
      <c r="W17" s="8"/>
    </row>
    <row r="18" spans="1:23" ht="12.75" customHeight="1">
      <c r="A18" s="719">
        <f t="shared" si="2"/>
        <v>13</v>
      </c>
      <c r="B18" s="290" t="s">
        <v>708</v>
      </c>
      <c r="C18" s="25">
        <f t="shared" si="3"/>
        <v>4525500</v>
      </c>
      <c r="D18" s="720">
        <f t="shared" si="0"/>
        <v>642822.70742358081</v>
      </c>
      <c r="E18" s="720">
        <f t="shared" si="0"/>
        <v>46779.388646288207</v>
      </c>
      <c r="F18" s="720">
        <f t="shared" si="0"/>
        <v>276150.21834061138</v>
      </c>
      <c r="G18" s="720">
        <f t="shared" si="0"/>
        <v>522794.75982532749</v>
      </c>
      <c r="H18" s="25">
        <f t="shared" si="1"/>
        <v>6014047.0742358072</v>
      </c>
      <c r="I18" s="720">
        <v>820</v>
      </c>
      <c r="J18" s="720">
        <f t="shared" si="4"/>
        <v>7334.2037490680577</v>
      </c>
      <c r="K18" s="659"/>
      <c r="L18" s="801" t="s">
        <v>1191</v>
      </c>
      <c r="M18" s="735">
        <f t="shared" si="7"/>
        <v>41285</v>
      </c>
      <c r="N18" s="843">
        <v>41288</v>
      </c>
      <c r="O18" s="738" t="s">
        <v>709</v>
      </c>
      <c r="P18" s="776">
        <v>420</v>
      </c>
      <c r="Q18" s="764">
        <v>10775</v>
      </c>
      <c r="R18" s="8">
        <f t="shared" si="5"/>
        <v>4525500</v>
      </c>
      <c r="S18" s="502"/>
      <c r="T18" s="735"/>
      <c r="U18" s="764"/>
      <c r="V18" s="764"/>
      <c r="W18" s="8"/>
    </row>
    <row r="19" spans="1:23" ht="12.75" customHeight="1">
      <c r="A19" s="719">
        <f t="shared" si="2"/>
        <v>14</v>
      </c>
      <c r="B19" s="290" t="s">
        <v>711</v>
      </c>
      <c r="C19" s="25">
        <f t="shared" si="3"/>
        <v>6332700</v>
      </c>
      <c r="D19" s="720">
        <f t="shared" si="0"/>
        <v>214796.8558951965</v>
      </c>
      <c r="E19" s="720">
        <f t="shared" si="0"/>
        <v>15631.161572052401</v>
      </c>
      <c r="F19" s="720">
        <f t="shared" si="0"/>
        <v>92274.585152838437</v>
      </c>
      <c r="G19" s="720">
        <f t="shared" si="0"/>
        <v>174689.95633187771</v>
      </c>
      <c r="H19" s="25">
        <f t="shared" si="1"/>
        <v>6830092.5589519646</v>
      </c>
      <c r="I19" s="720">
        <v>274</v>
      </c>
      <c r="J19" s="720">
        <f t="shared" si="4"/>
        <v>24927.345105664106</v>
      </c>
      <c r="K19" s="659"/>
      <c r="L19" s="801" t="s">
        <v>1219</v>
      </c>
      <c r="M19" s="735">
        <f t="shared" si="7"/>
        <v>41287</v>
      </c>
      <c r="N19" s="843">
        <v>41290</v>
      </c>
      <c r="O19" s="738" t="s">
        <v>712</v>
      </c>
      <c r="P19" s="776">
        <v>275</v>
      </c>
      <c r="Q19" s="764">
        <v>23028</v>
      </c>
      <c r="R19" s="8">
        <f t="shared" si="5"/>
        <v>6332700</v>
      </c>
      <c r="S19" s="502"/>
      <c r="T19" s="735"/>
      <c r="U19" s="764"/>
      <c r="V19" s="764"/>
      <c r="W19" s="8"/>
    </row>
    <row r="20" spans="1:23" ht="12.75" customHeight="1">
      <c r="A20" s="719">
        <f t="shared" si="2"/>
        <v>15</v>
      </c>
      <c r="B20" s="290" t="s">
        <v>714</v>
      </c>
      <c r="C20" s="25">
        <f t="shared" si="3"/>
        <v>2791440</v>
      </c>
      <c r="D20" s="720">
        <f t="shared" si="0"/>
        <v>88584.10480349345</v>
      </c>
      <c r="E20" s="720">
        <f t="shared" si="0"/>
        <v>6446.427947598253</v>
      </c>
      <c r="F20" s="720">
        <f t="shared" si="0"/>
        <v>38054.847161572055</v>
      </c>
      <c r="G20" s="720">
        <f t="shared" si="0"/>
        <v>72043.668122270741</v>
      </c>
      <c r="H20" s="25">
        <f t="shared" si="1"/>
        <v>2996569.0480349339</v>
      </c>
      <c r="I20" s="720">
        <v>113</v>
      </c>
      <c r="J20" s="720">
        <f t="shared" si="4"/>
        <v>26518.310159601184</v>
      </c>
      <c r="K20" s="659"/>
      <c r="L20" s="801" t="s">
        <v>1178</v>
      </c>
      <c r="M20" s="735">
        <f t="shared" si="7"/>
        <v>41289</v>
      </c>
      <c r="N20" s="843">
        <v>41292</v>
      </c>
      <c r="O20" s="738" t="s">
        <v>715</v>
      </c>
      <c r="P20" s="776">
        <v>120</v>
      </c>
      <c r="Q20" s="764">
        <v>23262</v>
      </c>
      <c r="R20" s="8">
        <f t="shared" si="5"/>
        <v>2791440</v>
      </c>
      <c r="S20" s="502"/>
      <c r="T20" s="735"/>
      <c r="U20" s="764"/>
      <c r="V20" s="764"/>
      <c r="W20" s="8"/>
    </row>
    <row r="21" spans="1:23" ht="12.75" customHeight="1">
      <c r="A21" s="719">
        <f t="shared" si="2"/>
        <v>16</v>
      </c>
      <c r="B21" s="290" t="s">
        <v>716</v>
      </c>
      <c r="C21" s="25">
        <f t="shared" si="3"/>
        <v>4478800</v>
      </c>
      <c r="D21" s="720">
        <f t="shared" si="0"/>
        <v>1034003.8427947598</v>
      </c>
      <c r="E21" s="720">
        <f t="shared" si="0"/>
        <v>75246.358078602614</v>
      </c>
      <c r="F21" s="720">
        <f t="shared" si="0"/>
        <v>444197.72925764194</v>
      </c>
      <c r="G21" s="720">
        <f t="shared" si="0"/>
        <v>840934.49781659385</v>
      </c>
      <c r="H21" s="25">
        <f t="shared" si="1"/>
        <v>6873182.4279475994</v>
      </c>
      <c r="I21" s="720">
        <v>1319</v>
      </c>
      <c r="J21" s="720">
        <f t="shared" si="4"/>
        <v>5210.9040393840787</v>
      </c>
      <c r="K21" s="659"/>
      <c r="L21" s="186" t="s">
        <v>650</v>
      </c>
      <c r="M21" s="735">
        <f t="shared" si="7"/>
        <v>41289</v>
      </c>
      <c r="N21" s="843">
        <v>41292</v>
      </c>
      <c r="O21" s="738" t="s">
        <v>717</v>
      </c>
      <c r="P21" s="776">
        <v>400</v>
      </c>
      <c r="Q21" s="764">
        <v>11197</v>
      </c>
      <c r="R21" s="8">
        <f t="shared" si="5"/>
        <v>4478800</v>
      </c>
      <c r="S21" s="502"/>
      <c r="T21" s="735"/>
      <c r="U21" s="764"/>
      <c r="V21" s="764"/>
      <c r="W21" s="8"/>
    </row>
    <row r="22" spans="1:23" ht="12.75" customHeight="1">
      <c r="A22" s="719">
        <f t="shared" si="2"/>
        <v>17</v>
      </c>
      <c r="B22" s="290" t="s">
        <v>718</v>
      </c>
      <c r="C22" s="25">
        <f t="shared" si="3"/>
        <v>1188900</v>
      </c>
      <c r="D22" s="720">
        <f t="shared" si="0"/>
        <v>239882.62008733622</v>
      </c>
      <c r="E22" s="720">
        <f t="shared" si="0"/>
        <v>17456.698689956331</v>
      </c>
      <c r="F22" s="720">
        <f t="shared" si="0"/>
        <v>103051.17903930131</v>
      </c>
      <c r="G22" s="720">
        <f t="shared" si="0"/>
        <v>195091.70305676854</v>
      </c>
      <c r="H22" s="25">
        <f t="shared" si="1"/>
        <v>1744382.2008733624</v>
      </c>
      <c r="I22" s="720">
        <v>306</v>
      </c>
      <c r="J22" s="720">
        <f t="shared" si="4"/>
        <v>5700.5954276907269</v>
      </c>
      <c r="K22" s="659"/>
      <c r="L22" s="801" t="s">
        <v>1169</v>
      </c>
      <c r="M22" s="735">
        <f t="shared" si="7"/>
        <v>41289</v>
      </c>
      <c r="N22" s="843">
        <v>41292</v>
      </c>
      <c r="O22" s="738" t="s">
        <v>717</v>
      </c>
      <c r="P22" s="776">
        <v>100</v>
      </c>
      <c r="Q22" s="764">
        <v>11889</v>
      </c>
      <c r="R22" s="8">
        <f t="shared" si="5"/>
        <v>1188900</v>
      </c>
      <c r="S22" s="502"/>
      <c r="T22" s="735"/>
      <c r="U22" s="764"/>
      <c r="V22" s="764"/>
      <c r="W22" s="8"/>
    </row>
    <row r="23" spans="1:23" ht="12.75" customHeight="1">
      <c r="A23" s="719">
        <f t="shared" si="2"/>
        <v>18</v>
      </c>
      <c r="B23" s="290" t="s">
        <v>719</v>
      </c>
      <c r="C23" s="25">
        <f t="shared" si="3"/>
        <v>3480534</v>
      </c>
      <c r="D23" s="720">
        <f t="shared" si="0"/>
        <v>230475.45851528383</v>
      </c>
      <c r="E23" s="720">
        <f t="shared" si="0"/>
        <v>16772.122270742359</v>
      </c>
      <c r="F23" s="720">
        <f t="shared" si="0"/>
        <v>99009.956331877736</v>
      </c>
      <c r="G23" s="720">
        <f t="shared" si="0"/>
        <v>187441.0480349345</v>
      </c>
      <c r="H23" s="25">
        <f t="shared" si="1"/>
        <v>4014232.5851528384</v>
      </c>
      <c r="I23" s="720">
        <v>294</v>
      </c>
      <c r="J23" s="720">
        <f t="shared" si="4"/>
        <v>13653.852330451831</v>
      </c>
      <c r="K23" s="659"/>
      <c r="L23" s="801" t="s">
        <v>1170</v>
      </c>
      <c r="M23" s="735">
        <f t="shared" si="7"/>
        <v>41290</v>
      </c>
      <c r="N23" s="843">
        <v>41293</v>
      </c>
      <c r="O23" s="738" t="s">
        <v>720</v>
      </c>
      <c r="P23" s="776">
        <v>175</v>
      </c>
      <c r="Q23" s="764">
        <v>19888.768115942028</v>
      </c>
      <c r="R23" s="8">
        <f t="shared" si="5"/>
        <v>3480534</v>
      </c>
      <c r="S23" s="502"/>
      <c r="T23" s="735"/>
      <c r="U23" s="764"/>
      <c r="V23" s="764"/>
      <c r="W23" s="8"/>
    </row>
    <row r="24" spans="1:23" ht="12.75" customHeight="1">
      <c r="A24" s="719">
        <f t="shared" si="2"/>
        <v>19</v>
      </c>
      <c r="B24" s="290" t="s">
        <v>721</v>
      </c>
      <c r="C24" s="25">
        <f t="shared" si="3"/>
        <v>678300</v>
      </c>
      <c r="D24" s="720">
        <f t="shared" si="0"/>
        <v>78393.013100436685</v>
      </c>
      <c r="E24" s="720">
        <f t="shared" si="0"/>
        <v>5704.8034934497809</v>
      </c>
      <c r="F24" s="720">
        <f t="shared" si="0"/>
        <v>33676.85589519651</v>
      </c>
      <c r="G24" s="720">
        <f t="shared" si="0"/>
        <v>63755.458515283841</v>
      </c>
      <c r="H24" s="25">
        <f t="shared" si="1"/>
        <v>859830.13100436691</v>
      </c>
      <c r="I24" s="720">
        <v>100</v>
      </c>
      <c r="J24" s="720">
        <f t="shared" si="4"/>
        <v>8598.3013100436692</v>
      </c>
      <c r="K24" s="659"/>
      <c r="L24" s="801" t="s">
        <v>1157</v>
      </c>
      <c r="M24" s="735">
        <f t="shared" si="7"/>
        <v>41290</v>
      </c>
      <c r="N24" s="843">
        <v>41293</v>
      </c>
      <c r="O24" s="738" t="s">
        <v>720</v>
      </c>
      <c r="P24" s="776">
        <v>100</v>
      </c>
      <c r="Q24" s="764">
        <v>6783</v>
      </c>
      <c r="R24" s="8">
        <f t="shared" si="5"/>
        <v>678300</v>
      </c>
      <c r="S24" s="502"/>
      <c r="T24" s="735"/>
      <c r="U24" s="764"/>
      <c r="V24" s="764"/>
      <c r="W24" s="8"/>
    </row>
    <row r="25" spans="1:23" ht="12.75" customHeight="1">
      <c r="A25" s="719">
        <f t="shared" si="2"/>
        <v>20</v>
      </c>
      <c r="B25" s="290" t="s">
        <v>722</v>
      </c>
      <c r="C25" s="25">
        <f t="shared" si="3"/>
        <v>5568855</v>
      </c>
      <c r="D25" s="720">
        <f t="shared" si="0"/>
        <v>387261.4847161572</v>
      </c>
      <c r="E25" s="720">
        <f t="shared" si="0"/>
        <v>28181.72925764192</v>
      </c>
      <c r="F25" s="720">
        <f t="shared" si="0"/>
        <v>166363.66812227076</v>
      </c>
      <c r="G25" s="720">
        <f t="shared" si="0"/>
        <v>314951.96506550215</v>
      </c>
      <c r="H25" s="25">
        <f t="shared" si="1"/>
        <v>6465613.8471615734</v>
      </c>
      <c r="I25" s="720">
        <v>494</v>
      </c>
      <c r="J25" s="720">
        <f t="shared" si="4"/>
        <v>13088.287140003185</v>
      </c>
      <c r="K25" s="659"/>
      <c r="L25" s="801" t="s">
        <v>1170</v>
      </c>
      <c r="M25" s="735">
        <f t="shared" si="7"/>
        <v>41290</v>
      </c>
      <c r="N25" s="843">
        <v>41293</v>
      </c>
      <c r="O25" s="738" t="s">
        <v>720</v>
      </c>
      <c r="P25" s="776">
        <v>280</v>
      </c>
      <c r="Q25" s="764">
        <v>19888.768115942028</v>
      </c>
      <c r="R25" s="8">
        <f t="shared" si="5"/>
        <v>5568855</v>
      </c>
      <c r="S25" s="502"/>
      <c r="T25" s="735"/>
      <c r="U25" s="764"/>
      <c r="V25" s="764"/>
      <c r="W25" s="8"/>
    </row>
    <row r="26" spans="1:23" ht="12.75" customHeight="1">
      <c r="A26" s="719">
        <f t="shared" si="2"/>
        <v>21</v>
      </c>
      <c r="B26" s="290" t="s">
        <v>723</v>
      </c>
      <c r="C26" s="25">
        <f t="shared" si="3"/>
        <v>3090600</v>
      </c>
      <c r="D26" s="720">
        <f t="shared" ref="D26:G45" si="8">IF($I$56&lt;&gt;0,D$56/$I$56*$I26,0)</f>
        <v>222636.15720524016</v>
      </c>
      <c r="E26" s="720">
        <f t="shared" si="8"/>
        <v>16201.641921397379</v>
      </c>
      <c r="F26" s="720">
        <f t="shared" si="8"/>
        <v>95642.270742358087</v>
      </c>
      <c r="G26" s="720">
        <f t="shared" si="8"/>
        <v>181065.50218340612</v>
      </c>
      <c r="H26" s="25">
        <f t="shared" si="1"/>
        <v>3606145.572052402</v>
      </c>
      <c r="I26" s="720">
        <v>284</v>
      </c>
      <c r="J26" s="720">
        <f t="shared" si="4"/>
        <v>12697.695676240852</v>
      </c>
      <c r="K26" s="659"/>
      <c r="L26" s="801" t="s">
        <v>1187</v>
      </c>
      <c r="M26" s="735">
        <f t="shared" si="7"/>
        <v>41290</v>
      </c>
      <c r="N26" s="843">
        <v>41293</v>
      </c>
      <c r="O26" s="738" t="s">
        <v>720</v>
      </c>
      <c r="P26" s="776">
        <v>300</v>
      </c>
      <c r="Q26" s="764">
        <v>10302</v>
      </c>
      <c r="R26" s="8">
        <f t="shared" si="5"/>
        <v>3090600</v>
      </c>
      <c r="S26" s="502"/>
      <c r="T26" s="735"/>
      <c r="U26" s="764"/>
      <c r="V26" s="764"/>
      <c r="W26" s="8"/>
    </row>
    <row r="27" spans="1:23" ht="12.75" customHeight="1">
      <c r="A27" s="719">
        <f t="shared" si="2"/>
        <v>22</v>
      </c>
      <c r="B27" s="290" t="s">
        <v>724</v>
      </c>
      <c r="C27" s="25">
        <f t="shared" si="3"/>
        <v>3825125</v>
      </c>
      <c r="D27" s="720">
        <f t="shared" si="8"/>
        <v>554238.60262008733</v>
      </c>
      <c r="E27" s="720">
        <f t="shared" si="8"/>
        <v>40332.960698689953</v>
      </c>
      <c r="F27" s="720">
        <f t="shared" si="8"/>
        <v>238095.3711790393</v>
      </c>
      <c r="G27" s="720">
        <f t="shared" si="8"/>
        <v>450751.09170305677</v>
      </c>
      <c r="H27" s="25">
        <f t="shared" si="1"/>
        <v>5108543.0262008738</v>
      </c>
      <c r="I27" s="720">
        <v>707</v>
      </c>
      <c r="J27" s="720">
        <f t="shared" si="4"/>
        <v>7225.6619889687045</v>
      </c>
      <c r="K27" s="659"/>
      <c r="L27" s="801" t="s">
        <v>1191</v>
      </c>
      <c r="M27" s="735">
        <f t="shared" si="7"/>
        <v>41294</v>
      </c>
      <c r="N27" s="843">
        <v>41297</v>
      </c>
      <c r="O27" s="738" t="s">
        <v>725</v>
      </c>
      <c r="P27" s="776">
        <v>355</v>
      </c>
      <c r="Q27" s="764">
        <v>10775</v>
      </c>
      <c r="R27" s="8">
        <f t="shared" si="5"/>
        <v>3825125</v>
      </c>
      <c r="S27" s="502"/>
      <c r="T27" s="735"/>
      <c r="U27" s="764"/>
      <c r="V27" s="764"/>
      <c r="W27" s="8"/>
    </row>
    <row r="28" spans="1:23" ht="12.75" customHeight="1">
      <c r="A28" s="719">
        <f t="shared" si="2"/>
        <v>23</v>
      </c>
      <c r="B28" s="290" t="s">
        <v>708</v>
      </c>
      <c r="C28" s="25">
        <f t="shared" si="3"/>
        <v>3340250</v>
      </c>
      <c r="D28" s="720">
        <f t="shared" si="8"/>
        <v>464870.56768558949</v>
      </c>
      <c r="E28" s="720">
        <f t="shared" si="8"/>
        <v>33829.484716157203</v>
      </c>
      <c r="F28" s="720">
        <f t="shared" si="8"/>
        <v>199703.75545851528</v>
      </c>
      <c r="G28" s="720">
        <f t="shared" si="8"/>
        <v>378069.86899563315</v>
      </c>
      <c r="H28" s="25">
        <f t="shared" si="1"/>
        <v>4416723.6768558957</v>
      </c>
      <c r="I28" s="720">
        <v>593</v>
      </c>
      <c r="J28" s="720">
        <f t="shared" si="4"/>
        <v>7448.1006355074123</v>
      </c>
      <c r="K28" s="659"/>
      <c r="L28" s="801" t="s">
        <v>1191</v>
      </c>
      <c r="M28" s="735">
        <f t="shared" si="7"/>
        <v>41300</v>
      </c>
      <c r="N28" s="843">
        <v>41303</v>
      </c>
      <c r="O28" s="738" t="s">
        <v>726</v>
      </c>
      <c r="P28" s="776">
        <v>310</v>
      </c>
      <c r="Q28" s="764">
        <v>10775</v>
      </c>
      <c r="R28" s="8">
        <f t="shared" si="5"/>
        <v>3340250</v>
      </c>
      <c r="S28" s="502"/>
      <c r="T28" s="735"/>
      <c r="U28" s="764"/>
      <c r="V28" s="764"/>
      <c r="W28" s="8"/>
    </row>
    <row r="29" spans="1:23" ht="12.75" customHeight="1">
      <c r="A29" s="719">
        <f t="shared" si="2"/>
        <v>24</v>
      </c>
      <c r="B29" s="290" t="s">
        <v>727</v>
      </c>
      <c r="C29" s="25">
        <f t="shared" si="3"/>
        <v>2280900</v>
      </c>
      <c r="D29" s="720">
        <f t="shared" si="8"/>
        <v>312004.19213973801</v>
      </c>
      <c r="E29" s="720">
        <f t="shared" si="8"/>
        <v>22705.117903930131</v>
      </c>
      <c r="F29" s="720">
        <f t="shared" si="8"/>
        <v>134033.8864628821</v>
      </c>
      <c r="G29" s="720">
        <f t="shared" si="8"/>
        <v>253746.72489082968</v>
      </c>
      <c r="H29" s="25">
        <f t="shared" si="1"/>
        <v>3003389.9213973801</v>
      </c>
      <c r="I29" s="720">
        <v>398</v>
      </c>
      <c r="J29" s="720">
        <f t="shared" si="4"/>
        <v>7546.2058326567339</v>
      </c>
      <c r="K29" s="659"/>
      <c r="L29" s="801" t="s">
        <v>1218</v>
      </c>
      <c r="M29" s="735">
        <f t="shared" si="7"/>
        <v>41300</v>
      </c>
      <c r="N29" s="843">
        <v>41303</v>
      </c>
      <c r="O29" s="738" t="s">
        <v>726</v>
      </c>
      <c r="P29" s="776">
        <v>100</v>
      </c>
      <c r="Q29" s="764">
        <v>22809</v>
      </c>
      <c r="R29" s="8">
        <f t="shared" si="5"/>
        <v>2280900</v>
      </c>
      <c r="S29" s="502"/>
      <c r="T29" s="735"/>
      <c r="U29" s="764"/>
      <c r="V29" s="764"/>
      <c r="W29" s="8"/>
    </row>
    <row r="30" spans="1:23" ht="12.75" customHeight="1">
      <c r="A30" s="719">
        <f t="shared" si="2"/>
        <v>25</v>
      </c>
      <c r="B30" s="290" t="s">
        <v>719</v>
      </c>
      <c r="C30" s="25">
        <f t="shared" si="3"/>
        <v>4673861</v>
      </c>
      <c r="D30" s="720">
        <f t="shared" si="8"/>
        <v>321411.35371179041</v>
      </c>
      <c r="E30" s="720">
        <f t="shared" si="8"/>
        <v>23389.694323144104</v>
      </c>
      <c r="F30" s="720">
        <f t="shared" si="8"/>
        <v>138075.10917030569</v>
      </c>
      <c r="G30" s="720">
        <f t="shared" si="8"/>
        <v>261397.37991266375</v>
      </c>
      <c r="H30" s="25">
        <f t="shared" si="1"/>
        <v>5418134.5371179041</v>
      </c>
      <c r="I30" s="720">
        <v>410</v>
      </c>
      <c r="J30" s="720">
        <f t="shared" si="4"/>
        <v>13214.962285653424</v>
      </c>
      <c r="K30" s="659"/>
      <c r="L30" s="801" t="s">
        <v>1170</v>
      </c>
      <c r="M30" s="735">
        <f t="shared" si="7"/>
        <v>41300</v>
      </c>
      <c r="N30" s="843">
        <v>41303</v>
      </c>
      <c r="O30" s="738" t="s">
        <v>728</v>
      </c>
      <c r="P30" s="776">
        <v>235</v>
      </c>
      <c r="Q30" s="764">
        <v>19888.768115942028</v>
      </c>
      <c r="R30" s="8">
        <f t="shared" si="5"/>
        <v>4673861</v>
      </c>
      <c r="S30" s="502"/>
      <c r="T30" s="735"/>
      <c r="U30" s="764"/>
      <c r="V30" s="764"/>
      <c r="W30" s="8"/>
    </row>
    <row r="31" spans="1:23" ht="12.75" customHeight="1">
      <c r="A31" s="719">
        <f t="shared" si="2"/>
        <v>26</v>
      </c>
      <c r="B31" s="290" t="s">
        <v>724</v>
      </c>
      <c r="C31" s="25">
        <f t="shared" si="3"/>
        <v>5980125</v>
      </c>
      <c r="D31" s="720">
        <f t="shared" si="8"/>
        <v>867026.72489082965</v>
      </c>
      <c r="E31" s="720">
        <f t="shared" si="8"/>
        <v>63095.126637554582</v>
      </c>
      <c r="F31" s="720">
        <f t="shared" si="8"/>
        <v>372466.02620087337</v>
      </c>
      <c r="G31" s="720">
        <f t="shared" si="8"/>
        <v>705135.37117903924</v>
      </c>
      <c r="H31" s="25">
        <f t="shared" si="1"/>
        <v>7987848.2489082981</v>
      </c>
      <c r="I31" s="720">
        <v>1106</v>
      </c>
      <c r="J31" s="720">
        <f t="shared" si="4"/>
        <v>7222.2859393384251</v>
      </c>
      <c r="K31" s="659"/>
      <c r="L31" s="801" t="s">
        <v>1191</v>
      </c>
      <c r="M31" s="735">
        <f t="shared" si="7"/>
        <v>41300</v>
      </c>
      <c r="N31" s="843">
        <v>41303</v>
      </c>
      <c r="O31" s="738" t="s">
        <v>729</v>
      </c>
      <c r="P31" s="776">
        <v>555</v>
      </c>
      <c r="Q31" s="764">
        <v>10775</v>
      </c>
      <c r="R31" s="8">
        <f t="shared" si="5"/>
        <v>5980125</v>
      </c>
      <c r="S31" s="502"/>
      <c r="T31" s="735"/>
      <c r="U31" s="764"/>
      <c r="V31" s="764"/>
      <c r="W31" s="8"/>
    </row>
    <row r="32" spans="1:23" ht="12.75" customHeight="1">
      <c r="A32" s="719">
        <f t="shared" si="2"/>
        <v>27</v>
      </c>
      <c r="B32" s="290" t="s">
        <v>698</v>
      </c>
      <c r="C32" s="25">
        <f t="shared" si="3"/>
        <v>10490870</v>
      </c>
      <c r="D32" s="720">
        <f t="shared" si="8"/>
        <v>1327193.7117903929</v>
      </c>
      <c r="E32" s="720">
        <f t="shared" si="8"/>
        <v>96582.323144104797</v>
      </c>
      <c r="F32" s="720">
        <f t="shared" si="8"/>
        <v>570149.17030567687</v>
      </c>
      <c r="G32" s="720">
        <f t="shared" si="8"/>
        <v>1079379.9126637555</v>
      </c>
      <c r="H32" s="25">
        <f t="shared" si="1"/>
        <v>13564175.117903929</v>
      </c>
      <c r="I32" s="720">
        <v>1693</v>
      </c>
      <c r="J32" s="720">
        <f t="shared" si="4"/>
        <v>8011.9167855309679</v>
      </c>
      <c r="K32" s="659"/>
      <c r="L32" s="801" t="s">
        <v>1212</v>
      </c>
      <c r="M32" s="735">
        <f t="shared" si="7"/>
        <v>41302</v>
      </c>
      <c r="N32" s="843">
        <v>41305</v>
      </c>
      <c r="O32" s="738" t="s">
        <v>730</v>
      </c>
      <c r="P32" s="776">
        <v>470</v>
      </c>
      <c r="Q32" s="764">
        <v>22321</v>
      </c>
      <c r="R32" s="8">
        <f t="shared" si="5"/>
        <v>10490870</v>
      </c>
      <c r="S32" s="502"/>
      <c r="T32" s="735"/>
      <c r="U32" s="764"/>
      <c r="V32" s="764"/>
      <c r="W32" s="8"/>
    </row>
    <row r="33" spans="1:23" ht="12.75" customHeight="1">
      <c r="A33" s="719">
        <f t="shared" si="2"/>
        <v>28</v>
      </c>
      <c r="B33" s="290" t="s">
        <v>731</v>
      </c>
      <c r="C33" s="25">
        <f t="shared" si="3"/>
        <v>9133980</v>
      </c>
      <c r="D33" s="720">
        <f t="shared" si="8"/>
        <v>365311.44104803493</v>
      </c>
      <c r="E33" s="720">
        <f t="shared" si="8"/>
        <v>26584.38427947598</v>
      </c>
      <c r="F33" s="720">
        <f t="shared" si="8"/>
        <v>156934.14847161571</v>
      </c>
      <c r="G33" s="720">
        <f t="shared" si="8"/>
        <v>297100.43668122269</v>
      </c>
      <c r="H33" s="25">
        <f t="shared" si="1"/>
        <v>9979910.4104803503</v>
      </c>
      <c r="I33" s="720">
        <v>466</v>
      </c>
      <c r="J33" s="720">
        <f t="shared" si="4"/>
        <v>21416.116760687448</v>
      </c>
      <c r="K33" s="659"/>
      <c r="L33" s="189" t="s">
        <v>577</v>
      </c>
      <c r="M33" s="735">
        <f t="shared" si="7"/>
        <v>41302</v>
      </c>
      <c r="N33" s="843">
        <v>41305</v>
      </c>
      <c r="O33" s="738" t="s">
        <v>732</v>
      </c>
      <c r="P33" s="776">
        <v>474</v>
      </c>
      <c r="Q33" s="764">
        <v>19270</v>
      </c>
      <c r="R33" s="8">
        <f t="shared" si="5"/>
        <v>9133980</v>
      </c>
      <c r="S33" s="502"/>
      <c r="T33" s="735"/>
      <c r="U33" s="764"/>
      <c r="V33" s="764"/>
      <c r="W33" s="8"/>
    </row>
    <row r="34" spans="1:23" ht="12.75" customHeight="1">
      <c r="A34" s="719">
        <f t="shared" si="2"/>
        <v>29</v>
      </c>
      <c r="B34" s="290" t="s">
        <v>733</v>
      </c>
      <c r="C34" s="25">
        <f t="shared" si="3"/>
        <v>3332639</v>
      </c>
      <c r="D34" s="720">
        <f t="shared" si="8"/>
        <v>478197.37991266372</v>
      </c>
      <c r="E34" s="720">
        <f t="shared" si="8"/>
        <v>34799.301310043666</v>
      </c>
      <c r="F34" s="720">
        <f t="shared" si="8"/>
        <v>205428.82096069871</v>
      </c>
      <c r="G34" s="720">
        <f t="shared" si="8"/>
        <v>388908.29694323143</v>
      </c>
      <c r="H34" s="25">
        <f t="shared" si="1"/>
        <v>4439972.7991266372</v>
      </c>
      <c r="I34" s="720">
        <v>610</v>
      </c>
      <c r="J34" s="720">
        <f t="shared" si="4"/>
        <v>7278.6439329944869</v>
      </c>
      <c r="K34" s="659"/>
      <c r="L34" s="801" t="s">
        <v>1151</v>
      </c>
      <c r="M34" s="735">
        <f t="shared" si="7"/>
        <v>41325</v>
      </c>
      <c r="N34" s="843">
        <v>41328</v>
      </c>
      <c r="O34" s="738" t="s">
        <v>734</v>
      </c>
      <c r="P34" s="776">
        <v>312</v>
      </c>
      <c r="Q34" s="764">
        <v>10681.535256410256</v>
      </c>
      <c r="R34" s="8">
        <f>ROUND(P34*Q34,0)</f>
        <v>3332639</v>
      </c>
      <c r="S34" s="502"/>
      <c r="T34" s="735"/>
      <c r="U34" s="764"/>
      <c r="V34" s="764"/>
      <c r="W34" s="8"/>
    </row>
    <row r="35" spans="1:23" ht="12.75" customHeight="1">
      <c r="A35" s="719">
        <f t="shared" si="2"/>
        <v>30</v>
      </c>
      <c r="B35" s="290" t="s">
        <v>735</v>
      </c>
      <c r="C35" s="25">
        <f t="shared" si="3"/>
        <v>4898720</v>
      </c>
      <c r="D35" s="720">
        <f t="shared" si="8"/>
        <v>486036.68122270738</v>
      </c>
      <c r="E35" s="720">
        <f t="shared" si="8"/>
        <v>35369.781659388645</v>
      </c>
      <c r="F35" s="720">
        <f t="shared" si="8"/>
        <v>208796.50655021836</v>
      </c>
      <c r="G35" s="720">
        <f t="shared" si="8"/>
        <v>395283.84279475978</v>
      </c>
      <c r="H35" s="25">
        <f t="shared" si="1"/>
        <v>6024206.8122270741</v>
      </c>
      <c r="I35" s="720">
        <v>620</v>
      </c>
      <c r="J35" s="720">
        <f t="shared" si="4"/>
        <v>9716.4626003662488</v>
      </c>
      <c r="K35" s="659"/>
      <c r="L35" s="801" t="s">
        <v>1185</v>
      </c>
      <c r="M35" s="735">
        <f t="shared" si="7"/>
        <v>41334</v>
      </c>
      <c r="N35" s="843">
        <v>41337</v>
      </c>
      <c r="O35" s="738" t="s">
        <v>736</v>
      </c>
      <c r="P35" s="776">
        <v>680</v>
      </c>
      <c r="Q35" s="764">
        <v>7204</v>
      </c>
      <c r="R35" s="8">
        <f t="shared" si="5"/>
        <v>4898720</v>
      </c>
      <c r="S35" s="502"/>
      <c r="T35" s="735"/>
      <c r="U35" s="764"/>
      <c r="V35" s="764"/>
      <c r="W35" s="8"/>
    </row>
    <row r="36" spans="1:23" ht="12.75" customHeight="1">
      <c r="A36" s="719">
        <f t="shared" si="2"/>
        <v>31</v>
      </c>
      <c r="B36" s="290" t="s">
        <v>716</v>
      </c>
      <c r="C36" s="25">
        <f t="shared" si="3"/>
        <v>6718200</v>
      </c>
      <c r="D36" s="720">
        <f t="shared" si="8"/>
        <v>1538854.847161572</v>
      </c>
      <c r="E36" s="720">
        <f t="shared" si="8"/>
        <v>111985.2925764192</v>
      </c>
      <c r="F36" s="720">
        <f t="shared" si="8"/>
        <v>661076.6812227075</v>
      </c>
      <c r="G36" s="720">
        <f t="shared" si="8"/>
        <v>1251519.6506550219</v>
      </c>
      <c r="H36" s="25">
        <f t="shared" si="1"/>
        <v>10281636.471615721</v>
      </c>
      <c r="I36" s="720">
        <v>1963</v>
      </c>
      <c r="J36" s="720">
        <f t="shared" si="4"/>
        <v>5237.7159814649622</v>
      </c>
      <c r="K36" s="659"/>
      <c r="L36" s="186" t="s">
        <v>650</v>
      </c>
      <c r="M36" s="735">
        <f t="shared" si="7"/>
        <v>41334</v>
      </c>
      <c r="N36" s="843">
        <v>41337</v>
      </c>
      <c r="O36" s="738" t="s">
        <v>737</v>
      </c>
      <c r="P36" s="776">
        <v>600</v>
      </c>
      <c r="Q36" s="764">
        <v>11197</v>
      </c>
      <c r="R36" s="8">
        <f t="shared" si="5"/>
        <v>6718200</v>
      </c>
      <c r="S36" s="502"/>
      <c r="T36" s="735"/>
      <c r="U36" s="764"/>
      <c r="V36" s="764"/>
      <c r="W36" s="8"/>
    </row>
    <row r="37" spans="1:23" ht="12.75" customHeight="1">
      <c r="A37" s="719">
        <f t="shared" si="2"/>
        <v>32</v>
      </c>
      <c r="B37" s="290" t="s">
        <v>692</v>
      </c>
      <c r="C37" s="25">
        <f t="shared" si="3"/>
        <v>1571780</v>
      </c>
      <c r="D37" s="720">
        <f t="shared" si="8"/>
        <v>438216.94323144102</v>
      </c>
      <c r="E37" s="720">
        <f t="shared" si="8"/>
        <v>31889.851528384279</v>
      </c>
      <c r="F37" s="720">
        <f t="shared" si="8"/>
        <v>188253.62445414849</v>
      </c>
      <c r="G37" s="720">
        <f t="shared" si="8"/>
        <v>356393.01310043666</v>
      </c>
      <c r="H37" s="25">
        <f t="shared" si="1"/>
        <v>2586533.4323144108</v>
      </c>
      <c r="I37" s="720">
        <v>559</v>
      </c>
      <c r="J37" s="720">
        <f t="shared" si="4"/>
        <v>4627.0723297216655</v>
      </c>
      <c r="K37" s="659"/>
      <c r="L37" s="801" t="s">
        <v>1165</v>
      </c>
      <c r="M37" s="735">
        <f t="shared" si="7"/>
        <v>41334</v>
      </c>
      <c r="N37" s="843">
        <v>41337</v>
      </c>
      <c r="O37" s="738" t="s">
        <v>737</v>
      </c>
      <c r="P37" s="776">
        <v>140</v>
      </c>
      <c r="Q37" s="764">
        <v>11227</v>
      </c>
      <c r="R37" s="8">
        <f t="shared" si="5"/>
        <v>1571780</v>
      </c>
      <c r="S37" s="502"/>
      <c r="T37" s="735"/>
      <c r="U37" s="764"/>
      <c r="V37" s="764"/>
      <c r="W37" s="8"/>
    </row>
    <row r="38" spans="1:23" ht="12.75" customHeight="1">
      <c r="A38" s="719">
        <f t="shared" si="2"/>
        <v>33</v>
      </c>
      <c r="B38" s="290" t="s">
        <v>738</v>
      </c>
      <c r="C38" s="25">
        <f t="shared" si="3"/>
        <v>4891000</v>
      </c>
      <c r="D38" s="720">
        <f t="shared" si="8"/>
        <v>483684.89082969428</v>
      </c>
      <c r="E38" s="720">
        <f t="shared" si="8"/>
        <v>35198.637554585148</v>
      </c>
      <c r="F38" s="720">
        <f t="shared" si="8"/>
        <v>207786.20087336245</v>
      </c>
      <c r="G38" s="720">
        <f t="shared" si="8"/>
        <v>393371.17903930129</v>
      </c>
      <c r="H38" s="25">
        <f t="shared" ref="H38:H54" si="9">SUM(C38:G38)</f>
        <v>6011040.9082969436</v>
      </c>
      <c r="I38" s="720">
        <v>617</v>
      </c>
      <c r="J38" s="720">
        <f t="shared" si="4"/>
        <v>9742.3677606109304</v>
      </c>
      <c r="K38" s="659"/>
      <c r="L38" s="801" t="s">
        <v>1147</v>
      </c>
      <c r="M38" s="735">
        <f t="shared" si="7"/>
        <v>41334</v>
      </c>
      <c r="N38" s="843">
        <v>41337</v>
      </c>
      <c r="O38" s="738" t="s">
        <v>737</v>
      </c>
      <c r="P38" s="776">
        <v>670</v>
      </c>
      <c r="Q38" s="764">
        <v>7300</v>
      </c>
      <c r="R38" s="8">
        <f t="shared" si="5"/>
        <v>4891000</v>
      </c>
      <c r="S38" s="502"/>
      <c r="T38" s="735"/>
      <c r="U38" s="764"/>
      <c r="V38" s="764"/>
      <c r="W38" s="8"/>
    </row>
    <row r="39" spans="1:23" ht="12.75" customHeight="1">
      <c r="A39" s="719">
        <f t="shared" si="2"/>
        <v>34</v>
      </c>
      <c r="B39" s="290" t="s">
        <v>1093</v>
      </c>
      <c r="C39" s="25">
        <f t="shared" si="3"/>
        <v>3116400</v>
      </c>
      <c r="D39" s="720">
        <f t="shared" si="8"/>
        <v>243018.34061135369</v>
      </c>
      <c r="E39" s="720">
        <f t="shared" si="8"/>
        <v>17684.890829694323</v>
      </c>
      <c r="F39" s="720">
        <f t="shared" si="8"/>
        <v>104398.25327510918</v>
      </c>
      <c r="G39" s="720">
        <f t="shared" si="8"/>
        <v>197641.92139737989</v>
      </c>
      <c r="H39" s="25">
        <f t="shared" si="9"/>
        <v>3679143.406113537</v>
      </c>
      <c r="I39" s="720">
        <v>310</v>
      </c>
      <c r="J39" s="720">
        <f t="shared" si="4"/>
        <v>11868.20453585012</v>
      </c>
      <c r="K39" s="659"/>
      <c r="L39" s="801" t="s">
        <v>1236</v>
      </c>
      <c r="M39" s="735">
        <f t="shared" si="7"/>
        <v>41342</v>
      </c>
      <c r="N39" s="843">
        <v>41345</v>
      </c>
      <c r="O39" s="738" t="s">
        <v>739</v>
      </c>
      <c r="P39" s="776">
        <v>150</v>
      </c>
      <c r="Q39" s="764">
        <v>20776</v>
      </c>
      <c r="R39" s="8">
        <f t="shared" si="5"/>
        <v>3116400</v>
      </c>
      <c r="S39" s="502"/>
      <c r="T39" s="735"/>
      <c r="U39" s="764"/>
      <c r="V39" s="764"/>
      <c r="W39" s="8"/>
    </row>
    <row r="40" spans="1:23" ht="12.75" customHeight="1">
      <c r="A40" s="719">
        <f t="shared" si="2"/>
        <v>35</v>
      </c>
      <c r="B40" s="290" t="s">
        <v>708</v>
      </c>
      <c r="C40" s="25">
        <f t="shared" si="3"/>
        <v>2801500</v>
      </c>
      <c r="D40" s="720">
        <f t="shared" si="8"/>
        <v>391965.0655021834</v>
      </c>
      <c r="E40" s="720">
        <f t="shared" si="8"/>
        <v>28524.017467248908</v>
      </c>
      <c r="F40" s="720">
        <f t="shared" si="8"/>
        <v>168384.27947598253</v>
      </c>
      <c r="G40" s="720">
        <f t="shared" si="8"/>
        <v>318777.29257641919</v>
      </c>
      <c r="H40" s="25">
        <f t="shared" si="9"/>
        <v>3709150.6550218342</v>
      </c>
      <c r="I40" s="720">
        <v>500</v>
      </c>
      <c r="J40" s="720">
        <f t="shared" si="4"/>
        <v>7418.3013100436683</v>
      </c>
      <c r="K40" s="659"/>
      <c r="L40" s="801" t="s">
        <v>1191</v>
      </c>
      <c r="M40" s="735">
        <f t="shared" si="7"/>
        <v>41342</v>
      </c>
      <c r="N40" s="843">
        <v>41345</v>
      </c>
      <c r="O40" s="738" t="s">
        <v>741</v>
      </c>
      <c r="P40" s="776">
        <v>260</v>
      </c>
      <c r="Q40" s="764">
        <v>10775</v>
      </c>
      <c r="R40" s="8">
        <f t="shared" si="5"/>
        <v>2801500</v>
      </c>
      <c r="S40" s="502"/>
      <c r="T40" s="735"/>
      <c r="U40" s="764"/>
      <c r="V40" s="764"/>
      <c r="W40" s="8"/>
    </row>
    <row r="41" spans="1:23">
      <c r="A41" s="719">
        <f t="shared" si="2"/>
        <v>36</v>
      </c>
      <c r="B41" s="290" t="s">
        <v>727</v>
      </c>
      <c r="C41" s="25">
        <f t="shared" si="3"/>
        <v>2268000</v>
      </c>
      <c r="D41" s="720">
        <f t="shared" si="8"/>
        <v>235179.03930131003</v>
      </c>
      <c r="E41" s="720">
        <f t="shared" si="8"/>
        <v>17114.410480349343</v>
      </c>
      <c r="F41" s="720">
        <f t="shared" si="8"/>
        <v>101030.56768558953</v>
      </c>
      <c r="G41" s="720">
        <f t="shared" si="8"/>
        <v>191266.37554585151</v>
      </c>
      <c r="H41" s="25">
        <f t="shared" si="9"/>
        <v>2812590.3930131006</v>
      </c>
      <c r="I41" s="720">
        <v>300</v>
      </c>
      <c r="J41" s="720">
        <f t="shared" si="4"/>
        <v>9375.3013100436692</v>
      </c>
      <c r="K41" s="659"/>
      <c r="L41" s="801" t="s">
        <v>1156</v>
      </c>
      <c r="M41" s="735">
        <f t="shared" si="7"/>
        <v>41342</v>
      </c>
      <c r="N41" s="843">
        <v>41345</v>
      </c>
      <c r="O41" s="738" t="s">
        <v>741</v>
      </c>
      <c r="P41" s="776">
        <v>150</v>
      </c>
      <c r="Q41" s="764">
        <v>15120</v>
      </c>
      <c r="R41" s="8">
        <f t="shared" si="5"/>
        <v>2268000</v>
      </c>
      <c r="S41" s="502"/>
      <c r="T41" s="735"/>
      <c r="U41" s="764"/>
      <c r="V41" s="764"/>
      <c r="W41" s="8"/>
    </row>
    <row r="42" spans="1:23" ht="12.75" customHeight="1">
      <c r="A42" s="719">
        <f t="shared" si="2"/>
        <v>37</v>
      </c>
      <c r="B42" s="290" t="s">
        <v>742</v>
      </c>
      <c r="C42" s="25">
        <f t="shared" si="3"/>
        <v>10330694</v>
      </c>
      <c r="D42" s="720">
        <f t="shared" si="8"/>
        <v>401372.22707423579</v>
      </c>
      <c r="E42" s="720">
        <f t="shared" si="8"/>
        <v>29208.593886462881</v>
      </c>
      <c r="F42" s="720">
        <f t="shared" si="8"/>
        <v>172425.50218340612</v>
      </c>
      <c r="G42" s="720">
        <f t="shared" si="8"/>
        <v>326427.94759825326</v>
      </c>
      <c r="H42" s="25">
        <f t="shared" si="9"/>
        <v>11260128.270742357</v>
      </c>
      <c r="I42" s="720">
        <v>512</v>
      </c>
      <c r="J42" s="720">
        <f t="shared" si="4"/>
        <v>21992.438028793666</v>
      </c>
      <c r="K42" s="659"/>
      <c r="L42" s="801" t="s">
        <v>1143</v>
      </c>
      <c r="M42" s="735">
        <f t="shared" si="7"/>
        <v>41343</v>
      </c>
      <c r="N42" s="843">
        <v>41346</v>
      </c>
      <c r="O42" s="738" t="s">
        <v>463</v>
      </c>
      <c r="P42" s="776">
        <v>517</v>
      </c>
      <c r="Q42" s="764">
        <v>19982</v>
      </c>
      <c r="R42" s="8">
        <f t="shared" si="5"/>
        <v>10330694</v>
      </c>
      <c r="S42" s="502"/>
      <c r="T42" s="735"/>
      <c r="U42" s="764"/>
      <c r="V42" s="764"/>
      <c r="W42" s="8"/>
    </row>
    <row r="43" spans="1:23" ht="12.75" customHeight="1">
      <c r="A43" s="719">
        <f t="shared" si="2"/>
        <v>38</v>
      </c>
      <c r="B43" s="290" t="s">
        <v>1094</v>
      </c>
      <c r="C43" s="25">
        <f t="shared" si="3"/>
        <v>4977515</v>
      </c>
      <c r="D43" s="720">
        <f t="shared" si="8"/>
        <v>391965.0655021834</v>
      </c>
      <c r="E43" s="720">
        <f t="shared" si="8"/>
        <v>28524.017467248908</v>
      </c>
      <c r="F43" s="720">
        <f t="shared" si="8"/>
        <v>168384.27947598253</v>
      </c>
      <c r="G43" s="720">
        <f t="shared" si="8"/>
        <v>318777.29257641919</v>
      </c>
      <c r="H43" s="25">
        <f t="shared" si="9"/>
        <v>5885165.6550218342</v>
      </c>
      <c r="I43" s="720">
        <v>500</v>
      </c>
      <c r="J43" s="720">
        <f t="shared" si="4"/>
        <v>11770.331310043668</v>
      </c>
      <c r="K43" s="659"/>
      <c r="L43" s="801" t="s">
        <v>1209</v>
      </c>
      <c r="M43" s="735">
        <f t="shared" si="7"/>
        <v>41343</v>
      </c>
      <c r="N43" s="843">
        <v>41346</v>
      </c>
      <c r="O43" s="738" t="s">
        <v>743</v>
      </c>
      <c r="P43" s="776">
        <f>I43/2</f>
        <v>250</v>
      </c>
      <c r="Q43" s="764">
        <v>19910.059505275905</v>
      </c>
      <c r="R43" s="8">
        <f t="shared" si="5"/>
        <v>4977515</v>
      </c>
      <c r="S43" s="502"/>
      <c r="T43" s="735"/>
      <c r="U43" s="764"/>
      <c r="V43" s="764"/>
      <c r="W43" s="8"/>
    </row>
    <row r="44" spans="1:23" ht="12.75" customHeight="1">
      <c r="A44" s="719">
        <f t="shared" si="2"/>
        <v>39</v>
      </c>
      <c r="B44" s="290" t="s">
        <v>745</v>
      </c>
      <c r="C44" s="25">
        <f t="shared" si="3"/>
        <v>2417940</v>
      </c>
      <c r="D44" s="720">
        <f t="shared" si="8"/>
        <v>82312.663755458518</v>
      </c>
      <c r="E44" s="720">
        <f t="shared" si="8"/>
        <v>5990.04366812227</v>
      </c>
      <c r="F44" s="720">
        <f t="shared" si="8"/>
        <v>35360.698689956334</v>
      </c>
      <c r="G44" s="720">
        <f t="shared" si="8"/>
        <v>66943.231441048032</v>
      </c>
      <c r="H44" s="25">
        <f t="shared" si="9"/>
        <v>2608546.637554585</v>
      </c>
      <c r="I44" s="720">
        <v>105</v>
      </c>
      <c r="J44" s="720">
        <f t="shared" si="4"/>
        <v>24843.301310043666</v>
      </c>
      <c r="K44" s="659"/>
      <c r="L44" s="801" t="s">
        <v>1219</v>
      </c>
      <c r="M44" s="735">
        <f t="shared" si="7"/>
        <v>41348</v>
      </c>
      <c r="N44" s="843">
        <v>41351</v>
      </c>
      <c r="O44" s="738" t="s">
        <v>746</v>
      </c>
      <c r="P44" s="776">
        <f>I44</f>
        <v>105</v>
      </c>
      <c r="Q44" s="764">
        <v>23028</v>
      </c>
      <c r="R44" s="8">
        <f t="shared" si="5"/>
        <v>2417940</v>
      </c>
      <c r="S44" s="502"/>
      <c r="T44" s="735"/>
      <c r="U44" s="764"/>
      <c r="V44" s="764"/>
      <c r="W44" s="8"/>
    </row>
    <row r="45" spans="1:23" ht="12.75" customHeight="1">
      <c r="A45" s="719">
        <f t="shared" si="2"/>
        <v>40</v>
      </c>
      <c r="B45" s="290" t="s">
        <v>747</v>
      </c>
      <c r="C45" s="25">
        <f t="shared" si="3"/>
        <v>7654500</v>
      </c>
      <c r="D45" s="720">
        <f t="shared" si="8"/>
        <v>402156.15720524016</v>
      </c>
      <c r="E45" s="720">
        <f t="shared" si="8"/>
        <v>29265.641921397379</v>
      </c>
      <c r="F45" s="720">
        <f t="shared" si="8"/>
        <v>172762.27074235809</v>
      </c>
      <c r="G45" s="720">
        <f t="shared" si="8"/>
        <v>327065.50218340609</v>
      </c>
      <c r="H45" s="25">
        <f t="shared" si="9"/>
        <v>8585749.5720524006</v>
      </c>
      <c r="I45" s="720">
        <v>513</v>
      </c>
      <c r="J45" s="720">
        <f t="shared" si="4"/>
        <v>16736.353941622612</v>
      </c>
      <c r="K45" s="659"/>
      <c r="L45" s="801" t="s">
        <v>1140</v>
      </c>
      <c r="M45" s="735">
        <f t="shared" si="7"/>
        <v>41356</v>
      </c>
      <c r="N45" s="843">
        <v>41359</v>
      </c>
      <c r="O45" s="738" t="s">
        <v>748</v>
      </c>
      <c r="P45" s="776">
        <v>270</v>
      </c>
      <c r="Q45" s="764">
        <v>28350</v>
      </c>
      <c r="R45" s="8">
        <f t="shared" si="5"/>
        <v>7654500</v>
      </c>
      <c r="S45" s="502"/>
      <c r="T45" s="735"/>
      <c r="U45" s="764"/>
      <c r="V45" s="764"/>
      <c r="W45" s="8"/>
    </row>
    <row r="46" spans="1:23" ht="12.75" customHeight="1">
      <c r="A46" s="719">
        <f t="shared" si="2"/>
        <v>41</v>
      </c>
      <c r="B46" s="290" t="s">
        <v>786</v>
      </c>
      <c r="C46" s="25">
        <f t="shared" si="3"/>
        <v>112270</v>
      </c>
      <c r="D46" s="720">
        <f t="shared" ref="D46:G54" si="10">IF($I$56&lt;&gt;0,D$56/$I$56*$I46,0)</f>
        <v>862323.14410480345</v>
      </c>
      <c r="E46" s="720">
        <f t="shared" si="10"/>
        <v>62752.838427947594</v>
      </c>
      <c r="F46" s="720">
        <f t="shared" si="10"/>
        <v>370445.41484716156</v>
      </c>
      <c r="G46" s="720">
        <f t="shared" si="10"/>
        <v>701310.04366812226</v>
      </c>
      <c r="H46" s="25">
        <f t="shared" si="9"/>
        <v>2109101.4410480349</v>
      </c>
      <c r="I46" s="720">
        <v>1100</v>
      </c>
      <c r="J46" s="720">
        <f t="shared" si="4"/>
        <v>1917.3649464073044</v>
      </c>
      <c r="K46" s="659"/>
      <c r="L46" s="801" t="s">
        <v>1165</v>
      </c>
      <c r="M46" s="735">
        <f t="shared" si="7"/>
        <v>41356</v>
      </c>
      <c r="N46" s="843">
        <v>41359</v>
      </c>
      <c r="O46" s="738" t="s">
        <v>748</v>
      </c>
      <c r="P46" s="776">
        <v>10</v>
      </c>
      <c r="Q46" s="764">
        <v>11227</v>
      </c>
      <c r="R46" s="8">
        <f t="shared" si="5"/>
        <v>112270</v>
      </c>
      <c r="S46" s="502"/>
      <c r="T46" s="735"/>
      <c r="U46" s="764"/>
      <c r="V46" s="764"/>
      <c r="W46" s="8"/>
    </row>
    <row r="47" spans="1:23" ht="12.75" customHeight="1">
      <c r="A47" s="719">
        <f t="shared" si="2"/>
        <v>42</v>
      </c>
      <c r="B47" s="290" t="s">
        <v>745</v>
      </c>
      <c r="C47" s="25">
        <f t="shared" si="3"/>
        <v>1381680</v>
      </c>
      <c r="D47" s="720">
        <f t="shared" si="10"/>
        <v>47035.807860262008</v>
      </c>
      <c r="E47" s="720">
        <f t="shared" si="10"/>
        <v>3422.882096069869</v>
      </c>
      <c r="F47" s="720">
        <f t="shared" si="10"/>
        <v>20206.113537117904</v>
      </c>
      <c r="G47" s="720">
        <f t="shared" si="10"/>
        <v>38253.275109170303</v>
      </c>
      <c r="H47" s="25">
        <f t="shared" si="9"/>
        <v>1490598.0786026199</v>
      </c>
      <c r="I47" s="720">
        <v>60</v>
      </c>
      <c r="J47" s="720">
        <f t="shared" si="4"/>
        <v>24843.301310043666</v>
      </c>
      <c r="K47" s="659"/>
      <c r="L47" s="801" t="s">
        <v>1219</v>
      </c>
      <c r="M47" s="735">
        <f t="shared" si="7"/>
        <v>41358</v>
      </c>
      <c r="N47" s="843">
        <v>41361</v>
      </c>
      <c r="O47" s="738" t="s">
        <v>749</v>
      </c>
      <c r="P47" s="776">
        <f>I47</f>
        <v>60</v>
      </c>
      <c r="Q47" s="764">
        <v>23028</v>
      </c>
      <c r="R47" s="8">
        <f t="shared" si="5"/>
        <v>1381680</v>
      </c>
      <c r="S47" s="502"/>
      <c r="T47" s="735"/>
      <c r="U47" s="764"/>
      <c r="V47" s="764"/>
      <c r="W47" s="8"/>
    </row>
    <row r="48" spans="1:23" ht="12.75" customHeight="1">
      <c r="A48" s="719">
        <f t="shared" si="2"/>
        <v>43</v>
      </c>
      <c r="B48" s="290" t="s">
        <v>723</v>
      </c>
      <c r="C48" s="25">
        <f t="shared" si="3"/>
        <v>5037245</v>
      </c>
      <c r="D48" s="720">
        <f t="shared" si="10"/>
        <v>395884.71615720523</v>
      </c>
      <c r="E48" s="720">
        <f t="shared" si="10"/>
        <v>28809.257641921395</v>
      </c>
      <c r="F48" s="720">
        <f t="shared" si="10"/>
        <v>170068.12227074237</v>
      </c>
      <c r="G48" s="720">
        <f t="shared" si="10"/>
        <v>321965.0655021834</v>
      </c>
      <c r="H48" s="25">
        <f t="shared" si="9"/>
        <v>5953972.1615720531</v>
      </c>
      <c r="I48" s="720">
        <v>505</v>
      </c>
      <c r="J48" s="720">
        <f t="shared" si="4"/>
        <v>11790.043884301096</v>
      </c>
      <c r="K48" s="659"/>
      <c r="L48" s="801" t="s">
        <v>1209</v>
      </c>
      <c r="M48" s="735">
        <f t="shared" si="7"/>
        <v>41358</v>
      </c>
      <c r="N48" s="843">
        <v>41361</v>
      </c>
      <c r="O48" s="738" t="s">
        <v>750</v>
      </c>
      <c r="P48" s="776">
        <v>253</v>
      </c>
      <c r="Q48" s="764">
        <v>19910.059505275905</v>
      </c>
      <c r="R48" s="8">
        <f t="shared" si="5"/>
        <v>5037245</v>
      </c>
      <c r="S48" s="502"/>
      <c r="T48" s="735"/>
      <c r="U48" s="764"/>
      <c r="V48" s="764"/>
      <c r="W48" s="8"/>
    </row>
    <row r="49" spans="1:24" ht="12.75" customHeight="1">
      <c r="A49" s="719">
        <f t="shared" si="2"/>
        <v>44</v>
      </c>
      <c r="B49" s="290" t="s">
        <v>751</v>
      </c>
      <c r="C49" s="25">
        <f t="shared" si="3"/>
        <v>10721125</v>
      </c>
      <c r="D49" s="720">
        <f t="shared" si="10"/>
        <v>1560020.9606986898</v>
      </c>
      <c r="E49" s="720">
        <f t="shared" si="10"/>
        <v>113525.58951965065</v>
      </c>
      <c r="F49" s="720">
        <f t="shared" si="10"/>
        <v>670169.43231441046</v>
      </c>
      <c r="G49" s="720">
        <f t="shared" si="10"/>
        <v>1268733.6244541483</v>
      </c>
      <c r="H49" s="25">
        <f t="shared" si="9"/>
        <v>14333574.606986899</v>
      </c>
      <c r="I49" s="720">
        <v>1990</v>
      </c>
      <c r="J49" s="720">
        <f t="shared" si="4"/>
        <v>7202.8013100436674</v>
      </c>
      <c r="K49" s="659"/>
      <c r="L49" s="801" t="s">
        <v>1191</v>
      </c>
      <c r="M49" s="735">
        <f t="shared" si="7"/>
        <v>41358</v>
      </c>
      <c r="N49" s="843">
        <v>41361</v>
      </c>
      <c r="O49" s="738" t="s">
        <v>750</v>
      </c>
      <c r="P49" s="776">
        <f>I49/2</f>
        <v>995</v>
      </c>
      <c r="Q49" s="764">
        <v>10775</v>
      </c>
      <c r="R49" s="8">
        <f t="shared" si="5"/>
        <v>10721125</v>
      </c>
      <c r="S49" s="502"/>
      <c r="T49" s="735"/>
      <c r="U49" s="764"/>
      <c r="V49" s="764"/>
      <c r="W49" s="8"/>
    </row>
    <row r="50" spans="1:24" ht="12.75" customHeight="1">
      <c r="A50" s="719">
        <f t="shared" si="2"/>
        <v>45</v>
      </c>
      <c r="B50" s="290" t="s">
        <v>752</v>
      </c>
      <c r="C50" s="25">
        <f>R50</f>
        <v>1173000</v>
      </c>
      <c r="D50" s="720">
        <f t="shared" si="10"/>
        <v>243018.34061135369</v>
      </c>
      <c r="E50" s="720">
        <f t="shared" si="10"/>
        <v>17684.890829694323</v>
      </c>
      <c r="F50" s="720">
        <f t="shared" si="10"/>
        <v>104398.25327510918</v>
      </c>
      <c r="G50" s="720">
        <f t="shared" si="10"/>
        <v>197641.92139737989</v>
      </c>
      <c r="H50" s="25">
        <f t="shared" si="9"/>
        <v>1735743.406113537</v>
      </c>
      <c r="I50" s="720">
        <v>310</v>
      </c>
      <c r="J50" s="720">
        <f t="shared" ref="J50:J54" si="11">IF(I50&lt;&gt;"",H50/I50,"")</f>
        <v>5599.172277785603</v>
      </c>
      <c r="K50" s="659"/>
      <c r="L50" s="801" t="s">
        <v>1188</v>
      </c>
      <c r="M50" s="735">
        <f t="shared" si="7"/>
        <v>41358</v>
      </c>
      <c r="N50" s="843">
        <v>41361</v>
      </c>
      <c r="O50" s="738" t="s">
        <v>750</v>
      </c>
      <c r="P50" s="298">
        <v>100</v>
      </c>
      <c r="Q50" s="764">
        <v>11730</v>
      </c>
      <c r="R50" s="8">
        <f t="shared" si="5"/>
        <v>1173000</v>
      </c>
      <c r="S50" s="502"/>
      <c r="T50" s="735"/>
      <c r="U50" s="764"/>
      <c r="V50" s="764"/>
      <c r="W50" s="8"/>
    </row>
    <row r="51" spans="1:24" ht="12.75" customHeight="1">
      <c r="A51" s="719">
        <f t="shared" si="2"/>
        <v>46</v>
      </c>
      <c r="B51" s="290" t="s">
        <v>753</v>
      </c>
      <c r="C51" s="25">
        <f>R51</f>
        <v>641300</v>
      </c>
      <c r="D51" s="720">
        <f t="shared" si="10"/>
        <v>239098.68995633186</v>
      </c>
      <c r="E51" s="720">
        <f t="shared" si="10"/>
        <v>17399.650655021833</v>
      </c>
      <c r="F51" s="720">
        <f t="shared" si="10"/>
        <v>102714.41048034935</v>
      </c>
      <c r="G51" s="720">
        <f t="shared" si="10"/>
        <v>194454.14847161571</v>
      </c>
      <c r="H51" s="25">
        <f t="shared" si="9"/>
        <v>1194966.8995633188</v>
      </c>
      <c r="I51" s="720">
        <v>305</v>
      </c>
      <c r="J51" s="720">
        <f t="shared" si="11"/>
        <v>3917.9242608633404</v>
      </c>
      <c r="K51" s="659"/>
      <c r="L51" s="801" t="s">
        <v>1149</v>
      </c>
      <c r="M51" s="735">
        <f t="shared" si="7"/>
        <v>41358</v>
      </c>
      <c r="N51" s="843">
        <v>41361</v>
      </c>
      <c r="O51" s="738" t="s">
        <v>750</v>
      </c>
      <c r="P51" s="776">
        <v>100</v>
      </c>
      <c r="Q51" s="764">
        <v>6413</v>
      </c>
      <c r="R51" s="8">
        <f t="shared" si="5"/>
        <v>641300</v>
      </c>
      <c r="S51" s="502"/>
      <c r="T51" s="735"/>
      <c r="U51" s="764"/>
      <c r="V51" s="764"/>
      <c r="W51" s="8"/>
    </row>
    <row r="52" spans="1:24" ht="12.75" customHeight="1">
      <c r="A52" s="719">
        <f t="shared" si="2"/>
        <v>47</v>
      </c>
      <c r="B52" s="290" t="s">
        <v>721</v>
      </c>
      <c r="C52" s="25">
        <f>R52</f>
        <v>4688500</v>
      </c>
      <c r="D52" s="720">
        <f t="shared" si="10"/>
        <v>391965.0655021834</v>
      </c>
      <c r="E52" s="720">
        <f t="shared" si="10"/>
        <v>28524.017467248908</v>
      </c>
      <c r="F52" s="720">
        <f t="shared" si="10"/>
        <v>168384.27947598253</v>
      </c>
      <c r="G52" s="720">
        <f t="shared" si="10"/>
        <v>318777.29257641919</v>
      </c>
      <c r="H52" s="25">
        <f t="shared" si="9"/>
        <v>5596150.6550218342</v>
      </c>
      <c r="I52" s="720">
        <v>500</v>
      </c>
      <c r="J52" s="720">
        <f t="shared" si="11"/>
        <v>11192.301310043669</v>
      </c>
      <c r="K52" s="659"/>
      <c r="L52" s="801" t="s">
        <v>1160</v>
      </c>
      <c r="M52" s="735">
        <f t="shared" si="7"/>
        <v>41358</v>
      </c>
      <c r="N52" s="843">
        <v>41361</v>
      </c>
      <c r="O52" s="738" t="s">
        <v>750</v>
      </c>
      <c r="P52" s="776">
        <v>500</v>
      </c>
      <c r="Q52" s="764">
        <v>9377</v>
      </c>
      <c r="R52" s="8">
        <f t="shared" si="5"/>
        <v>4688500</v>
      </c>
      <c r="S52" s="502"/>
      <c r="T52" s="735"/>
      <c r="U52" s="764"/>
      <c r="V52" s="764"/>
      <c r="W52" s="8"/>
    </row>
    <row r="53" spans="1:24" ht="12.75" customHeight="1">
      <c r="A53" s="719">
        <f t="shared" si="2"/>
        <v>48</v>
      </c>
      <c r="B53" s="290" t="s">
        <v>690</v>
      </c>
      <c r="C53" s="25">
        <f>R53</f>
        <v>4862520</v>
      </c>
      <c r="D53" s="720">
        <f t="shared" si="10"/>
        <v>1003430.5676855894</v>
      </c>
      <c r="E53" s="720">
        <f t="shared" si="10"/>
        <v>73021.484716157196</v>
      </c>
      <c r="F53" s="720">
        <f t="shared" si="10"/>
        <v>431063.75545851531</v>
      </c>
      <c r="G53" s="720">
        <f t="shared" si="10"/>
        <v>816069.86899563321</v>
      </c>
      <c r="H53" s="25">
        <f t="shared" si="9"/>
        <v>7186105.6768558947</v>
      </c>
      <c r="I53" s="720">
        <v>1280</v>
      </c>
      <c r="J53" s="720">
        <f t="shared" si="11"/>
        <v>5614.1450600436674</v>
      </c>
      <c r="K53" s="659"/>
      <c r="L53" s="801" t="s">
        <v>1153</v>
      </c>
      <c r="M53" s="735">
        <f t="shared" si="7"/>
        <v>41360</v>
      </c>
      <c r="N53" s="843">
        <v>41363</v>
      </c>
      <c r="O53" s="738" t="s">
        <v>754</v>
      </c>
      <c r="P53" s="298">
        <v>360</v>
      </c>
      <c r="Q53" s="765">
        <v>13507</v>
      </c>
      <c r="R53" s="8">
        <f t="shared" si="5"/>
        <v>4862520</v>
      </c>
      <c r="S53" s="502"/>
      <c r="T53" s="735"/>
      <c r="U53" s="764"/>
      <c r="V53" s="764"/>
      <c r="W53" s="8"/>
    </row>
    <row r="54" spans="1:24" ht="12.75" customHeight="1">
      <c r="A54" s="719">
        <f t="shared" si="2"/>
        <v>49</v>
      </c>
      <c r="B54" s="290" t="s">
        <v>1103</v>
      </c>
      <c r="C54" s="25">
        <f>R54</f>
        <v>5458800</v>
      </c>
      <c r="D54" s="720">
        <f t="shared" si="10"/>
        <v>940716.1572052401</v>
      </c>
      <c r="E54" s="720">
        <f t="shared" si="10"/>
        <v>68457.641921397371</v>
      </c>
      <c r="F54" s="720">
        <f t="shared" si="10"/>
        <v>404122.27074235812</v>
      </c>
      <c r="G54" s="720">
        <f t="shared" si="10"/>
        <v>765065.50218340603</v>
      </c>
      <c r="H54" s="25">
        <f t="shared" si="9"/>
        <v>7637161.5720524006</v>
      </c>
      <c r="I54" s="720">
        <v>1200</v>
      </c>
      <c r="J54" s="720">
        <f t="shared" si="11"/>
        <v>6364.3013100436674</v>
      </c>
      <c r="K54" s="659"/>
      <c r="L54" s="801" t="s">
        <v>1148</v>
      </c>
      <c r="M54" s="735">
        <f t="shared" si="7"/>
        <v>41360</v>
      </c>
      <c r="N54" s="843">
        <v>41363</v>
      </c>
      <c r="O54" s="738" t="s">
        <v>755</v>
      </c>
      <c r="P54" s="776">
        <v>600</v>
      </c>
      <c r="Q54" s="764">
        <v>9098</v>
      </c>
      <c r="R54" s="8">
        <f t="shared" si="5"/>
        <v>5458800</v>
      </c>
      <c r="S54" s="502"/>
      <c r="T54" s="735"/>
      <c r="U54" s="764"/>
      <c r="V54" s="764"/>
      <c r="W54" s="8"/>
    </row>
    <row r="55" spans="1:24" s="739" customFormat="1">
      <c r="A55" s="719"/>
      <c r="B55" s="290"/>
      <c r="C55" s="25"/>
      <c r="D55" s="720"/>
      <c r="E55" s="720"/>
      <c r="F55" s="720"/>
      <c r="G55" s="720"/>
      <c r="H55" s="25"/>
      <c r="I55" s="250"/>
      <c r="J55" s="720"/>
      <c r="K55" s="659"/>
      <c r="L55" s="737"/>
      <c r="M55" s="735"/>
      <c r="N55" s="843"/>
      <c r="O55" s="738"/>
      <c r="P55" s="776"/>
      <c r="Q55" s="764"/>
      <c r="R55" s="764"/>
      <c r="S55" s="737"/>
      <c r="T55" s="735"/>
      <c r="U55" s="764"/>
      <c r="V55" s="764"/>
      <c r="W55" s="8"/>
    </row>
    <row r="56" spans="1:24" s="717" customFormat="1">
      <c r="A56" s="721"/>
      <c r="B56" s="722" t="s">
        <v>246</v>
      </c>
      <c r="C56" s="528">
        <f>SUM(C6:C55)</f>
        <v>179945440</v>
      </c>
      <c r="D56" s="528">
        <v>22440000</v>
      </c>
      <c r="E56" s="528">
        <f>$W$56</f>
        <v>1633000</v>
      </c>
      <c r="F56" s="528">
        <v>9640000</v>
      </c>
      <c r="G56" s="528">
        <v>18250000</v>
      </c>
      <c r="H56" s="528">
        <f>ROUND(SUM(H6:H55),0)</f>
        <v>231908440</v>
      </c>
      <c r="I56" s="528">
        <f>ROUND(SUM(I6:I55),0)</f>
        <v>28625</v>
      </c>
      <c r="J56" s="528"/>
      <c r="K56" s="730"/>
      <c r="L56" s="740"/>
      <c r="M56" s="741"/>
      <c r="N56" s="741"/>
      <c r="O56" s="742"/>
      <c r="P56" s="777">
        <f>SUM(P6:P55)</f>
        <v>13221</v>
      </c>
      <c r="Q56" s="47"/>
      <c r="R56" s="47">
        <f>SUM(R6:R55)</f>
        <v>179945440</v>
      </c>
      <c r="S56" s="740"/>
      <c r="T56" s="741"/>
      <c r="U56" s="754"/>
      <c r="V56" s="27"/>
      <c r="W56" s="47">
        <f>SUM(W6:W55)</f>
        <v>1633000</v>
      </c>
    </row>
    <row r="57" spans="1:24" s="717" customFormat="1">
      <c r="A57" s="723"/>
      <c r="B57" s="724"/>
      <c r="C57" s="718"/>
      <c r="D57" s="718"/>
      <c r="E57" s="718"/>
      <c r="F57" s="718"/>
      <c r="G57" s="718"/>
      <c r="H57" s="718">
        <v>240045655</v>
      </c>
      <c r="I57" s="718"/>
      <c r="J57" s="718"/>
      <c r="K57" s="730"/>
      <c r="L57" s="443"/>
      <c r="M57" s="743"/>
      <c r="N57" s="743"/>
      <c r="O57" s="744"/>
      <c r="P57" s="778"/>
      <c r="Q57" s="732"/>
      <c r="R57" s="745"/>
      <c r="S57" s="443"/>
      <c r="T57" s="743"/>
      <c r="U57" s="732"/>
      <c r="V57" s="732"/>
      <c r="W57" s="716"/>
    </row>
    <row r="58" spans="1:24">
      <c r="C58" s="725"/>
      <c r="D58" s="725"/>
      <c r="E58" s="726"/>
      <c r="F58" s="726"/>
      <c r="H58" s="746">
        <f>H57-H56</f>
        <v>8137215</v>
      </c>
      <c r="I58" s="718"/>
      <c r="L58" s="443"/>
      <c r="M58" s="743"/>
      <c r="N58" s="743"/>
      <c r="O58" s="744"/>
      <c r="P58" s="778"/>
      <c r="Q58" s="732"/>
      <c r="R58" s="745"/>
      <c r="S58" s="443"/>
      <c r="T58" s="743"/>
      <c r="U58" s="732"/>
      <c r="V58" s="732"/>
    </row>
    <row r="59" spans="1:24" ht="18" hidden="1" customHeight="1">
      <c r="A59" s="565" t="str">
        <f>TH!$A$1</f>
        <v>Đơn vị: CÔNG TY TNHH SX TM KIM DUNG PHÁT</v>
      </c>
      <c r="B59" s="717"/>
      <c r="C59" s="286"/>
      <c r="D59" s="286"/>
      <c r="E59" s="286"/>
      <c r="F59" s="286"/>
      <c r="G59" s="286"/>
      <c r="H59" s="286"/>
      <c r="I59" s="593"/>
      <c r="J59" s="286"/>
      <c r="K59" s="730"/>
      <c r="L59" s="443"/>
      <c r="M59" s="743"/>
      <c r="N59" s="743"/>
      <c r="O59" s="744"/>
      <c r="P59" s="778"/>
      <c r="Q59" s="732"/>
      <c r="R59" s="745"/>
      <c r="S59" s="443"/>
      <c r="T59" s="743"/>
      <c r="U59" s="732"/>
      <c r="V59" s="732"/>
      <c r="X59" s="725"/>
    </row>
    <row r="60" spans="1:24" ht="18.75" customHeight="1">
      <c r="A60" s="718" t="s">
        <v>1133</v>
      </c>
      <c r="B60" s="718"/>
      <c r="C60" s="718"/>
      <c r="D60" s="718"/>
      <c r="E60" s="718"/>
      <c r="F60" s="718"/>
      <c r="G60" s="718"/>
      <c r="H60" s="718"/>
      <c r="I60" s="718"/>
      <c r="J60" s="718"/>
      <c r="K60" s="730"/>
      <c r="L60" s="443"/>
      <c r="M60" s="743"/>
      <c r="N60" s="743"/>
      <c r="O60" s="744"/>
      <c r="P60" s="778"/>
      <c r="Q60" s="732"/>
      <c r="R60" s="745"/>
      <c r="S60" s="443"/>
      <c r="T60" s="743"/>
      <c r="U60" s="732"/>
      <c r="V60" s="732"/>
    </row>
    <row r="61" spans="1:24" ht="12.75" customHeight="1">
      <c r="A61" s="766"/>
      <c r="B61" s="761"/>
      <c r="C61" s="761"/>
      <c r="D61" s="761"/>
      <c r="E61" s="761"/>
      <c r="F61" s="761"/>
      <c r="G61" s="761"/>
      <c r="H61" s="761"/>
      <c r="I61" s="731"/>
      <c r="J61" s="761"/>
      <c r="K61" s="730"/>
      <c r="L61" s="443"/>
      <c r="M61" s="743"/>
      <c r="N61" s="743"/>
      <c r="O61" s="744"/>
      <c r="P61" s="778"/>
      <c r="Q61" s="732"/>
      <c r="R61" s="745"/>
      <c r="S61" s="443"/>
      <c r="T61" s="743"/>
      <c r="U61" s="732"/>
      <c r="V61" s="732"/>
    </row>
    <row r="62" spans="1:24" s="440" customFormat="1" ht="30.75" customHeight="1">
      <c r="A62" s="784" t="s">
        <v>35</v>
      </c>
      <c r="B62" s="435" t="s">
        <v>237</v>
      </c>
      <c r="C62" s="436" t="s">
        <v>240</v>
      </c>
      <c r="D62" s="436" t="s">
        <v>435</v>
      </c>
      <c r="E62" s="436" t="s">
        <v>241</v>
      </c>
      <c r="F62" s="436" t="s">
        <v>428</v>
      </c>
      <c r="G62" s="437" t="s">
        <v>242</v>
      </c>
      <c r="H62" s="436" t="s">
        <v>243</v>
      </c>
      <c r="I62" s="438" t="s">
        <v>238</v>
      </c>
      <c r="J62" s="436" t="s">
        <v>244</v>
      </c>
      <c r="K62" s="439"/>
      <c r="L62" s="435" t="s">
        <v>237</v>
      </c>
      <c r="M62" s="436" t="s">
        <v>231</v>
      </c>
      <c r="N62" s="436"/>
      <c r="O62" s="712"/>
      <c r="P62" s="775" t="s">
        <v>196</v>
      </c>
      <c r="Q62" s="436" t="s">
        <v>239</v>
      </c>
      <c r="R62" s="436" t="s">
        <v>245</v>
      </c>
      <c r="S62" s="435" t="s">
        <v>237</v>
      </c>
      <c r="T62" s="436" t="s">
        <v>231</v>
      </c>
      <c r="U62" s="436" t="s">
        <v>196</v>
      </c>
      <c r="V62" s="436" t="s">
        <v>239</v>
      </c>
      <c r="W62" s="435" t="s">
        <v>245</v>
      </c>
    </row>
    <row r="63" spans="1:24">
      <c r="A63" s="719">
        <f>IF(B63&lt;&gt;"",ROW()-62,"")</f>
        <v>1</v>
      </c>
      <c r="B63" s="783" t="s">
        <v>1095</v>
      </c>
      <c r="C63" s="760">
        <f>R63</f>
        <v>7725000</v>
      </c>
      <c r="D63" s="760">
        <f t="shared" ref="D63:G82" si="12">IF($I$136&lt;&gt;0,D$136/$I$136*$I63,0)</f>
        <v>209207.47804536394</v>
      </c>
      <c r="E63" s="760">
        <f t="shared" si="12"/>
        <v>15547.204712389777</v>
      </c>
      <c r="F63" s="758">
        <f t="shared" si="12"/>
        <v>64926.458703733631</v>
      </c>
      <c r="G63" s="758">
        <f t="shared" si="12"/>
        <v>168790.2950631252</v>
      </c>
      <c r="H63" s="760">
        <f t="shared" ref="H63:H94" si="13">ROUND(SUM(C63:G63),0)</f>
        <v>8183471</v>
      </c>
      <c r="I63" s="760">
        <v>515</v>
      </c>
      <c r="J63" s="758">
        <f>IF(I63&lt;&gt;"",H63/I63,"")</f>
        <v>15890.23495145631</v>
      </c>
      <c r="K63" s="659"/>
      <c r="L63" s="189" t="s">
        <v>678</v>
      </c>
      <c r="M63" s="735">
        <f>N63-3</f>
        <v>41364</v>
      </c>
      <c r="N63" s="733">
        <v>41367</v>
      </c>
      <c r="O63" s="734" t="s">
        <v>756</v>
      </c>
      <c r="P63" s="298">
        <f>I63</f>
        <v>515</v>
      </c>
      <c r="Q63" s="765">
        <v>15000</v>
      </c>
      <c r="R63" s="25">
        <f>P63*Q63</f>
        <v>7725000</v>
      </c>
      <c r="S63" s="441" t="s">
        <v>369</v>
      </c>
      <c r="T63" s="733">
        <v>41365</v>
      </c>
      <c r="U63" s="765">
        <v>25</v>
      </c>
      <c r="V63" s="765">
        <v>25000</v>
      </c>
      <c r="W63" s="25">
        <f>U63*V63</f>
        <v>625000</v>
      </c>
    </row>
    <row r="64" spans="1:24">
      <c r="A64" s="759">
        <f t="shared" ref="A64:A127" si="14">IF(B64&lt;&gt;"",ROW()-62,"")</f>
        <v>2</v>
      </c>
      <c r="B64" s="291" t="s">
        <v>708</v>
      </c>
      <c r="C64" s="782">
        <f t="shared" ref="C64" si="15">R64</f>
        <v>3499750</v>
      </c>
      <c r="D64" s="527">
        <f t="shared" si="12"/>
        <v>203114.05635472227</v>
      </c>
      <c r="E64" s="527">
        <f t="shared" si="12"/>
        <v>15094.373507174541</v>
      </c>
      <c r="F64" s="527">
        <f t="shared" si="12"/>
        <v>63035.396799741393</v>
      </c>
      <c r="G64" s="527">
        <f t="shared" si="12"/>
        <v>163874.07287682057</v>
      </c>
      <c r="H64" s="760">
        <f t="shared" si="13"/>
        <v>3944868</v>
      </c>
      <c r="I64" s="527">
        <v>500</v>
      </c>
      <c r="J64" s="527">
        <f t="shared" ref="J64" si="16">IF(I64&lt;&gt;"",H64/I64,"")</f>
        <v>7889.7359999999999</v>
      </c>
      <c r="K64" s="659"/>
      <c r="L64" s="801" t="s">
        <v>1195</v>
      </c>
      <c r="M64" s="735">
        <f t="shared" ref="M64:M127" si="17">N64-3</f>
        <v>41365</v>
      </c>
      <c r="N64" s="733">
        <v>41368</v>
      </c>
      <c r="O64" s="734" t="s">
        <v>758</v>
      </c>
      <c r="P64" s="298">
        <v>250</v>
      </c>
      <c r="Q64" s="765">
        <v>13999</v>
      </c>
      <c r="R64" s="25">
        <f t="shared" ref="R64" si="18">P64*Q64</f>
        <v>3499750</v>
      </c>
      <c r="S64" s="442" t="s">
        <v>342</v>
      </c>
      <c r="T64" s="733">
        <v>41365</v>
      </c>
      <c r="U64" s="763">
        <v>24</v>
      </c>
      <c r="V64" s="763">
        <v>44000</v>
      </c>
      <c r="W64" s="8">
        <f t="shared" ref="W64" si="19">U64*V64</f>
        <v>1056000</v>
      </c>
    </row>
    <row r="65" spans="1:23">
      <c r="A65" s="759">
        <f t="shared" si="14"/>
        <v>3</v>
      </c>
      <c r="B65" s="290" t="s">
        <v>451</v>
      </c>
      <c r="C65" s="782">
        <f t="shared" ref="C65:C128" si="20">R65</f>
        <v>4240384</v>
      </c>
      <c r="D65" s="527">
        <f t="shared" si="12"/>
        <v>162491.24508377782</v>
      </c>
      <c r="E65" s="527">
        <f t="shared" si="12"/>
        <v>12075.498805739633</v>
      </c>
      <c r="F65" s="527">
        <f t="shared" si="12"/>
        <v>50428.317439793114</v>
      </c>
      <c r="G65" s="527">
        <f t="shared" si="12"/>
        <v>131099.25830145646</v>
      </c>
      <c r="H65" s="760">
        <f t="shared" si="13"/>
        <v>4596478</v>
      </c>
      <c r="I65" s="527">
        <v>400</v>
      </c>
      <c r="J65" s="527">
        <f t="shared" ref="J65:J128" si="21">IF(I65&lt;&gt;"",H65/I65,"")</f>
        <v>11491.195</v>
      </c>
      <c r="K65" s="659"/>
      <c r="L65" s="801" t="s">
        <v>1138</v>
      </c>
      <c r="M65" s="735">
        <f t="shared" si="17"/>
        <v>41365</v>
      </c>
      <c r="N65" s="733">
        <v>41368</v>
      </c>
      <c r="O65" s="734" t="s">
        <v>759</v>
      </c>
      <c r="P65" s="779">
        <v>202</v>
      </c>
      <c r="Q65" s="249">
        <v>20992</v>
      </c>
      <c r="R65" s="8">
        <f t="shared" ref="R65" si="22">P65*Q65</f>
        <v>4240384</v>
      </c>
      <c r="S65" s="442"/>
      <c r="T65" s="733"/>
      <c r="U65" s="763"/>
      <c r="V65" s="763"/>
      <c r="W65" s="8">
        <f t="shared" ref="W65:W66" si="23">U65*V65</f>
        <v>0</v>
      </c>
    </row>
    <row r="66" spans="1:23">
      <c r="A66" s="759">
        <f t="shared" si="14"/>
        <v>4</v>
      </c>
      <c r="B66" s="290" t="s">
        <v>451</v>
      </c>
      <c r="C66" s="782">
        <f t="shared" si="20"/>
        <v>5255750</v>
      </c>
      <c r="D66" s="527">
        <f t="shared" si="12"/>
        <v>203114.05635472227</v>
      </c>
      <c r="E66" s="527">
        <f t="shared" si="12"/>
        <v>15094.373507174541</v>
      </c>
      <c r="F66" s="527">
        <f t="shared" si="12"/>
        <v>63035.396799741393</v>
      </c>
      <c r="G66" s="527">
        <f t="shared" si="12"/>
        <v>163874.07287682057</v>
      </c>
      <c r="H66" s="760">
        <f t="shared" si="13"/>
        <v>5700868</v>
      </c>
      <c r="I66" s="527">
        <v>500</v>
      </c>
      <c r="J66" s="527">
        <f t="shared" si="21"/>
        <v>11401.736000000001</v>
      </c>
      <c r="K66" s="659"/>
      <c r="L66" s="801" t="s">
        <v>1214</v>
      </c>
      <c r="M66" s="735">
        <f t="shared" si="17"/>
        <v>41366</v>
      </c>
      <c r="N66" s="733">
        <v>41369</v>
      </c>
      <c r="O66" s="734" t="s">
        <v>546</v>
      </c>
      <c r="P66" s="779">
        <f>I66/2</f>
        <v>250</v>
      </c>
      <c r="Q66" s="249">
        <v>21023</v>
      </c>
      <c r="R66" s="8">
        <f t="shared" ref="R66:R67" si="24">P66*Q66</f>
        <v>5255750</v>
      </c>
      <c r="S66" s="442"/>
      <c r="T66" s="735"/>
      <c r="U66" s="763"/>
      <c r="V66" s="763"/>
      <c r="W66" s="8">
        <f t="shared" si="23"/>
        <v>0</v>
      </c>
    </row>
    <row r="67" spans="1:23">
      <c r="A67" s="759">
        <f t="shared" si="14"/>
        <v>5</v>
      </c>
      <c r="B67" s="290" t="s">
        <v>762</v>
      </c>
      <c r="C67" s="782">
        <f t="shared" si="20"/>
        <v>11512804</v>
      </c>
      <c r="D67" s="527">
        <f t="shared" si="12"/>
        <v>406228.11270944454</v>
      </c>
      <c r="E67" s="527">
        <f t="shared" si="12"/>
        <v>30188.747014349083</v>
      </c>
      <c r="F67" s="527">
        <f t="shared" si="12"/>
        <v>126070.79359948279</v>
      </c>
      <c r="G67" s="527">
        <f t="shared" si="12"/>
        <v>327748.14575364115</v>
      </c>
      <c r="H67" s="760">
        <f t="shared" si="13"/>
        <v>12403040</v>
      </c>
      <c r="I67" s="527">
        <v>1000</v>
      </c>
      <c r="J67" s="527">
        <f t="shared" si="21"/>
        <v>12403.04</v>
      </c>
      <c r="K67" s="659"/>
      <c r="L67" s="801" t="s">
        <v>1142</v>
      </c>
      <c r="M67" s="735">
        <f t="shared" si="17"/>
        <v>41366</v>
      </c>
      <c r="N67" s="733">
        <v>41369</v>
      </c>
      <c r="O67" s="734" t="s">
        <v>763</v>
      </c>
      <c r="P67" s="779">
        <v>508</v>
      </c>
      <c r="Q67" s="251">
        <v>22663</v>
      </c>
      <c r="R67" s="8">
        <f t="shared" si="24"/>
        <v>11512804</v>
      </c>
      <c r="S67" s="442"/>
      <c r="T67" s="735"/>
      <c r="U67" s="763"/>
      <c r="V67" s="763"/>
      <c r="W67" s="8">
        <f t="shared" ref="W67" si="25">U67*V67</f>
        <v>0</v>
      </c>
    </row>
    <row r="68" spans="1:23">
      <c r="A68" s="759">
        <f t="shared" si="14"/>
        <v>6</v>
      </c>
      <c r="B68" s="290" t="s">
        <v>764</v>
      </c>
      <c r="C68" s="782">
        <f t="shared" si="20"/>
        <v>5665750</v>
      </c>
      <c r="D68" s="527">
        <f t="shared" si="12"/>
        <v>203114.05635472227</v>
      </c>
      <c r="E68" s="527">
        <f t="shared" si="12"/>
        <v>15094.373507174541</v>
      </c>
      <c r="F68" s="527">
        <f t="shared" si="12"/>
        <v>63035.396799741393</v>
      </c>
      <c r="G68" s="527">
        <f t="shared" si="12"/>
        <v>163874.07287682057</v>
      </c>
      <c r="H68" s="760">
        <f t="shared" si="13"/>
        <v>6110868</v>
      </c>
      <c r="I68" s="527">
        <v>500</v>
      </c>
      <c r="J68" s="527">
        <f t="shared" si="21"/>
        <v>12221.736000000001</v>
      </c>
      <c r="K68" s="659"/>
      <c r="L68" s="801" t="s">
        <v>1142</v>
      </c>
      <c r="M68" s="735">
        <f t="shared" si="17"/>
        <v>41367</v>
      </c>
      <c r="N68" s="733">
        <v>41370</v>
      </c>
      <c r="O68" s="734" t="s">
        <v>765</v>
      </c>
      <c r="P68" s="779">
        <f>I68/2</f>
        <v>250</v>
      </c>
      <c r="Q68" s="251">
        <v>22663</v>
      </c>
      <c r="R68" s="8">
        <f t="shared" ref="R68:R106" si="26">P68*Q68</f>
        <v>5665750</v>
      </c>
      <c r="S68" s="442"/>
      <c r="T68" s="735"/>
      <c r="U68" s="763"/>
      <c r="V68" s="763"/>
      <c r="W68" s="8">
        <f t="shared" ref="W68:W99" si="27">U68*V68</f>
        <v>0</v>
      </c>
    </row>
    <row r="69" spans="1:23">
      <c r="A69" s="759">
        <f t="shared" si="14"/>
        <v>7</v>
      </c>
      <c r="B69" s="290" t="s">
        <v>764</v>
      </c>
      <c r="C69" s="782">
        <f t="shared" si="20"/>
        <v>1133150</v>
      </c>
      <c r="D69" s="527">
        <f t="shared" si="12"/>
        <v>40622.811270944454</v>
      </c>
      <c r="E69" s="527">
        <f t="shared" si="12"/>
        <v>3018.8747014349083</v>
      </c>
      <c r="F69" s="527">
        <f t="shared" si="12"/>
        <v>12607.079359948279</v>
      </c>
      <c r="G69" s="527">
        <f t="shared" si="12"/>
        <v>32774.814575364115</v>
      </c>
      <c r="H69" s="760">
        <f t="shared" si="13"/>
        <v>1222174</v>
      </c>
      <c r="I69" s="527">
        <v>100</v>
      </c>
      <c r="J69" s="527">
        <f t="shared" si="21"/>
        <v>12221.74</v>
      </c>
      <c r="K69" s="659"/>
      <c r="L69" s="801" t="s">
        <v>1142</v>
      </c>
      <c r="M69" s="735">
        <f t="shared" si="17"/>
        <v>41367</v>
      </c>
      <c r="N69" s="733">
        <v>41370</v>
      </c>
      <c r="O69" s="734" t="s">
        <v>765</v>
      </c>
      <c r="P69" s="779">
        <f>I69/2</f>
        <v>50</v>
      </c>
      <c r="Q69" s="251">
        <v>22663</v>
      </c>
      <c r="R69" s="8">
        <f t="shared" si="26"/>
        <v>1133150</v>
      </c>
      <c r="S69" s="442"/>
      <c r="T69" s="735"/>
      <c r="U69" s="763"/>
      <c r="V69" s="763"/>
      <c r="W69" s="8">
        <f t="shared" si="27"/>
        <v>0</v>
      </c>
    </row>
    <row r="70" spans="1:23">
      <c r="A70" s="759">
        <f t="shared" si="14"/>
        <v>8</v>
      </c>
      <c r="B70" s="290" t="s">
        <v>1129</v>
      </c>
      <c r="C70" s="782">
        <f t="shared" si="20"/>
        <v>17625000</v>
      </c>
      <c r="D70" s="527">
        <f t="shared" si="12"/>
        <v>1620850.1697106836</v>
      </c>
      <c r="E70" s="527">
        <f t="shared" si="12"/>
        <v>120453.10058725285</v>
      </c>
      <c r="F70" s="527">
        <f t="shared" si="12"/>
        <v>503022.4664619363</v>
      </c>
      <c r="G70" s="527">
        <f t="shared" si="12"/>
        <v>1307715.1015570282</v>
      </c>
      <c r="H70" s="760">
        <f t="shared" si="13"/>
        <v>21177041</v>
      </c>
      <c r="I70" s="527">
        <v>3990</v>
      </c>
      <c r="J70" s="527">
        <f t="shared" si="21"/>
        <v>5307.5290726817038</v>
      </c>
      <c r="K70" s="659"/>
      <c r="L70" s="801" t="s">
        <v>1208</v>
      </c>
      <c r="M70" s="735">
        <f t="shared" si="17"/>
        <v>41372</v>
      </c>
      <c r="N70" s="733">
        <v>41375</v>
      </c>
      <c r="O70" s="734" t="s">
        <v>766</v>
      </c>
      <c r="P70" s="779">
        <v>1000</v>
      </c>
      <c r="Q70" s="251">
        <v>17625</v>
      </c>
      <c r="R70" s="8">
        <f t="shared" si="26"/>
        <v>17625000</v>
      </c>
      <c r="S70" s="442"/>
      <c r="T70" s="735"/>
      <c r="U70" s="763"/>
      <c r="V70" s="763"/>
      <c r="W70" s="8">
        <f t="shared" si="27"/>
        <v>0</v>
      </c>
    </row>
    <row r="71" spans="1:23">
      <c r="A71" s="759">
        <f t="shared" si="14"/>
        <v>9</v>
      </c>
      <c r="B71" s="290" t="s">
        <v>1103</v>
      </c>
      <c r="C71" s="782">
        <f t="shared" si="20"/>
        <v>13757851.128475361</v>
      </c>
      <c r="D71" s="527">
        <f t="shared" si="12"/>
        <v>1122408.2754161952</v>
      </c>
      <c r="E71" s="527">
        <f t="shared" si="12"/>
        <v>83411.508000646514</v>
      </c>
      <c r="F71" s="527">
        <f t="shared" si="12"/>
        <v>348333.60271537094</v>
      </c>
      <c r="G71" s="527">
        <f t="shared" si="12"/>
        <v>905568.12671731052</v>
      </c>
      <c r="H71" s="760">
        <f t="shared" si="13"/>
        <v>16217573</v>
      </c>
      <c r="I71" s="527">
        <v>2763</v>
      </c>
      <c r="J71" s="527">
        <f t="shared" si="21"/>
        <v>5869.5522982265657</v>
      </c>
      <c r="K71" s="659"/>
      <c r="L71" s="801" t="s">
        <v>1209</v>
      </c>
      <c r="M71" s="735">
        <f t="shared" si="17"/>
        <v>41372</v>
      </c>
      <c r="N71" s="733">
        <v>41375</v>
      </c>
      <c r="O71" s="734" t="s">
        <v>766</v>
      </c>
      <c r="P71" s="298">
        <v>691</v>
      </c>
      <c r="Q71" s="251">
        <v>19910.059520224833</v>
      </c>
      <c r="R71" s="8">
        <f t="shared" si="26"/>
        <v>13757851.128475361</v>
      </c>
      <c r="S71" s="442"/>
      <c r="T71" s="735"/>
      <c r="U71" s="763"/>
      <c r="V71" s="763"/>
      <c r="W71" s="8">
        <f t="shared" si="27"/>
        <v>0</v>
      </c>
    </row>
    <row r="72" spans="1:23">
      <c r="A72" s="759">
        <f t="shared" si="14"/>
        <v>10</v>
      </c>
      <c r="B72" s="290" t="s">
        <v>1110</v>
      </c>
      <c r="C72" s="782">
        <f t="shared" si="20"/>
        <v>1676634</v>
      </c>
      <c r="D72" s="527">
        <f t="shared" si="12"/>
        <v>41841.495609072786</v>
      </c>
      <c r="E72" s="527">
        <f t="shared" si="12"/>
        <v>3109.4409424779556</v>
      </c>
      <c r="F72" s="527">
        <f t="shared" si="12"/>
        <v>12985.291740746727</v>
      </c>
      <c r="G72" s="527">
        <f t="shared" si="12"/>
        <v>33758.059012625039</v>
      </c>
      <c r="H72" s="760">
        <f t="shared" si="13"/>
        <v>1768328</v>
      </c>
      <c r="I72" s="527">
        <v>103</v>
      </c>
      <c r="J72" s="527">
        <f t="shared" si="21"/>
        <v>17168.233009708736</v>
      </c>
      <c r="K72" s="659"/>
      <c r="L72" s="801" t="s">
        <v>1174</v>
      </c>
      <c r="M72" s="735">
        <f t="shared" si="17"/>
        <v>41372</v>
      </c>
      <c r="N72" s="733">
        <v>41375</v>
      </c>
      <c r="O72" s="734" t="s">
        <v>767</v>
      </c>
      <c r="P72" s="298">
        <v>103</v>
      </c>
      <c r="Q72" s="249">
        <v>16278</v>
      </c>
      <c r="R72" s="8">
        <f t="shared" si="26"/>
        <v>1676634</v>
      </c>
      <c r="S72" s="442"/>
      <c r="T72" s="735"/>
      <c r="U72" s="763"/>
      <c r="V72" s="763"/>
      <c r="W72" s="8">
        <f t="shared" si="27"/>
        <v>0</v>
      </c>
    </row>
    <row r="73" spans="1:23">
      <c r="A73" s="759">
        <f t="shared" si="14"/>
        <v>11</v>
      </c>
      <c r="B73" s="290" t="s">
        <v>768</v>
      </c>
      <c r="C73" s="782">
        <f t="shared" si="20"/>
        <v>93240</v>
      </c>
      <c r="D73" s="527">
        <f t="shared" si="12"/>
        <v>81245.622541888908</v>
      </c>
      <c r="E73" s="527">
        <f t="shared" si="12"/>
        <v>6037.7494028698165</v>
      </c>
      <c r="F73" s="527">
        <f t="shared" si="12"/>
        <v>25214.158719896557</v>
      </c>
      <c r="G73" s="527">
        <f t="shared" si="12"/>
        <v>65549.629150728229</v>
      </c>
      <c r="H73" s="760">
        <f t="shared" si="13"/>
        <v>271287</v>
      </c>
      <c r="I73" s="527">
        <v>200</v>
      </c>
      <c r="J73" s="527">
        <f t="shared" si="21"/>
        <v>1356.4349999999999</v>
      </c>
      <c r="K73" s="659"/>
      <c r="L73" s="801" t="s">
        <v>1158</v>
      </c>
      <c r="M73" s="735">
        <f t="shared" si="17"/>
        <v>41372</v>
      </c>
      <c r="N73" s="733">
        <v>41375</v>
      </c>
      <c r="O73" s="734" t="s">
        <v>767</v>
      </c>
      <c r="P73" s="298">
        <v>10</v>
      </c>
      <c r="Q73" s="251">
        <v>9324</v>
      </c>
      <c r="R73" s="8">
        <f t="shared" si="26"/>
        <v>93240</v>
      </c>
      <c r="S73" s="442"/>
      <c r="T73" s="735"/>
      <c r="U73" s="763"/>
      <c r="V73" s="763"/>
      <c r="W73" s="8">
        <f t="shared" si="27"/>
        <v>0</v>
      </c>
    </row>
    <row r="74" spans="1:23">
      <c r="A74" s="759">
        <f t="shared" si="14"/>
        <v>12</v>
      </c>
      <c r="B74" s="290" t="s">
        <v>1108</v>
      </c>
      <c r="C74" s="782">
        <f t="shared" si="20"/>
        <v>4329395</v>
      </c>
      <c r="D74" s="527">
        <f t="shared" si="12"/>
        <v>402165.83158235007</v>
      </c>
      <c r="E74" s="527">
        <f t="shared" si="12"/>
        <v>29886.859544205592</v>
      </c>
      <c r="F74" s="527">
        <f t="shared" si="12"/>
        <v>124810.08566348796</v>
      </c>
      <c r="G74" s="527">
        <f t="shared" si="12"/>
        <v>324470.66429610475</v>
      </c>
      <c r="H74" s="760">
        <f t="shared" si="13"/>
        <v>5210728</v>
      </c>
      <c r="I74" s="527">
        <v>990</v>
      </c>
      <c r="J74" s="527">
        <f t="shared" si="21"/>
        <v>5263.3616161616164</v>
      </c>
      <c r="K74" s="659"/>
      <c r="L74" s="801" t="s">
        <v>1237</v>
      </c>
      <c r="M74" s="735">
        <f t="shared" si="17"/>
        <v>41372</v>
      </c>
      <c r="N74" s="733">
        <v>41375</v>
      </c>
      <c r="O74" s="734" t="s">
        <v>767</v>
      </c>
      <c r="P74" s="779">
        <v>205</v>
      </c>
      <c r="Q74" s="249">
        <v>21119</v>
      </c>
      <c r="R74" s="8">
        <f t="shared" si="26"/>
        <v>4329395</v>
      </c>
      <c r="S74" s="442"/>
      <c r="T74" s="735"/>
      <c r="U74" s="763"/>
      <c r="V74" s="763"/>
      <c r="W74" s="8">
        <f t="shared" si="27"/>
        <v>0</v>
      </c>
    </row>
    <row r="75" spans="1:23">
      <c r="A75" s="759">
        <f t="shared" si="14"/>
        <v>13</v>
      </c>
      <c r="B75" s="290" t="s">
        <v>722</v>
      </c>
      <c r="C75" s="782">
        <f t="shared" si="20"/>
        <v>13426420</v>
      </c>
      <c r="D75" s="527">
        <f t="shared" si="12"/>
        <v>444819.78341684176</v>
      </c>
      <c r="E75" s="527">
        <f t="shared" si="12"/>
        <v>33056.677980712244</v>
      </c>
      <c r="F75" s="527">
        <f t="shared" si="12"/>
        <v>138047.51899143364</v>
      </c>
      <c r="G75" s="527">
        <f t="shared" si="12"/>
        <v>358884.21960023709</v>
      </c>
      <c r="H75" s="760">
        <f t="shared" si="13"/>
        <v>14401228</v>
      </c>
      <c r="I75" s="527">
        <v>1095</v>
      </c>
      <c r="J75" s="527">
        <f t="shared" si="21"/>
        <v>13151.806392694063</v>
      </c>
      <c r="K75" s="659"/>
      <c r="L75" s="801" t="s">
        <v>1220</v>
      </c>
      <c r="M75" s="735">
        <f t="shared" si="17"/>
        <v>41373</v>
      </c>
      <c r="N75" s="733">
        <v>41376</v>
      </c>
      <c r="O75" s="734" t="s">
        <v>769</v>
      </c>
      <c r="P75" s="779">
        <v>580</v>
      </c>
      <c r="Q75" s="249">
        <v>23149</v>
      </c>
      <c r="R75" s="8">
        <f t="shared" si="26"/>
        <v>13426420</v>
      </c>
      <c r="S75" s="442"/>
      <c r="T75" s="735"/>
      <c r="U75" s="763"/>
      <c r="V75" s="763"/>
      <c r="W75" s="8">
        <f t="shared" si="27"/>
        <v>0</v>
      </c>
    </row>
    <row r="76" spans="1:23">
      <c r="A76" s="759">
        <f t="shared" si="14"/>
        <v>14</v>
      </c>
      <c r="B76" s="290" t="s">
        <v>719</v>
      </c>
      <c r="C76" s="782">
        <f t="shared" si="20"/>
        <v>4079340</v>
      </c>
      <c r="D76" s="527">
        <f t="shared" si="12"/>
        <v>146242.12057540004</v>
      </c>
      <c r="E76" s="527">
        <f t="shared" si="12"/>
        <v>10867.948925165671</v>
      </c>
      <c r="F76" s="527">
        <f t="shared" si="12"/>
        <v>45385.485695813804</v>
      </c>
      <c r="G76" s="527">
        <f t="shared" si="12"/>
        <v>117989.33247131082</v>
      </c>
      <c r="H76" s="760">
        <f t="shared" si="13"/>
        <v>4399825</v>
      </c>
      <c r="I76" s="527">
        <v>360</v>
      </c>
      <c r="J76" s="527">
        <f t="shared" si="21"/>
        <v>12221.736111111111</v>
      </c>
      <c r="K76" s="659"/>
      <c r="L76" s="801" t="s">
        <v>1142</v>
      </c>
      <c r="M76" s="735">
        <f t="shared" si="17"/>
        <v>41373</v>
      </c>
      <c r="N76" s="733">
        <v>41376</v>
      </c>
      <c r="O76" s="734" t="s">
        <v>769</v>
      </c>
      <c r="P76" s="779">
        <f>I76/2</f>
        <v>180</v>
      </c>
      <c r="Q76" s="251">
        <v>22663</v>
      </c>
      <c r="R76" s="8">
        <f t="shared" si="26"/>
        <v>4079340</v>
      </c>
      <c r="S76" s="442"/>
      <c r="T76" s="735"/>
      <c r="U76" s="763"/>
      <c r="V76" s="763"/>
      <c r="W76" s="8">
        <f t="shared" si="27"/>
        <v>0</v>
      </c>
    </row>
    <row r="77" spans="1:23">
      <c r="A77" s="759">
        <f t="shared" si="14"/>
        <v>15</v>
      </c>
      <c r="B77" s="290" t="s">
        <v>1103</v>
      </c>
      <c r="C77" s="782">
        <f t="shared" si="20"/>
        <v>19571588.508381013</v>
      </c>
      <c r="D77" s="527">
        <f t="shared" si="12"/>
        <v>1596476.482948117</v>
      </c>
      <c r="E77" s="527">
        <f t="shared" si="12"/>
        <v>118641.77576639189</v>
      </c>
      <c r="F77" s="527">
        <f t="shared" si="12"/>
        <v>495458.21884596732</v>
      </c>
      <c r="G77" s="527">
        <f t="shared" si="12"/>
        <v>1288050.2128118097</v>
      </c>
      <c r="H77" s="760">
        <f t="shared" si="13"/>
        <v>23070215</v>
      </c>
      <c r="I77" s="527">
        <v>3930</v>
      </c>
      <c r="J77" s="527">
        <f t="shared" si="21"/>
        <v>5870.2837150127225</v>
      </c>
      <c r="K77" s="659"/>
      <c r="L77" s="801" t="s">
        <v>1209</v>
      </c>
      <c r="M77" s="735">
        <f t="shared" si="17"/>
        <v>41377</v>
      </c>
      <c r="N77" s="733">
        <v>41380</v>
      </c>
      <c r="O77" s="734" t="s">
        <v>770</v>
      </c>
      <c r="P77" s="298">
        <v>983</v>
      </c>
      <c r="Q77" s="251">
        <v>19910.059520224833</v>
      </c>
      <c r="R77" s="8">
        <f t="shared" si="26"/>
        <v>19571588.508381013</v>
      </c>
      <c r="S77" s="442"/>
      <c r="T77" s="735"/>
      <c r="U77" s="763"/>
      <c r="V77" s="763"/>
      <c r="W77" s="8">
        <f t="shared" si="27"/>
        <v>0</v>
      </c>
    </row>
    <row r="78" spans="1:23">
      <c r="A78" s="759">
        <f t="shared" si="14"/>
        <v>16</v>
      </c>
      <c r="B78" s="291" t="s">
        <v>807</v>
      </c>
      <c r="C78" s="782">
        <f t="shared" si="20"/>
        <v>5721750</v>
      </c>
      <c r="D78" s="527">
        <f t="shared" si="12"/>
        <v>422477.23721782229</v>
      </c>
      <c r="E78" s="527">
        <f t="shared" si="12"/>
        <v>31396.296894923045</v>
      </c>
      <c r="F78" s="527">
        <f t="shared" si="12"/>
        <v>131113.6253434621</v>
      </c>
      <c r="G78" s="527">
        <f t="shared" si="12"/>
        <v>340858.0715837868</v>
      </c>
      <c r="H78" s="760">
        <f t="shared" si="13"/>
        <v>6647595</v>
      </c>
      <c r="I78" s="527">
        <v>1040</v>
      </c>
      <c r="J78" s="527">
        <f t="shared" si="21"/>
        <v>6391.9182692307695</v>
      </c>
      <c r="K78" s="659"/>
      <c r="L78" s="801" t="s">
        <v>1228</v>
      </c>
      <c r="M78" s="735">
        <f t="shared" si="17"/>
        <v>41377</v>
      </c>
      <c r="N78" s="733">
        <v>41380</v>
      </c>
      <c r="O78" s="734" t="s">
        <v>771</v>
      </c>
      <c r="P78" s="298">
        <v>250</v>
      </c>
      <c r="Q78" s="251">
        <v>22887</v>
      </c>
      <c r="R78" s="8">
        <f t="shared" si="26"/>
        <v>5721750</v>
      </c>
      <c r="S78" s="442"/>
      <c r="T78" s="735"/>
      <c r="U78" s="763"/>
      <c r="V78" s="763"/>
      <c r="W78" s="8">
        <f t="shared" si="27"/>
        <v>0</v>
      </c>
    </row>
    <row r="79" spans="1:23">
      <c r="A79" s="759">
        <f t="shared" si="14"/>
        <v>17</v>
      </c>
      <c r="B79" s="290" t="s">
        <v>708</v>
      </c>
      <c r="C79" s="782">
        <f t="shared" si="20"/>
        <v>4607720</v>
      </c>
      <c r="D79" s="527">
        <f t="shared" si="12"/>
        <v>272172.83551532781</v>
      </c>
      <c r="E79" s="527">
        <f t="shared" si="12"/>
        <v>20226.460499613884</v>
      </c>
      <c r="F79" s="527">
        <f t="shared" si="12"/>
        <v>84467.431711653466</v>
      </c>
      <c r="G79" s="527">
        <f t="shared" si="12"/>
        <v>219591.25765493957</v>
      </c>
      <c r="H79" s="760">
        <f t="shared" si="13"/>
        <v>5204178</v>
      </c>
      <c r="I79" s="527">
        <v>670</v>
      </c>
      <c r="J79" s="527">
        <f t="shared" si="21"/>
        <v>7767.429850746269</v>
      </c>
      <c r="K79" s="659"/>
      <c r="L79" s="801" t="s">
        <v>1176</v>
      </c>
      <c r="M79" s="735">
        <f t="shared" si="17"/>
        <v>41378</v>
      </c>
      <c r="N79" s="733">
        <v>41381</v>
      </c>
      <c r="O79" s="734" t="s">
        <v>452</v>
      </c>
      <c r="P79" s="298">
        <v>260</v>
      </c>
      <c r="Q79" s="251">
        <v>17722</v>
      </c>
      <c r="R79" s="8">
        <f t="shared" si="26"/>
        <v>4607720</v>
      </c>
      <c r="S79" s="442"/>
      <c r="T79" s="735"/>
      <c r="U79" s="763"/>
      <c r="V79" s="763"/>
      <c r="W79" s="8">
        <f t="shared" si="27"/>
        <v>0</v>
      </c>
    </row>
    <row r="80" spans="1:23">
      <c r="A80" s="759">
        <f t="shared" si="14"/>
        <v>18</v>
      </c>
      <c r="B80" s="290" t="s">
        <v>772</v>
      </c>
      <c r="C80" s="782">
        <f t="shared" si="20"/>
        <v>3639740</v>
      </c>
      <c r="D80" s="527">
        <f t="shared" si="12"/>
        <v>208801.24993265449</v>
      </c>
      <c r="E80" s="527">
        <f t="shared" si="12"/>
        <v>15517.015965375429</v>
      </c>
      <c r="F80" s="527">
        <f t="shared" si="12"/>
        <v>64800.387910134152</v>
      </c>
      <c r="G80" s="527">
        <f t="shared" si="12"/>
        <v>168462.54691737154</v>
      </c>
      <c r="H80" s="760">
        <f t="shared" si="13"/>
        <v>4097321</v>
      </c>
      <c r="I80" s="527">
        <v>514</v>
      </c>
      <c r="J80" s="527">
        <f t="shared" si="21"/>
        <v>7971.4416342412451</v>
      </c>
      <c r="K80" s="659"/>
      <c r="L80" s="801" t="s">
        <v>1195</v>
      </c>
      <c r="M80" s="735">
        <f t="shared" si="17"/>
        <v>41384</v>
      </c>
      <c r="N80" s="733">
        <v>41387</v>
      </c>
      <c r="O80" s="734" t="s">
        <v>773</v>
      </c>
      <c r="P80" s="298">
        <v>260</v>
      </c>
      <c r="Q80" s="251">
        <v>13999</v>
      </c>
      <c r="R80" s="8">
        <f t="shared" si="26"/>
        <v>3639740</v>
      </c>
      <c r="S80" s="442"/>
      <c r="T80" s="735"/>
      <c r="U80" s="763"/>
      <c r="V80" s="763"/>
      <c r="W80" s="8">
        <f t="shared" si="27"/>
        <v>0</v>
      </c>
    </row>
    <row r="81" spans="1:23">
      <c r="A81" s="759">
        <f t="shared" si="14"/>
        <v>19</v>
      </c>
      <c r="B81" s="290" t="s">
        <v>775</v>
      </c>
      <c r="C81" s="782">
        <f t="shared" si="20"/>
        <v>4183446</v>
      </c>
      <c r="D81" s="527">
        <f t="shared" si="12"/>
        <v>211238.61860891114</v>
      </c>
      <c r="E81" s="527">
        <f t="shared" si="12"/>
        <v>15698.148447461523</v>
      </c>
      <c r="F81" s="527">
        <f t="shared" si="12"/>
        <v>65556.812671731052</v>
      </c>
      <c r="G81" s="527">
        <f t="shared" si="12"/>
        <v>170429.0357918934</v>
      </c>
      <c r="H81" s="760">
        <f t="shared" si="13"/>
        <v>4646369</v>
      </c>
      <c r="I81" s="527">
        <v>520</v>
      </c>
      <c r="J81" s="527">
        <f t="shared" si="21"/>
        <v>8935.3250000000007</v>
      </c>
      <c r="K81" s="659"/>
      <c r="L81" s="801" t="s">
        <v>1174</v>
      </c>
      <c r="M81" s="735">
        <f t="shared" si="17"/>
        <v>41384</v>
      </c>
      <c r="N81" s="733">
        <v>41387</v>
      </c>
      <c r="O81" s="734" t="s">
        <v>773</v>
      </c>
      <c r="P81" s="298">
        <v>257</v>
      </c>
      <c r="Q81" s="251">
        <v>16278</v>
      </c>
      <c r="R81" s="8">
        <f t="shared" si="26"/>
        <v>4183446</v>
      </c>
      <c r="S81" s="442"/>
      <c r="T81" s="735"/>
      <c r="U81" s="763"/>
      <c r="V81" s="763"/>
      <c r="W81" s="8">
        <f t="shared" si="27"/>
        <v>0</v>
      </c>
    </row>
    <row r="82" spans="1:23">
      <c r="A82" s="759">
        <f t="shared" si="14"/>
        <v>20</v>
      </c>
      <c r="B82" s="290" t="s">
        <v>1107</v>
      </c>
      <c r="C82" s="782">
        <f t="shared" si="20"/>
        <v>1554400</v>
      </c>
      <c r="D82" s="527">
        <f t="shared" si="12"/>
        <v>40622.811270944454</v>
      </c>
      <c r="E82" s="527">
        <f t="shared" si="12"/>
        <v>3018.8747014349083</v>
      </c>
      <c r="F82" s="527">
        <f t="shared" si="12"/>
        <v>12607.079359948279</v>
      </c>
      <c r="G82" s="527">
        <f t="shared" si="12"/>
        <v>32774.814575364115</v>
      </c>
      <c r="H82" s="760">
        <f t="shared" si="13"/>
        <v>1643424</v>
      </c>
      <c r="I82" s="527">
        <v>100</v>
      </c>
      <c r="J82" s="527">
        <f t="shared" si="21"/>
        <v>16434.240000000002</v>
      </c>
      <c r="K82" s="659"/>
      <c r="L82" s="801" t="s">
        <v>1162</v>
      </c>
      <c r="M82" s="735">
        <f t="shared" si="17"/>
        <v>41385</v>
      </c>
      <c r="N82" s="733">
        <v>41388</v>
      </c>
      <c r="O82" s="734" t="s">
        <v>776</v>
      </c>
      <c r="P82" s="298">
        <v>100</v>
      </c>
      <c r="Q82" s="249">
        <v>15544</v>
      </c>
      <c r="R82" s="8">
        <f t="shared" si="26"/>
        <v>1554400</v>
      </c>
      <c r="S82" s="442"/>
      <c r="T82" s="735"/>
      <c r="U82" s="763"/>
      <c r="V82" s="763"/>
      <c r="W82" s="8">
        <f t="shared" si="27"/>
        <v>0</v>
      </c>
    </row>
    <row r="83" spans="1:23">
      <c r="A83" s="759">
        <f t="shared" si="14"/>
        <v>21</v>
      </c>
      <c r="B83" s="290" t="s">
        <v>1113</v>
      </c>
      <c r="C83" s="782">
        <f t="shared" si="20"/>
        <v>1383129</v>
      </c>
      <c r="D83" s="527">
        <f t="shared" ref="D83:G102" si="28">IF($I$136&lt;&gt;0,D$136/$I$136*$I83,0)</f>
        <v>40216.583158235007</v>
      </c>
      <c r="E83" s="527">
        <f t="shared" si="28"/>
        <v>2988.685954420559</v>
      </c>
      <c r="F83" s="527">
        <f t="shared" si="28"/>
        <v>12481.008566348795</v>
      </c>
      <c r="G83" s="527">
        <f t="shared" si="28"/>
        <v>32447.066429610473</v>
      </c>
      <c r="H83" s="760">
        <f t="shared" si="13"/>
        <v>1471262</v>
      </c>
      <c r="I83" s="527">
        <v>99</v>
      </c>
      <c r="J83" s="527">
        <f t="shared" si="21"/>
        <v>14861.232323232323</v>
      </c>
      <c r="K83" s="659"/>
      <c r="L83" s="801" t="s">
        <v>1194</v>
      </c>
      <c r="M83" s="735">
        <f t="shared" si="17"/>
        <v>41385</v>
      </c>
      <c r="N83" s="733">
        <v>41388</v>
      </c>
      <c r="O83" s="734" t="s">
        <v>776</v>
      </c>
      <c r="P83" s="779">
        <f>I83</f>
        <v>99</v>
      </c>
      <c r="Q83" s="251">
        <v>13971</v>
      </c>
      <c r="R83" s="8">
        <f t="shared" si="26"/>
        <v>1383129</v>
      </c>
      <c r="S83" s="442"/>
      <c r="T83" s="735"/>
      <c r="U83" s="763"/>
      <c r="V83" s="763"/>
      <c r="W83" s="8">
        <f t="shared" si="27"/>
        <v>0</v>
      </c>
    </row>
    <row r="84" spans="1:23">
      <c r="A84" s="759">
        <f t="shared" si="14"/>
        <v>22</v>
      </c>
      <c r="B84" s="290" t="s">
        <v>777</v>
      </c>
      <c r="C84" s="782">
        <f t="shared" si="20"/>
        <v>1012800</v>
      </c>
      <c r="D84" s="527">
        <f t="shared" si="28"/>
        <v>81245.622541888908</v>
      </c>
      <c r="E84" s="527">
        <f t="shared" si="28"/>
        <v>6037.7494028698165</v>
      </c>
      <c r="F84" s="527">
        <f t="shared" si="28"/>
        <v>25214.158719896557</v>
      </c>
      <c r="G84" s="527">
        <f t="shared" si="28"/>
        <v>65549.629150728229</v>
      </c>
      <c r="H84" s="760">
        <f t="shared" si="13"/>
        <v>1190847</v>
      </c>
      <c r="I84" s="527">
        <v>200</v>
      </c>
      <c r="J84" s="527">
        <f t="shared" si="21"/>
        <v>5954.2349999999997</v>
      </c>
      <c r="K84" s="659"/>
      <c r="L84" s="801" t="s">
        <v>1204</v>
      </c>
      <c r="M84" s="735">
        <f t="shared" si="17"/>
        <v>41385</v>
      </c>
      <c r="N84" s="733">
        <v>41388</v>
      </c>
      <c r="O84" s="734" t="s">
        <v>778</v>
      </c>
      <c r="P84" s="298">
        <v>64</v>
      </c>
      <c r="Q84" s="251">
        <v>15825</v>
      </c>
      <c r="R84" s="8">
        <f t="shared" si="26"/>
        <v>1012800</v>
      </c>
      <c r="S84" s="442"/>
      <c r="T84" s="735"/>
      <c r="U84" s="763"/>
      <c r="V84" s="763"/>
      <c r="W84" s="8">
        <f t="shared" si="27"/>
        <v>0</v>
      </c>
    </row>
    <row r="85" spans="1:23">
      <c r="A85" s="759">
        <f t="shared" si="14"/>
        <v>23</v>
      </c>
      <c r="B85" s="290" t="s">
        <v>779</v>
      </c>
      <c r="C85" s="782">
        <f t="shared" si="20"/>
        <v>845163.58620689658</v>
      </c>
      <c r="D85" s="527">
        <f t="shared" si="28"/>
        <v>82870.53499272668</v>
      </c>
      <c r="E85" s="527">
        <f t="shared" si="28"/>
        <v>6158.5043909272126</v>
      </c>
      <c r="F85" s="527">
        <f t="shared" si="28"/>
        <v>25718.441894294487</v>
      </c>
      <c r="G85" s="527">
        <f t="shared" si="28"/>
        <v>66860.621733742795</v>
      </c>
      <c r="H85" s="760">
        <f t="shared" si="13"/>
        <v>1026772</v>
      </c>
      <c r="I85" s="527">
        <v>204</v>
      </c>
      <c r="J85" s="527">
        <f t="shared" si="21"/>
        <v>5033.1960784313724</v>
      </c>
      <c r="K85" s="659"/>
      <c r="L85" s="801" t="s">
        <v>1190</v>
      </c>
      <c r="M85" s="735">
        <f t="shared" si="17"/>
        <v>41385</v>
      </c>
      <c r="N85" s="733">
        <v>41388</v>
      </c>
      <c r="O85" s="734" t="s">
        <v>778</v>
      </c>
      <c r="P85" s="298">
        <v>70</v>
      </c>
      <c r="Q85" s="251">
        <v>12073.76551724138</v>
      </c>
      <c r="R85" s="8">
        <f t="shared" si="26"/>
        <v>845163.58620689658</v>
      </c>
      <c r="S85" s="442"/>
      <c r="T85" s="735"/>
      <c r="U85" s="763"/>
      <c r="V85" s="763"/>
      <c r="W85" s="8">
        <f t="shared" si="27"/>
        <v>0</v>
      </c>
    </row>
    <row r="86" spans="1:23">
      <c r="A86" s="759">
        <f t="shared" si="14"/>
        <v>24</v>
      </c>
      <c r="B86" s="290" t="s">
        <v>1103</v>
      </c>
      <c r="C86" s="782">
        <f t="shared" si="20"/>
        <v>20308260.710629329</v>
      </c>
      <c r="D86" s="527">
        <f t="shared" si="28"/>
        <v>1657410.6998545337</v>
      </c>
      <c r="E86" s="527">
        <f t="shared" si="28"/>
        <v>123170.08781854426</v>
      </c>
      <c r="F86" s="527">
        <f t="shared" si="28"/>
        <v>514368.83788588975</v>
      </c>
      <c r="G86" s="527">
        <f t="shared" si="28"/>
        <v>1337212.434674856</v>
      </c>
      <c r="H86" s="760">
        <f t="shared" si="13"/>
        <v>23940423</v>
      </c>
      <c r="I86" s="527">
        <v>4080</v>
      </c>
      <c r="J86" s="527">
        <f t="shared" si="21"/>
        <v>5867.7507352941175</v>
      </c>
      <c r="K86" s="659"/>
      <c r="L86" s="801" t="s">
        <v>1209</v>
      </c>
      <c r="M86" s="735">
        <f t="shared" si="17"/>
        <v>41386</v>
      </c>
      <c r="N86" s="733">
        <v>41389</v>
      </c>
      <c r="O86" s="734" t="s">
        <v>780</v>
      </c>
      <c r="P86" s="298">
        <f>I86/4</f>
        <v>1020</v>
      </c>
      <c r="Q86" s="251">
        <v>19910.059520224833</v>
      </c>
      <c r="R86" s="8">
        <f t="shared" si="26"/>
        <v>20308260.710629329</v>
      </c>
      <c r="S86" s="442"/>
      <c r="T86" s="735"/>
      <c r="U86" s="763"/>
      <c r="V86" s="763"/>
      <c r="W86" s="8">
        <f t="shared" si="27"/>
        <v>0</v>
      </c>
    </row>
    <row r="87" spans="1:23">
      <c r="A87" s="759">
        <f t="shared" si="14"/>
        <v>25</v>
      </c>
      <c r="B87" s="290" t="s">
        <v>781</v>
      </c>
      <c r="C87" s="782">
        <f t="shared" si="20"/>
        <v>2834560</v>
      </c>
      <c r="D87" s="527">
        <f t="shared" si="28"/>
        <v>125930.7149399278</v>
      </c>
      <c r="E87" s="527">
        <f t="shared" si="28"/>
        <v>9358.5115744482155</v>
      </c>
      <c r="F87" s="527">
        <f t="shared" si="28"/>
        <v>39081.946015839661</v>
      </c>
      <c r="G87" s="527">
        <f t="shared" si="28"/>
        <v>101601.92518362876</v>
      </c>
      <c r="H87" s="760">
        <f t="shared" si="13"/>
        <v>3110533</v>
      </c>
      <c r="I87" s="527">
        <v>310</v>
      </c>
      <c r="J87" s="527">
        <f t="shared" si="21"/>
        <v>10033.977419354838</v>
      </c>
      <c r="K87" s="659"/>
      <c r="L87" s="801" t="s">
        <v>1167</v>
      </c>
      <c r="M87" s="735">
        <f t="shared" si="17"/>
        <v>41388</v>
      </c>
      <c r="N87" s="733">
        <v>41391</v>
      </c>
      <c r="O87" s="734" t="s">
        <v>782</v>
      </c>
      <c r="P87" s="779">
        <v>160</v>
      </c>
      <c r="Q87" s="251">
        <v>17716</v>
      </c>
      <c r="R87" s="8">
        <f t="shared" si="26"/>
        <v>2834560</v>
      </c>
      <c r="S87" s="442"/>
      <c r="T87" s="735"/>
      <c r="U87" s="763"/>
      <c r="V87" s="763"/>
      <c r="W87" s="8">
        <f t="shared" si="27"/>
        <v>0</v>
      </c>
    </row>
    <row r="88" spans="1:23">
      <c r="A88" s="759">
        <f t="shared" si="14"/>
        <v>26</v>
      </c>
      <c r="B88" s="290" t="s">
        <v>783</v>
      </c>
      <c r="C88" s="782">
        <f t="shared" si="20"/>
        <v>1595886</v>
      </c>
      <c r="D88" s="527">
        <f t="shared" si="28"/>
        <v>91401.325359625014</v>
      </c>
      <c r="E88" s="527">
        <f t="shared" si="28"/>
        <v>6792.4680782285441</v>
      </c>
      <c r="F88" s="527">
        <f t="shared" si="28"/>
        <v>28365.928559883625</v>
      </c>
      <c r="G88" s="527">
        <f t="shared" si="28"/>
        <v>73743.332794569258</v>
      </c>
      <c r="H88" s="760">
        <f t="shared" si="13"/>
        <v>1796189</v>
      </c>
      <c r="I88" s="527">
        <v>225</v>
      </c>
      <c r="J88" s="527">
        <f t="shared" si="21"/>
        <v>7983.0622222222219</v>
      </c>
      <c r="K88" s="659"/>
      <c r="L88" s="801" t="s">
        <v>1195</v>
      </c>
      <c r="M88" s="735">
        <f t="shared" si="17"/>
        <v>41388</v>
      </c>
      <c r="N88" s="733">
        <v>41391</v>
      </c>
      <c r="O88" s="734" t="s">
        <v>782</v>
      </c>
      <c r="P88" s="298">
        <v>114</v>
      </c>
      <c r="Q88" s="251">
        <v>13999</v>
      </c>
      <c r="R88" s="8">
        <f t="shared" si="26"/>
        <v>1595886</v>
      </c>
      <c r="S88" s="442"/>
      <c r="T88" s="735"/>
      <c r="U88" s="763"/>
      <c r="V88" s="763"/>
      <c r="W88" s="8">
        <f t="shared" si="27"/>
        <v>0</v>
      </c>
    </row>
    <row r="89" spans="1:23">
      <c r="A89" s="759">
        <f t="shared" si="14"/>
        <v>27</v>
      </c>
      <c r="B89" s="290" t="s">
        <v>784</v>
      </c>
      <c r="C89" s="782">
        <f t="shared" si="20"/>
        <v>8306620.7230483275</v>
      </c>
      <c r="D89" s="527">
        <f t="shared" si="28"/>
        <v>208801.24993265449</v>
      </c>
      <c r="E89" s="527">
        <f t="shared" si="28"/>
        <v>15517.015965375429</v>
      </c>
      <c r="F89" s="527">
        <f t="shared" si="28"/>
        <v>64800.387910134152</v>
      </c>
      <c r="G89" s="527">
        <f t="shared" si="28"/>
        <v>168462.54691737154</v>
      </c>
      <c r="H89" s="760">
        <f t="shared" si="13"/>
        <v>8764202</v>
      </c>
      <c r="I89" s="527">
        <v>514</v>
      </c>
      <c r="J89" s="527">
        <f t="shared" si="21"/>
        <v>17050.9766536965</v>
      </c>
      <c r="K89" s="659"/>
      <c r="L89" s="801" t="s">
        <v>1215</v>
      </c>
      <c r="M89" s="735">
        <f t="shared" si="17"/>
        <v>41397</v>
      </c>
      <c r="N89" s="733">
        <v>41400</v>
      </c>
      <c r="O89" s="734" t="s">
        <v>785</v>
      </c>
      <c r="P89" s="779">
        <f>I89/2</f>
        <v>257</v>
      </c>
      <c r="Q89" s="765">
        <v>32321.481412639405</v>
      </c>
      <c r="R89" s="8">
        <f t="shared" si="26"/>
        <v>8306620.7230483275</v>
      </c>
      <c r="S89" s="442"/>
      <c r="T89" s="735"/>
      <c r="U89" s="763"/>
      <c r="V89" s="763"/>
      <c r="W89" s="8">
        <f t="shared" si="27"/>
        <v>0</v>
      </c>
    </row>
    <row r="90" spans="1:23">
      <c r="A90" s="759">
        <f t="shared" si="14"/>
        <v>28</v>
      </c>
      <c r="B90" s="290" t="s">
        <v>786</v>
      </c>
      <c r="C90" s="782">
        <f t="shared" si="20"/>
        <v>159016</v>
      </c>
      <c r="D90" s="527">
        <f t="shared" si="28"/>
        <v>406228.11270944454</v>
      </c>
      <c r="E90" s="527">
        <f t="shared" si="28"/>
        <v>30188.747014349083</v>
      </c>
      <c r="F90" s="527">
        <f t="shared" si="28"/>
        <v>126070.79359948279</v>
      </c>
      <c r="G90" s="527">
        <f t="shared" si="28"/>
        <v>327748.14575364115</v>
      </c>
      <c r="H90" s="760">
        <f t="shared" si="13"/>
        <v>1049252</v>
      </c>
      <c r="I90" s="527">
        <v>1000</v>
      </c>
      <c r="J90" s="527">
        <f t="shared" si="21"/>
        <v>1049.252</v>
      </c>
      <c r="K90" s="659"/>
      <c r="L90" s="801" t="s">
        <v>1152</v>
      </c>
      <c r="M90" s="735">
        <f t="shared" si="17"/>
        <v>41397</v>
      </c>
      <c r="N90" s="733">
        <v>41400</v>
      </c>
      <c r="O90" s="734" t="s">
        <v>785</v>
      </c>
      <c r="P90" s="298">
        <v>11</v>
      </c>
      <c r="Q90" s="251">
        <v>14456</v>
      </c>
      <c r="R90" s="8">
        <f t="shared" si="26"/>
        <v>159016</v>
      </c>
      <c r="S90" s="442"/>
      <c r="T90" s="735"/>
      <c r="U90" s="763"/>
      <c r="V90" s="763"/>
      <c r="W90" s="8">
        <f t="shared" si="27"/>
        <v>0</v>
      </c>
    </row>
    <row r="91" spans="1:23">
      <c r="A91" s="759">
        <f t="shared" si="14"/>
        <v>29</v>
      </c>
      <c r="B91" s="290" t="s">
        <v>787</v>
      </c>
      <c r="C91" s="782">
        <f t="shared" si="20"/>
        <v>3681500</v>
      </c>
      <c r="D91" s="527">
        <f t="shared" si="28"/>
        <v>203114.05635472227</v>
      </c>
      <c r="E91" s="527">
        <f t="shared" si="28"/>
        <v>15094.373507174541</v>
      </c>
      <c r="F91" s="527">
        <f t="shared" si="28"/>
        <v>63035.396799741393</v>
      </c>
      <c r="G91" s="527">
        <f t="shared" si="28"/>
        <v>163874.07287682057</v>
      </c>
      <c r="H91" s="760">
        <f t="shared" si="13"/>
        <v>4126618</v>
      </c>
      <c r="I91" s="527">
        <v>500</v>
      </c>
      <c r="J91" s="527">
        <f t="shared" si="21"/>
        <v>8253.2360000000008</v>
      </c>
      <c r="K91" s="659"/>
      <c r="L91" s="801" t="s">
        <v>1211</v>
      </c>
      <c r="M91" s="735">
        <f t="shared" si="17"/>
        <v>41398</v>
      </c>
      <c r="N91" s="733">
        <v>41401</v>
      </c>
      <c r="O91" s="734" t="s">
        <v>788</v>
      </c>
      <c r="P91" s="298">
        <v>250</v>
      </c>
      <c r="Q91" s="251">
        <v>14726</v>
      </c>
      <c r="R91" s="8">
        <f t="shared" si="26"/>
        <v>3681500</v>
      </c>
      <c r="S91" s="442"/>
      <c r="T91" s="735"/>
      <c r="U91" s="763"/>
      <c r="V91" s="763"/>
      <c r="W91" s="8">
        <f t="shared" si="27"/>
        <v>0</v>
      </c>
    </row>
    <row r="92" spans="1:23">
      <c r="A92" s="759">
        <f t="shared" si="14"/>
        <v>30</v>
      </c>
      <c r="B92" s="290" t="s">
        <v>781</v>
      </c>
      <c r="C92" s="782">
        <f t="shared" si="20"/>
        <v>1062960</v>
      </c>
      <c r="D92" s="527">
        <f t="shared" si="28"/>
        <v>45903.77673616723</v>
      </c>
      <c r="E92" s="527">
        <f t="shared" si="28"/>
        <v>3411.3284126214462</v>
      </c>
      <c r="F92" s="527">
        <f t="shared" si="28"/>
        <v>14245.999676741554</v>
      </c>
      <c r="G92" s="527">
        <f t="shared" si="28"/>
        <v>37035.540470161453</v>
      </c>
      <c r="H92" s="760">
        <f t="shared" si="13"/>
        <v>1163557</v>
      </c>
      <c r="I92" s="527">
        <v>113</v>
      </c>
      <c r="J92" s="527">
        <f t="shared" si="21"/>
        <v>10296.964601769912</v>
      </c>
      <c r="K92" s="659"/>
      <c r="L92" s="801" t="s">
        <v>1167</v>
      </c>
      <c r="M92" s="735">
        <f t="shared" si="17"/>
        <v>41406</v>
      </c>
      <c r="N92" s="733">
        <v>41409</v>
      </c>
      <c r="O92" s="734" t="s">
        <v>789</v>
      </c>
      <c r="P92" s="779">
        <v>60</v>
      </c>
      <c r="Q92" s="251">
        <v>17716</v>
      </c>
      <c r="R92" s="8">
        <f t="shared" si="26"/>
        <v>1062960</v>
      </c>
      <c r="S92" s="442"/>
      <c r="T92" s="735"/>
      <c r="U92" s="763"/>
      <c r="V92" s="763"/>
      <c r="W92" s="8">
        <f t="shared" si="27"/>
        <v>0</v>
      </c>
    </row>
    <row r="93" spans="1:23">
      <c r="A93" s="759">
        <f t="shared" si="14"/>
        <v>31</v>
      </c>
      <c r="B93" s="290" t="s">
        <v>1097</v>
      </c>
      <c r="C93" s="782">
        <f t="shared" si="20"/>
        <v>1088100</v>
      </c>
      <c r="D93" s="527">
        <f t="shared" si="28"/>
        <v>80433.166316470015</v>
      </c>
      <c r="E93" s="527">
        <f t="shared" si="28"/>
        <v>5977.3719088411181</v>
      </c>
      <c r="F93" s="527">
        <f t="shared" si="28"/>
        <v>24962.017132697591</v>
      </c>
      <c r="G93" s="527">
        <f t="shared" si="28"/>
        <v>64894.132859220947</v>
      </c>
      <c r="H93" s="760">
        <f t="shared" si="13"/>
        <v>1264367</v>
      </c>
      <c r="I93" s="527">
        <v>198</v>
      </c>
      <c r="J93" s="527">
        <f t="shared" si="21"/>
        <v>6385.6919191919196</v>
      </c>
      <c r="K93" s="659"/>
      <c r="L93" s="801" t="s">
        <v>1181</v>
      </c>
      <c r="M93" s="735">
        <f t="shared" si="17"/>
        <v>41406</v>
      </c>
      <c r="N93" s="733">
        <v>41409</v>
      </c>
      <c r="O93" s="734" t="s">
        <v>789</v>
      </c>
      <c r="P93" s="298">
        <v>50</v>
      </c>
      <c r="Q93" s="249">
        <v>21762</v>
      </c>
      <c r="R93" s="8">
        <f t="shared" si="26"/>
        <v>1088100</v>
      </c>
      <c r="S93" s="442"/>
      <c r="T93" s="735"/>
      <c r="U93" s="763"/>
      <c r="V93" s="763"/>
      <c r="W93" s="8">
        <f t="shared" si="27"/>
        <v>0</v>
      </c>
    </row>
    <row r="94" spans="1:23">
      <c r="A94" s="759">
        <f t="shared" si="14"/>
        <v>32</v>
      </c>
      <c r="B94" s="291" t="s">
        <v>1096</v>
      </c>
      <c r="C94" s="782">
        <f t="shared" si="20"/>
        <v>1328114.2068965519</v>
      </c>
      <c r="D94" s="527">
        <f t="shared" si="28"/>
        <v>42247.723721782233</v>
      </c>
      <c r="E94" s="527">
        <f t="shared" si="28"/>
        <v>3139.6296894923048</v>
      </c>
      <c r="F94" s="527">
        <f t="shared" si="28"/>
        <v>13111.36253434621</v>
      </c>
      <c r="G94" s="527">
        <f t="shared" si="28"/>
        <v>34085.80715837868</v>
      </c>
      <c r="H94" s="760">
        <f t="shared" si="13"/>
        <v>1420699</v>
      </c>
      <c r="I94" s="527">
        <v>104</v>
      </c>
      <c r="J94" s="527">
        <f t="shared" si="21"/>
        <v>13660.567307692309</v>
      </c>
      <c r="K94" s="659"/>
      <c r="L94" s="801" t="s">
        <v>1190</v>
      </c>
      <c r="M94" s="735">
        <f t="shared" si="17"/>
        <v>41406</v>
      </c>
      <c r="N94" s="733">
        <v>41409</v>
      </c>
      <c r="O94" s="734" t="s">
        <v>789</v>
      </c>
      <c r="P94" s="779">
        <v>110</v>
      </c>
      <c r="Q94" s="251">
        <v>12073.76551724138</v>
      </c>
      <c r="R94" s="8">
        <f t="shared" si="26"/>
        <v>1328114.2068965519</v>
      </c>
      <c r="S94" s="442"/>
      <c r="T94" s="735"/>
      <c r="U94" s="763"/>
      <c r="V94" s="763"/>
      <c r="W94" s="8">
        <f t="shared" si="27"/>
        <v>0</v>
      </c>
    </row>
    <row r="95" spans="1:23">
      <c r="A95" s="759">
        <f t="shared" si="14"/>
        <v>33</v>
      </c>
      <c r="B95" s="290" t="s">
        <v>783</v>
      </c>
      <c r="C95" s="782">
        <f t="shared" si="20"/>
        <v>1483894</v>
      </c>
      <c r="D95" s="527">
        <f t="shared" si="28"/>
        <v>85714.131781692791</v>
      </c>
      <c r="E95" s="527">
        <f t="shared" si="28"/>
        <v>6369.8256200276564</v>
      </c>
      <c r="F95" s="527">
        <f t="shared" si="28"/>
        <v>26600.937449490866</v>
      </c>
      <c r="G95" s="527">
        <f t="shared" si="28"/>
        <v>69154.858754018278</v>
      </c>
      <c r="H95" s="760">
        <f t="shared" ref="H95:H126" si="29">ROUND(SUM(C95:G95),0)</f>
        <v>1671734</v>
      </c>
      <c r="I95" s="527">
        <v>211</v>
      </c>
      <c r="J95" s="527">
        <f t="shared" si="21"/>
        <v>7922.9099526066348</v>
      </c>
      <c r="K95" s="659"/>
      <c r="L95" s="801" t="s">
        <v>1195</v>
      </c>
      <c r="M95" s="735">
        <f t="shared" si="17"/>
        <v>41406</v>
      </c>
      <c r="N95" s="733">
        <v>41409</v>
      </c>
      <c r="O95" s="734" t="s">
        <v>789</v>
      </c>
      <c r="P95" s="298">
        <v>106</v>
      </c>
      <c r="Q95" s="251">
        <v>13999</v>
      </c>
      <c r="R95" s="8">
        <f t="shared" si="26"/>
        <v>1483894</v>
      </c>
      <c r="S95" s="442"/>
      <c r="T95" s="735"/>
      <c r="U95" s="763"/>
      <c r="V95" s="763"/>
      <c r="W95" s="8">
        <f t="shared" si="27"/>
        <v>0</v>
      </c>
    </row>
    <row r="96" spans="1:23">
      <c r="A96" s="759">
        <f t="shared" si="14"/>
        <v>34</v>
      </c>
      <c r="B96" s="290" t="s">
        <v>451</v>
      </c>
      <c r="C96" s="782">
        <f t="shared" si="20"/>
        <v>15819400</v>
      </c>
      <c r="D96" s="527">
        <f t="shared" si="28"/>
        <v>812456.22541888908</v>
      </c>
      <c r="E96" s="527">
        <f t="shared" si="28"/>
        <v>60377.494028698165</v>
      </c>
      <c r="F96" s="527">
        <f t="shared" si="28"/>
        <v>252141.58719896557</v>
      </c>
      <c r="G96" s="527">
        <f t="shared" si="28"/>
        <v>655496.29150728229</v>
      </c>
      <c r="H96" s="760">
        <f t="shared" si="29"/>
        <v>17599872</v>
      </c>
      <c r="I96" s="527">
        <v>2000</v>
      </c>
      <c r="J96" s="527">
        <f t="shared" si="21"/>
        <v>8799.9359999999997</v>
      </c>
      <c r="K96" s="659"/>
      <c r="L96" s="801" t="s">
        <v>1139</v>
      </c>
      <c r="M96" s="735">
        <f t="shared" si="17"/>
        <v>41406</v>
      </c>
      <c r="N96" s="733">
        <v>41409</v>
      </c>
      <c r="O96" s="734" t="s">
        <v>790</v>
      </c>
      <c r="P96" s="779">
        <v>760</v>
      </c>
      <c r="Q96" s="251">
        <v>20815</v>
      </c>
      <c r="R96" s="8">
        <f t="shared" si="26"/>
        <v>15819400</v>
      </c>
      <c r="S96" s="442"/>
      <c r="T96" s="735"/>
      <c r="U96" s="763"/>
      <c r="V96" s="763"/>
      <c r="W96" s="8">
        <f t="shared" si="27"/>
        <v>0</v>
      </c>
    </row>
    <row r="97" spans="1:23">
      <c r="A97" s="759">
        <f t="shared" si="14"/>
        <v>35</v>
      </c>
      <c r="B97" s="291" t="s">
        <v>451</v>
      </c>
      <c r="C97" s="782">
        <f t="shared" si="20"/>
        <v>14468125</v>
      </c>
      <c r="D97" s="527">
        <f t="shared" si="28"/>
        <v>1015570.2817736113</v>
      </c>
      <c r="E97" s="527">
        <f t="shared" si="28"/>
        <v>75471.867535872705</v>
      </c>
      <c r="F97" s="527">
        <f t="shared" si="28"/>
        <v>315176.98399870697</v>
      </c>
      <c r="G97" s="527">
        <f t="shared" si="28"/>
        <v>819370.36438410287</v>
      </c>
      <c r="H97" s="760">
        <f t="shared" si="29"/>
        <v>16693714</v>
      </c>
      <c r="I97" s="527">
        <v>2500</v>
      </c>
      <c r="J97" s="527">
        <f t="shared" si="21"/>
        <v>6677.4856</v>
      </c>
      <c r="K97" s="659"/>
      <c r="L97" s="801" t="s">
        <v>1220</v>
      </c>
      <c r="M97" s="735">
        <f t="shared" si="17"/>
        <v>41407</v>
      </c>
      <c r="N97" s="733">
        <v>41410</v>
      </c>
      <c r="O97" s="734" t="s">
        <v>792</v>
      </c>
      <c r="P97" s="779">
        <f>I97/4</f>
        <v>625</v>
      </c>
      <c r="Q97" s="251">
        <v>23149</v>
      </c>
      <c r="R97" s="8">
        <f t="shared" si="26"/>
        <v>14468125</v>
      </c>
      <c r="S97" s="442"/>
      <c r="T97" s="735"/>
      <c r="U97" s="763"/>
      <c r="V97" s="763"/>
      <c r="W97" s="8">
        <f t="shared" si="27"/>
        <v>0</v>
      </c>
    </row>
    <row r="98" spans="1:23">
      <c r="A98" s="759">
        <f t="shared" si="14"/>
        <v>36</v>
      </c>
      <c r="B98" s="291" t="s">
        <v>698</v>
      </c>
      <c r="C98" s="782">
        <f t="shared" si="20"/>
        <v>7279480</v>
      </c>
      <c r="D98" s="527">
        <f t="shared" si="28"/>
        <v>420446.09665427508</v>
      </c>
      <c r="E98" s="527">
        <f t="shared" si="28"/>
        <v>31245.3531598513</v>
      </c>
      <c r="F98" s="527">
        <f t="shared" si="28"/>
        <v>130483.27137546468</v>
      </c>
      <c r="G98" s="527">
        <f t="shared" si="28"/>
        <v>339219.33085501858</v>
      </c>
      <c r="H98" s="760">
        <f t="shared" si="29"/>
        <v>8200874</v>
      </c>
      <c r="I98" s="527">
        <v>1035</v>
      </c>
      <c r="J98" s="527">
        <f t="shared" si="21"/>
        <v>7923.5497584541063</v>
      </c>
      <c r="K98" s="659"/>
      <c r="L98" s="801" t="s">
        <v>1195</v>
      </c>
      <c r="M98" s="735">
        <f t="shared" si="17"/>
        <v>41407</v>
      </c>
      <c r="N98" s="733">
        <v>41410</v>
      </c>
      <c r="O98" s="734" t="s">
        <v>793</v>
      </c>
      <c r="P98" s="298">
        <v>520</v>
      </c>
      <c r="Q98" s="251">
        <v>13999</v>
      </c>
      <c r="R98" s="8">
        <f t="shared" si="26"/>
        <v>7279480</v>
      </c>
      <c r="S98" s="442"/>
      <c r="T98" s="735"/>
      <c r="U98" s="763"/>
      <c r="V98" s="763"/>
      <c r="W98" s="8">
        <f t="shared" si="27"/>
        <v>0</v>
      </c>
    </row>
    <row r="99" spans="1:23">
      <c r="A99" s="759">
        <f t="shared" si="14"/>
        <v>37</v>
      </c>
      <c r="B99" s="291" t="s">
        <v>794</v>
      </c>
      <c r="C99" s="782">
        <f t="shared" si="20"/>
        <v>4383525</v>
      </c>
      <c r="D99" s="527">
        <f t="shared" si="28"/>
        <v>224644.14632832282</v>
      </c>
      <c r="E99" s="527">
        <f t="shared" si="28"/>
        <v>16694.377098935041</v>
      </c>
      <c r="F99" s="527">
        <f t="shared" si="28"/>
        <v>69717.148860513975</v>
      </c>
      <c r="G99" s="527">
        <f t="shared" si="28"/>
        <v>181244.72460176356</v>
      </c>
      <c r="H99" s="760">
        <f t="shared" si="29"/>
        <v>4875825</v>
      </c>
      <c r="I99" s="527">
        <v>553</v>
      </c>
      <c r="J99" s="527">
        <f t="shared" si="21"/>
        <v>8817.0433996383363</v>
      </c>
      <c r="K99" s="659"/>
      <c r="L99" s="801" t="s">
        <v>1204</v>
      </c>
      <c r="M99" s="735">
        <f t="shared" si="17"/>
        <v>41407</v>
      </c>
      <c r="N99" s="733">
        <v>41410</v>
      </c>
      <c r="O99" s="734" t="s">
        <v>795</v>
      </c>
      <c r="P99" s="298">
        <v>277</v>
      </c>
      <c r="Q99" s="251">
        <v>15825</v>
      </c>
      <c r="R99" s="8">
        <f t="shared" si="26"/>
        <v>4383525</v>
      </c>
      <c r="S99" s="442"/>
      <c r="T99" s="735"/>
      <c r="U99" s="763"/>
      <c r="V99" s="763"/>
      <c r="W99" s="8">
        <f t="shared" si="27"/>
        <v>0</v>
      </c>
    </row>
    <row r="100" spans="1:23">
      <c r="A100" s="759">
        <f t="shared" si="14"/>
        <v>38</v>
      </c>
      <c r="B100" s="290" t="s">
        <v>781</v>
      </c>
      <c r="C100" s="782">
        <f t="shared" si="20"/>
        <v>2357925</v>
      </c>
      <c r="D100" s="527">
        <f t="shared" si="28"/>
        <v>120649.74947470502</v>
      </c>
      <c r="E100" s="527">
        <f t="shared" si="28"/>
        <v>8966.057863261678</v>
      </c>
      <c r="F100" s="527">
        <f t="shared" si="28"/>
        <v>37443.025699046389</v>
      </c>
      <c r="G100" s="527">
        <f t="shared" si="28"/>
        <v>97341.199288831427</v>
      </c>
      <c r="H100" s="760">
        <f t="shared" si="29"/>
        <v>2622325</v>
      </c>
      <c r="I100" s="527">
        <v>297</v>
      </c>
      <c r="J100" s="527">
        <f t="shared" si="21"/>
        <v>8829.3771043771048</v>
      </c>
      <c r="K100" s="659"/>
      <c r="L100" s="801" t="s">
        <v>1204</v>
      </c>
      <c r="M100" s="735">
        <f t="shared" si="17"/>
        <v>41408</v>
      </c>
      <c r="N100" s="733">
        <v>41411</v>
      </c>
      <c r="O100" s="734" t="s">
        <v>797</v>
      </c>
      <c r="P100" s="298">
        <v>149</v>
      </c>
      <c r="Q100" s="251">
        <v>15825</v>
      </c>
      <c r="R100" s="8">
        <f t="shared" si="26"/>
        <v>2357925</v>
      </c>
      <c r="S100" s="442"/>
      <c r="T100" s="735"/>
      <c r="U100" s="763"/>
      <c r="V100" s="763"/>
      <c r="W100" s="8">
        <f t="shared" ref="W100:W131" si="30">U100*V100</f>
        <v>0</v>
      </c>
    </row>
    <row r="101" spans="1:23">
      <c r="A101" s="759">
        <f t="shared" si="14"/>
        <v>39</v>
      </c>
      <c r="B101" s="290" t="s">
        <v>798</v>
      </c>
      <c r="C101" s="782">
        <f t="shared" si="20"/>
        <v>1188356</v>
      </c>
      <c r="D101" s="527">
        <f t="shared" si="28"/>
        <v>123087.11815096169</v>
      </c>
      <c r="E101" s="527">
        <f t="shared" si="28"/>
        <v>9147.1903453477717</v>
      </c>
      <c r="F101" s="527">
        <f t="shared" si="28"/>
        <v>38199.450460643282</v>
      </c>
      <c r="G101" s="527">
        <f t="shared" si="28"/>
        <v>99307.688163353276</v>
      </c>
      <c r="H101" s="760">
        <f t="shared" si="29"/>
        <v>1458097</v>
      </c>
      <c r="I101" s="527">
        <v>303</v>
      </c>
      <c r="J101" s="527">
        <f t="shared" si="21"/>
        <v>4812.2013201320133</v>
      </c>
      <c r="K101" s="659"/>
      <c r="L101" s="801" t="s">
        <v>1239</v>
      </c>
      <c r="M101" s="735">
        <f t="shared" si="17"/>
        <v>41412</v>
      </c>
      <c r="N101" s="733">
        <v>41415</v>
      </c>
      <c r="O101" s="734" t="s">
        <v>799</v>
      </c>
      <c r="P101" s="298">
        <v>52</v>
      </c>
      <c r="Q101" s="249">
        <v>22853</v>
      </c>
      <c r="R101" s="8">
        <f t="shared" si="26"/>
        <v>1188356</v>
      </c>
      <c r="S101" s="442"/>
      <c r="T101" s="735"/>
      <c r="U101" s="763"/>
      <c r="V101" s="763"/>
      <c r="W101" s="8">
        <f t="shared" si="30"/>
        <v>0</v>
      </c>
    </row>
    <row r="102" spans="1:23">
      <c r="A102" s="759">
        <f t="shared" si="14"/>
        <v>40</v>
      </c>
      <c r="B102" s="290" t="s">
        <v>800</v>
      </c>
      <c r="C102" s="782">
        <f t="shared" si="20"/>
        <v>153681</v>
      </c>
      <c r="D102" s="527">
        <f t="shared" si="28"/>
        <v>84901.675556273913</v>
      </c>
      <c r="E102" s="527">
        <f t="shared" si="28"/>
        <v>6309.4481259989579</v>
      </c>
      <c r="F102" s="527">
        <f t="shared" si="28"/>
        <v>26348.795862291903</v>
      </c>
      <c r="G102" s="527">
        <f t="shared" si="28"/>
        <v>68499.362462510995</v>
      </c>
      <c r="H102" s="760">
        <f t="shared" si="29"/>
        <v>339740</v>
      </c>
      <c r="I102" s="527">
        <v>209</v>
      </c>
      <c r="J102" s="527">
        <f t="shared" si="21"/>
        <v>1625.5502392344497</v>
      </c>
      <c r="K102" s="659"/>
      <c r="L102" s="801" t="s">
        <v>1194</v>
      </c>
      <c r="M102" s="735">
        <f t="shared" si="17"/>
        <v>41412</v>
      </c>
      <c r="N102" s="733">
        <v>41415</v>
      </c>
      <c r="O102" s="734" t="s">
        <v>799</v>
      </c>
      <c r="P102" s="298">
        <v>11</v>
      </c>
      <c r="Q102" s="251">
        <v>13971</v>
      </c>
      <c r="R102" s="8">
        <f t="shared" si="26"/>
        <v>153681</v>
      </c>
      <c r="S102" s="442"/>
      <c r="T102" s="735"/>
      <c r="U102" s="763"/>
      <c r="V102" s="763"/>
      <c r="W102" s="8">
        <f t="shared" si="30"/>
        <v>0</v>
      </c>
    </row>
    <row r="103" spans="1:23">
      <c r="A103" s="759">
        <f t="shared" si="14"/>
        <v>41</v>
      </c>
      <c r="B103" s="290" t="s">
        <v>801</v>
      </c>
      <c r="C103" s="782">
        <f t="shared" si="20"/>
        <v>381332</v>
      </c>
      <c r="D103" s="527">
        <f t="shared" ref="D103:G122" si="31">IF($I$136&lt;&gt;0,D$136/$I$136*$I103,0)</f>
        <v>123899.57437638058</v>
      </c>
      <c r="E103" s="527">
        <f t="shared" si="31"/>
        <v>9207.5678393764701</v>
      </c>
      <c r="F103" s="527">
        <f t="shared" si="31"/>
        <v>38451.592047842249</v>
      </c>
      <c r="G103" s="527">
        <f t="shared" si="31"/>
        <v>99963.184454860559</v>
      </c>
      <c r="H103" s="760">
        <f t="shared" si="29"/>
        <v>652854</v>
      </c>
      <c r="I103" s="527">
        <v>305</v>
      </c>
      <c r="J103" s="527">
        <f t="shared" si="21"/>
        <v>2140.5049180327869</v>
      </c>
      <c r="K103" s="659"/>
      <c r="L103" s="801" t="s">
        <v>1207</v>
      </c>
      <c r="M103" s="735">
        <f t="shared" si="17"/>
        <v>41412</v>
      </c>
      <c r="N103" s="733">
        <v>41415</v>
      </c>
      <c r="O103" s="734" t="s">
        <v>799</v>
      </c>
      <c r="P103" s="298">
        <v>28</v>
      </c>
      <c r="Q103" s="251">
        <v>13619</v>
      </c>
      <c r="R103" s="8">
        <f t="shared" si="26"/>
        <v>381332</v>
      </c>
      <c r="S103" s="442"/>
      <c r="T103" s="735"/>
      <c r="U103" s="763"/>
      <c r="V103" s="763"/>
      <c r="W103" s="8">
        <f t="shared" si="30"/>
        <v>0</v>
      </c>
    </row>
    <row r="104" spans="1:23">
      <c r="A104" s="759">
        <f t="shared" si="14"/>
        <v>42</v>
      </c>
      <c r="B104" s="290" t="s">
        <v>802</v>
      </c>
      <c r="C104" s="782">
        <f t="shared" si="20"/>
        <v>1003500</v>
      </c>
      <c r="D104" s="527">
        <f t="shared" si="31"/>
        <v>123087.11815096169</v>
      </c>
      <c r="E104" s="527">
        <f t="shared" si="31"/>
        <v>9147.1903453477717</v>
      </c>
      <c r="F104" s="527">
        <f t="shared" si="31"/>
        <v>38199.450460643282</v>
      </c>
      <c r="G104" s="527">
        <f t="shared" si="31"/>
        <v>99307.688163353276</v>
      </c>
      <c r="H104" s="760">
        <f t="shared" si="29"/>
        <v>1273241</v>
      </c>
      <c r="I104" s="527">
        <v>303</v>
      </c>
      <c r="J104" s="527">
        <f t="shared" si="21"/>
        <v>4202.1155115511547</v>
      </c>
      <c r="K104" s="659"/>
      <c r="L104" s="801" t="s">
        <v>1199</v>
      </c>
      <c r="M104" s="735">
        <f t="shared" si="17"/>
        <v>41412</v>
      </c>
      <c r="N104" s="733">
        <v>41415</v>
      </c>
      <c r="O104" s="734" t="s">
        <v>799</v>
      </c>
      <c r="P104" s="298">
        <v>90</v>
      </c>
      <c r="Q104" s="251">
        <v>11150</v>
      </c>
      <c r="R104" s="8">
        <f t="shared" si="26"/>
        <v>1003500</v>
      </c>
      <c r="S104" s="442"/>
      <c r="T104" s="735"/>
      <c r="U104" s="763"/>
      <c r="V104" s="763"/>
      <c r="W104" s="8">
        <f t="shared" si="30"/>
        <v>0</v>
      </c>
    </row>
    <row r="105" spans="1:23">
      <c r="A105" s="759">
        <f t="shared" si="14"/>
        <v>43</v>
      </c>
      <c r="B105" s="290" t="s">
        <v>1123</v>
      </c>
      <c r="C105" s="782">
        <f t="shared" si="20"/>
        <v>1597600</v>
      </c>
      <c r="D105" s="527">
        <f t="shared" si="31"/>
        <v>109681.59043155002</v>
      </c>
      <c r="E105" s="527">
        <f t="shared" si="31"/>
        <v>8150.961693874252</v>
      </c>
      <c r="F105" s="527">
        <f t="shared" si="31"/>
        <v>34039.114271860351</v>
      </c>
      <c r="G105" s="527">
        <f t="shared" si="31"/>
        <v>88491.999353483116</v>
      </c>
      <c r="H105" s="760">
        <f t="shared" si="29"/>
        <v>1837964</v>
      </c>
      <c r="I105" s="527">
        <v>270</v>
      </c>
      <c r="J105" s="527">
        <f t="shared" si="21"/>
        <v>6807.2740740740737</v>
      </c>
      <c r="K105" s="659"/>
      <c r="L105" s="801" t="s">
        <v>1216</v>
      </c>
      <c r="M105" s="735">
        <f t="shared" si="17"/>
        <v>41412</v>
      </c>
      <c r="N105" s="733">
        <v>41415</v>
      </c>
      <c r="O105" s="734" t="s">
        <v>799</v>
      </c>
      <c r="P105" s="298">
        <v>100</v>
      </c>
      <c r="Q105" s="249">
        <v>15976</v>
      </c>
      <c r="R105" s="8">
        <f t="shared" si="26"/>
        <v>1597600</v>
      </c>
      <c r="S105" s="442"/>
      <c r="T105" s="735"/>
      <c r="U105" s="763"/>
      <c r="V105" s="763"/>
      <c r="W105" s="8">
        <f t="shared" si="30"/>
        <v>0</v>
      </c>
    </row>
    <row r="106" spans="1:23">
      <c r="A106" s="759">
        <f t="shared" si="14"/>
        <v>44</v>
      </c>
      <c r="B106" s="290" t="s">
        <v>1109</v>
      </c>
      <c r="C106" s="782">
        <f t="shared" si="20"/>
        <v>5223110</v>
      </c>
      <c r="D106" s="527">
        <f t="shared" si="31"/>
        <v>420039.86854156567</v>
      </c>
      <c r="E106" s="527">
        <f t="shared" si="31"/>
        <v>31215.164412836952</v>
      </c>
      <c r="F106" s="527">
        <f t="shared" si="31"/>
        <v>130357.2005818652</v>
      </c>
      <c r="G106" s="527">
        <f t="shared" si="31"/>
        <v>338891.58270926494</v>
      </c>
      <c r="H106" s="760">
        <f t="shared" si="29"/>
        <v>6143614</v>
      </c>
      <c r="I106" s="527">
        <v>1034</v>
      </c>
      <c r="J106" s="527">
        <f t="shared" si="21"/>
        <v>5941.5996131528045</v>
      </c>
      <c r="K106" s="659"/>
      <c r="L106" s="801" t="s">
        <v>1168</v>
      </c>
      <c r="M106" s="735">
        <f t="shared" si="17"/>
        <v>41415</v>
      </c>
      <c r="N106" s="733">
        <v>41418</v>
      </c>
      <c r="O106" s="734" t="s">
        <v>803</v>
      </c>
      <c r="P106" s="298">
        <v>470</v>
      </c>
      <c r="Q106" s="249">
        <v>11113</v>
      </c>
      <c r="R106" s="8">
        <f t="shared" si="26"/>
        <v>5223110</v>
      </c>
      <c r="S106" s="442"/>
      <c r="T106" s="735"/>
      <c r="U106" s="763"/>
      <c r="V106" s="763"/>
      <c r="W106" s="8">
        <f t="shared" si="30"/>
        <v>0</v>
      </c>
    </row>
    <row r="107" spans="1:23">
      <c r="A107" s="759">
        <f t="shared" si="14"/>
        <v>45</v>
      </c>
      <c r="B107" s="290" t="s">
        <v>1107</v>
      </c>
      <c r="C107" s="782">
        <f t="shared" si="20"/>
        <v>4135416</v>
      </c>
      <c r="D107" s="527">
        <f t="shared" si="31"/>
        <v>120243.52136199558</v>
      </c>
      <c r="E107" s="527">
        <f t="shared" si="31"/>
        <v>8935.8691162473278</v>
      </c>
      <c r="F107" s="527">
        <f t="shared" si="31"/>
        <v>37316.954905446903</v>
      </c>
      <c r="G107" s="527">
        <f t="shared" si="31"/>
        <v>97013.451143077778</v>
      </c>
      <c r="H107" s="760">
        <f t="shared" si="29"/>
        <v>4398926</v>
      </c>
      <c r="I107" s="527">
        <v>296</v>
      </c>
      <c r="J107" s="527">
        <f t="shared" si="21"/>
        <v>14861.236486486487</v>
      </c>
      <c r="K107" s="659"/>
      <c r="L107" s="801" t="s">
        <v>1194</v>
      </c>
      <c r="M107" s="735">
        <f t="shared" si="17"/>
        <v>41426</v>
      </c>
      <c r="N107" s="733">
        <v>41429</v>
      </c>
      <c r="O107" s="734" t="s">
        <v>804</v>
      </c>
      <c r="P107" s="779">
        <f>I107</f>
        <v>296</v>
      </c>
      <c r="Q107" s="251">
        <v>13971</v>
      </c>
      <c r="R107" s="8">
        <f t="shared" ref="R107:R131" si="32">P107*Q107</f>
        <v>4135416</v>
      </c>
      <c r="S107" s="442"/>
      <c r="T107" s="735"/>
      <c r="U107" s="763"/>
      <c r="V107" s="763"/>
      <c r="W107" s="8">
        <f t="shared" si="30"/>
        <v>0</v>
      </c>
    </row>
    <row r="108" spans="1:23">
      <c r="A108" s="759">
        <f t="shared" si="14"/>
        <v>46</v>
      </c>
      <c r="B108" s="290" t="s">
        <v>805</v>
      </c>
      <c r="C108" s="782">
        <f t="shared" si="20"/>
        <v>8461775.2870964836</v>
      </c>
      <c r="D108" s="527">
        <f t="shared" si="31"/>
        <v>344075.21146489953</v>
      </c>
      <c r="E108" s="527">
        <f t="shared" si="31"/>
        <v>25569.868721153674</v>
      </c>
      <c r="F108" s="527">
        <f t="shared" si="31"/>
        <v>106781.96217876191</v>
      </c>
      <c r="G108" s="527">
        <f t="shared" si="31"/>
        <v>277602.67945333407</v>
      </c>
      <c r="H108" s="760">
        <f t="shared" si="29"/>
        <v>9215805</v>
      </c>
      <c r="I108" s="527">
        <v>847</v>
      </c>
      <c r="J108" s="527">
        <f t="shared" si="21"/>
        <v>10880.525383707201</v>
      </c>
      <c r="K108" s="659"/>
      <c r="L108" s="801" t="s">
        <v>1209</v>
      </c>
      <c r="M108" s="735">
        <f t="shared" si="17"/>
        <v>41426</v>
      </c>
      <c r="N108" s="733">
        <v>41429</v>
      </c>
      <c r="O108" s="734" t="s">
        <v>806</v>
      </c>
      <c r="P108" s="298">
        <v>425</v>
      </c>
      <c r="Q108" s="249">
        <v>19910.059499050549</v>
      </c>
      <c r="R108" s="8">
        <f t="shared" si="32"/>
        <v>8461775.2870964836</v>
      </c>
      <c r="S108" s="442"/>
      <c r="T108" s="735"/>
      <c r="U108" s="763"/>
      <c r="V108" s="763"/>
      <c r="W108" s="8">
        <f t="shared" si="30"/>
        <v>0</v>
      </c>
    </row>
    <row r="109" spans="1:23">
      <c r="A109" s="759">
        <f t="shared" si="14"/>
        <v>47</v>
      </c>
      <c r="B109" s="290" t="s">
        <v>807</v>
      </c>
      <c r="C109" s="782">
        <f t="shared" si="20"/>
        <v>11946035.728486225</v>
      </c>
      <c r="D109" s="527">
        <f t="shared" si="31"/>
        <v>974541.24238995742</v>
      </c>
      <c r="E109" s="527">
        <f t="shared" si="31"/>
        <v>72422.804087423443</v>
      </c>
      <c r="F109" s="527">
        <f t="shared" si="31"/>
        <v>302443.83384515921</v>
      </c>
      <c r="G109" s="527">
        <f t="shared" si="31"/>
        <v>786267.80166298512</v>
      </c>
      <c r="H109" s="760">
        <f t="shared" si="29"/>
        <v>14081711</v>
      </c>
      <c r="I109" s="527">
        <v>2399</v>
      </c>
      <c r="J109" s="527">
        <f t="shared" si="21"/>
        <v>5869.8253438932888</v>
      </c>
      <c r="K109" s="659"/>
      <c r="L109" s="801" t="s">
        <v>1209</v>
      </c>
      <c r="M109" s="735">
        <f t="shared" si="17"/>
        <v>41427</v>
      </c>
      <c r="N109" s="733">
        <v>41430</v>
      </c>
      <c r="O109" s="734" t="s">
        <v>808</v>
      </c>
      <c r="P109" s="779">
        <v>600</v>
      </c>
      <c r="Q109" s="249">
        <v>19910.059547477042</v>
      </c>
      <c r="R109" s="8">
        <f t="shared" si="32"/>
        <v>11946035.728486225</v>
      </c>
      <c r="S109" s="442"/>
      <c r="T109" s="735"/>
      <c r="U109" s="763"/>
      <c r="V109" s="763"/>
      <c r="W109" s="8">
        <f t="shared" si="30"/>
        <v>0</v>
      </c>
    </row>
    <row r="110" spans="1:23">
      <c r="A110" s="759">
        <f t="shared" si="14"/>
        <v>48</v>
      </c>
      <c r="B110" s="290" t="s">
        <v>807</v>
      </c>
      <c r="C110" s="782">
        <f t="shared" si="20"/>
        <v>14674054</v>
      </c>
      <c r="D110" s="527">
        <f t="shared" si="31"/>
        <v>1032631.862507408</v>
      </c>
      <c r="E110" s="527">
        <f t="shared" si="31"/>
        <v>76739.794910475364</v>
      </c>
      <c r="F110" s="527">
        <f t="shared" si="31"/>
        <v>320471.95732988522</v>
      </c>
      <c r="G110" s="527">
        <f t="shared" si="31"/>
        <v>833135.78650575585</v>
      </c>
      <c r="H110" s="760">
        <f t="shared" si="29"/>
        <v>16937033</v>
      </c>
      <c r="I110" s="527">
        <v>2542</v>
      </c>
      <c r="J110" s="527">
        <f t="shared" si="21"/>
        <v>6662.8768686073954</v>
      </c>
      <c r="K110" s="659"/>
      <c r="L110" s="801" t="s">
        <v>1214</v>
      </c>
      <c r="M110" s="735">
        <f t="shared" si="17"/>
        <v>41427</v>
      </c>
      <c r="N110" s="733">
        <v>41430</v>
      </c>
      <c r="O110" s="734" t="s">
        <v>808</v>
      </c>
      <c r="P110" s="779">
        <v>698</v>
      </c>
      <c r="Q110" s="251">
        <v>21023</v>
      </c>
      <c r="R110" s="8">
        <f t="shared" si="32"/>
        <v>14674054</v>
      </c>
      <c r="S110" s="442"/>
      <c r="T110" s="735"/>
      <c r="U110" s="763"/>
      <c r="V110" s="763"/>
      <c r="W110" s="8">
        <f t="shared" si="30"/>
        <v>0</v>
      </c>
    </row>
    <row r="111" spans="1:23">
      <c r="A111" s="759">
        <f t="shared" si="14"/>
        <v>49</v>
      </c>
      <c r="B111" s="290" t="s">
        <v>1096</v>
      </c>
      <c r="C111" s="782">
        <f t="shared" si="20"/>
        <v>1328114.2068965519</v>
      </c>
      <c r="D111" s="527">
        <f t="shared" si="31"/>
        <v>43060.179947201119</v>
      </c>
      <c r="E111" s="527">
        <f t="shared" si="31"/>
        <v>3200.0071835210028</v>
      </c>
      <c r="F111" s="527">
        <f t="shared" si="31"/>
        <v>13363.504121545175</v>
      </c>
      <c r="G111" s="527">
        <f t="shared" si="31"/>
        <v>34741.303449885963</v>
      </c>
      <c r="H111" s="760">
        <f t="shared" si="29"/>
        <v>1422479</v>
      </c>
      <c r="I111" s="527">
        <v>106</v>
      </c>
      <c r="J111" s="527">
        <f t="shared" si="21"/>
        <v>13419.613207547171</v>
      </c>
      <c r="K111" s="659"/>
      <c r="L111" s="801" t="s">
        <v>1190</v>
      </c>
      <c r="M111" s="735">
        <f t="shared" si="17"/>
        <v>41429</v>
      </c>
      <c r="N111" s="733">
        <v>41432</v>
      </c>
      <c r="O111" s="734" t="s">
        <v>809</v>
      </c>
      <c r="P111" s="779">
        <v>110</v>
      </c>
      <c r="Q111" s="251">
        <v>12073.76551724138</v>
      </c>
      <c r="R111" s="8">
        <f t="shared" si="32"/>
        <v>1328114.2068965519</v>
      </c>
      <c r="S111" s="442"/>
      <c r="T111" s="735"/>
      <c r="U111" s="763"/>
      <c r="V111" s="763"/>
      <c r="W111" s="8">
        <f t="shared" si="30"/>
        <v>0</v>
      </c>
    </row>
    <row r="112" spans="1:23">
      <c r="A112" s="759">
        <f t="shared" si="14"/>
        <v>50</v>
      </c>
      <c r="B112" s="290" t="s">
        <v>1099</v>
      </c>
      <c r="C112" s="782">
        <f t="shared" si="20"/>
        <v>1666500</v>
      </c>
      <c r="D112" s="527">
        <f t="shared" si="31"/>
        <v>80026.938203760568</v>
      </c>
      <c r="E112" s="527">
        <f t="shared" si="31"/>
        <v>5947.1831618267697</v>
      </c>
      <c r="F112" s="527">
        <f t="shared" si="31"/>
        <v>24835.946339098107</v>
      </c>
      <c r="G112" s="527">
        <f t="shared" si="31"/>
        <v>64566.384713467305</v>
      </c>
      <c r="H112" s="760">
        <f t="shared" si="29"/>
        <v>1841876</v>
      </c>
      <c r="I112" s="527">
        <v>197</v>
      </c>
      <c r="J112" s="527">
        <f t="shared" si="21"/>
        <v>9349.6243654822338</v>
      </c>
      <c r="K112" s="659"/>
      <c r="L112" s="186" t="s">
        <v>1196</v>
      </c>
      <c r="M112" s="735">
        <f t="shared" si="17"/>
        <v>41429</v>
      </c>
      <c r="N112" s="733">
        <v>41432</v>
      </c>
      <c r="O112" s="734" t="s">
        <v>809</v>
      </c>
      <c r="P112" s="298">
        <v>100</v>
      </c>
      <c r="Q112" s="249">
        <v>16665</v>
      </c>
      <c r="R112" s="8">
        <f t="shared" si="32"/>
        <v>1666500</v>
      </c>
      <c r="S112" s="442"/>
      <c r="T112" s="735"/>
      <c r="U112" s="763"/>
      <c r="V112" s="763"/>
      <c r="W112" s="8">
        <f t="shared" si="30"/>
        <v>0</v>
      </c>
    </row>
    <row r="113" spans="1:23">
      <c r="A113" s="759">
        <f t="shared" si="14"/>
        <v>51</v>
      </c>
      <c r="B113" s="290" t="s">
        <v>810</v>
      </c>
      <c r="C113" s="782">
        <f t="shared" si="20"/>
        <v>1093196</v>
      </c>
      <c r="D113" s="527">
        <f t="shared" si="31"/>
        <v>42247.723721782233</v>
      </c>
      <c r="E113" s="527">
        <f t="shared" si="31"/>
        <v>3139.6296894923048</v>
      </c>
      <c r="F113" s="527">
        <f t="shared" si="31"/>
        <v>13111.36253434621</v>
      </c>
      <c r="G113" s="527">
        <f t="shared" si="31"/>
        <v>34085.80715837868</v>
      </c>
      <c r="H113" s="760">
        <f t="shared" si="29"/>
        <v>1185781</v>
      </c>
      <c r="I113" s="527">
        <v>104</v>
      </c>
      <c r="J113" s="527">
        <f t="shared" si="21"/>
        <v>11401.740384615385</v>
      </c>
      <c r="K113" s="659"/>
      <c r="L113" s="801" t="s">
        <v>1214</v>
      </c>
      <c r="M113" s="735">
        <f t="shared" si="17"/>
        <v>41429</v>
      </c>
      <c r="N113" s="733">
        <v>41432</v>
      </c>
      <c r="O113" s="734" t="s">
        <v>809</v>
      </c>
      <c r="P113" s="779">
        <f>I113/2</f>
        <v>52</v>
      </c>
      <c r="Q113" s="249">
        <v>21023</v>
      </c>
      <c r="R113" s="8">
        <f t="shared" si="32"/>
        <v>1093196</v>
      </c>
      <c r="S113" s="442"/>
      <c r="T113" s="735"/>
      <c r="U113" s="763"/>
      <c r="V113" s="763"/>
      <c r="W113" s="8">
        <f t="shared" si="30"/>
        <v>0</v>
      </c>
    </row>
    <row r="114" spans="1:23">
      <c r="A114" s="759">
        <f t="shared" si="14"/>
        <v>52</v>
      </c>
      <c r="B114" s="290" t="s">
        <v>811</v>
      </c>
      <c r="C114" s="782">
        <f t="shared" si="20"/>
        <v>1413614.224432589</v>
      </c>
      <c r="D114" s="527">
        <f t="shared" si="31"/>
        <v>57278.163892031676</v>
      </c>
      <c r="E114" s="527">
        <f t="shared" si="31"/>
        <v>4256.613329023221</v>
      </c>
      <c r="F114" s="527">
        <f t="shared" si="31"/>
        <v>17775.981897527072</v>
      </c>
      <c r="G114" s="527">
        <f t="shared" si="31"/>
        <v>46212.488551263399</v>
      </c>
      <c r="H114" s="760">
        <f t="shared" si="29"/>
        <v>1539137</v>
      </c>
      <c r="I114" s="527">
        <v>141</v>
      </c>
      <c r="J114" s="527">
        <f t="shared" si="21"/>
        <v>10915.86524822695</v>
      </c>
      <c r="K114" s="659"/>
      <c r="L114" s="801" t="s">
        <v>1209</v>
      </c>
      <c r="M114" s="735">
        <f t="shared" si="17"/>
        <v>41429</v>
      </c>
      <c r="N114" s="733">
        <v>41432</v>
      </c>
      <c r="O114" s="734" t="s">
        <v>809</v>
      </c>
      <c r="P114" s="298">
        <v>71</v>
      </c>
      <c r="Q114" s="249">
        <v>19910.059499050549</v>
      </c>
      <c r="R114" s="8">
        <f t="shared" si="32"/>
        <v>1413614.224432589</v>
      </c>
      <c r="S114" s="442"/>
      <c r="T114" s="735"/>
      <c r="U114" s="763"/>
      <c r="V114" s="763"/>
      <c r="W114" s="8">
        <f t="shared" si="30"/>
        <v>0</v>
      </c>
    </row>
    <row r="115" spans="1:23">
      <c r="A115" s="759">
        <f t="shared" si="14"/>
        <v>53</v>
      </c>
      <c r="B115" s="290" t="s">
        <v>1114</v>
      </c>
      <c r="C115" s="782">
        <f t="shared" si="20"/>
        <v>1275700</v>
      </c>
      <c r="D115" s="527">
        <f t="shared" si="31"/>
        <v>123899.57437638058</v>
      </c>
      <c r="E115" s="527">
        <f t="shared" si="31"/>
        <v>9207.5678393764701</v>
      </c>
      <c r="F115" s="527">
        <f t="shared" si="31"/>
        <v>38451.592047842249</v>
      </c>
      <c r="G115" s="527">
        <f t="shared" si="31"/>
        <v>99963.184454860559</v>
      </c>
      <c r="H115" s="760">
        <f t="shared" si="29"/>
        <v>1547222</v>
      </c>
      <c r="I115" s="527">
        <v>305</v>
      </c>
      <c r="J115" s="527">
        <f t="shared" si="21"/>
        <v>5072.8590163934423</v>
      </c>
      <c r="K115" s="659"/>
      <c r="L115" s="801" t="s">
        <v>1182</v>
      </c>
      <c r="M115" s="735">
        <f t="shared" si="17"/>
        <v>41429</v>
      </c>
      <c r="N115" s="733">
        <v>41432</v>
      </c>
      <c r="O115" s="734" t="s">
        <v>812</v>
      </c>
      <c r="P115" s="298">
        <v>100</v>
      </c>
      <c r="Q115" s="765">
        <v>12757</v>
      </c>
      <c r="R115" s="8">
        <f t="shared" si="32"/>
        <v>1275700</v>
      </c>
      <c r="S115" s="442"/>
      <c r="T115" s="735"/>
      <c r="U115" s="763"/>
      <c r="V115" s="763"/>
      <c r="W115" s="8">
        <f t="shared" si="30"/>
        <v>0</v>
      </c>
    </row>
    <row r="116" spans="1:23">
      <c r="A116" s="759">
        <f t="shared" si="14"/>
        <v>54</v>
      </c>
      <c r="B116" s="290" t="s">
        <v>777</v>
      </c>
      <c r="C116" s="782">
        <f t="shared" si="20"/>
        <v>1687320</v>
      </c>
      <c r="D116" s="527">
        <f t="shared" si="31"/>
        <v>129180.53984160336</v>
      </c>
      <c r="E116" s="527">
        <f t="shared" si="31"/>
        <v>9600.0215505630076</v>
      </c>
      <c r="F116" s="527">
        <f t="shared" si="31"/>
        <v>40090.512364635528</v>
      </c>
      <c r="G116" s="527">
        <f t="shared" si="31"/>
        <v>104223.91034965789</v>
      </c>
      <c r="H116" s="760">
        <f t="shared" si="29"/>
        <v>1970415</v>
      </c>
      <c r="I116" s="527">
        <v>318</v>
      </c>
      <c r="J116" s="527">
        <f t="shared" si="21"/>
        <v>6196.2735849056608</v>
      </c>
      <c r="K116" s="659"/>
      <c r="L116" s="801" t="s">
        <v>1247</v>
      </c>
      <c r="M116" s="735">
        <f t="shared" si="17"/>
        <v>41429</v>
      </c>
      <c r="N116" s="733">
        <v>41432</v>
      </c>
      <c r="O116" s="734" t="s">
        <v>812</v>
      </c>
      <c r="P116" s="298">
        <v>120</v>
      </c>
      <c r="Q116" s="249">
        <v>14061</v>
      </c>
      <c r="R116" s="8">
        <f t="shared" si="32"/>
        <v>1687320</v>
      </c>
      <c r="S116" s="442"/>
      <c r="T116" s="735"/>
      <c r="U116" s="763"/>
      <c r="V116" s="763"/>
      <c r="W116" s="8">
        <f t="shared" si="30"/>
        <v>0</v>
      </c>
    </row>
    <row r="117" spans="1:23">
      <c r="A117" s="759">
        <f t="shared" si="14"/>
        <v>55</v>
      </c>
      <c r="B117" s="290" t="s">
        <v>813</v>
      </c>
      <c r="C117" s="782">
        <f t="shared" si="20"/>
        <v>1033854</v>
      </c>
      <c r="D117" s="527">
        <f t="shared" si="31"/>
        <v>120243.52136199558</v>
      </c>
      <c r="E117" s="527">
        <f t="shared" si="31"/>
        <v>8935.8691162473278</v>
      </c>
      <c r="F117" s="527">
        <f t="shared" si="31"/>
        <v>37316.954905446903</v>
      </c>
      <c r="G117" s="527">
        <f t="shared" si="31"/>
        <v>97013.451143077778</v>
      </c>
      <c r="H117" s="760">
        <f t="shared" si="29"/>
        <v>1297364</v>
      </c>
      <c r="I117" s="527">
        <v>296</v>
      </c>
      <c r="J117" s="527">
        <f t="shared" si="21"/>
        <v>4382.9864864864867</v>
      </c>
      <c r="K117" s="659"/>
      <c r="L117" s="801" t="s">
        <v>1194</v>
      </c>
      <c r="M117" s="735">
        <f t="shared" si="17"/>
        <v>41429</v>
      </c>
      <c r="N117" s="733">
        <v>41432</v>
      </c>
      <c r="O117" s="734" t="s">
        <v>812</v>
      </c>
      <c r="P117" s="298">
        <f>I117/4</f>
        <v>74</v>
      </c>
      <c r="Q117" s="251">
        <v>13971</v>
      </c>
      <c r="R117" s="8">
        <f t="shared" si="32"/>
        <v>1033854</v>
      </c>
      <c r="S117" s="442"/>
      <c r="T117" s="735"/>
      <c r="U117" s="763"/>
      <c r="V117" s="763"/>
      <c r="W117" s="8">
        <f t="shared" si="30"/>
        <v>0</v>
      </c>
    </row>
    <row r="118" spans="1:23">
      <c r="A118" s="759">
        <f t="shared" si="14"/>
        <v>56</v>
      </c>
      <c r="B118" s="290" t="s">
        <v>1105</v>
      </c>
      <c r="C118" s="782">
        <f t="shared" si="20"/>
        <v>2054936</v>
      </c>
      <c r="D118" s="527">
        <f t="shared" si="31"/>
        <v>207176.33748181671</v>
      </c>
      <c r="E118" s="527">
        <f t="shared" si="31"/>
        <v>15396.260977318032</v>
      </c>
      <c r="F118" s="527">
        <f t="shared" si="31"/>
        <v>64296.104735736219</v>
      </c>
      <c r="G118" s="527">
        <f t="shared" si="31"/>
        <v>167151.554334357</v>
      </c>
      <c r="H118" s="760">
        <f t="shared" si="29"/>
        <v>2508956</v>
      </c>
      <c r="I118" s="527">
        <v>510</v>
      </c>
      <c r="J118" s="527">
        <f t="shared" si="21"/>
        <v>4919.5215686274514</v>
      </c>
      <c r="K118" s="659"/>
      <c r="L118" s="801" t="s">
        <v>1223</v>
      </c>
      <c r="M118" s="735">
        <f t="shared" si="17"/>
        <v>41429</v>
      </c>
      <c r="N118" s="733">
        <v>41432</v>
      </c>
      <c r="O118" s="734" t="s">
        <v>812</v>
      </c>
      <c r="P118" s="298">
        <v>104</v>
      </c>
      <c r="Q118" s="249">
        <v>19759</v>
      </c>
      <c r="R118" s="8">
        <f t="shared" si="32"/>
        <v>2054936</v>
      </c>
      <c r="S118" s="442"/>
      <c r="T118" s="735"/>
      <c r="U118" s="763"/>
      <c r="V118" s="763"/>
      <c r="W118" s="8">
        <f t="shared" si="30"/>
        <v>0</v>
      </c>
    </row>
    <row r="119" spans="1:23">
      <c r="A119" s="759">
        <f t="shared" si="14"/>
        <v>57</v>
      </c>
      <c r="B119" s="290" t="s">
        <v>814</v>
      </c>
      <c r="C119" s="782">
        <f t="shared" si="20"/>
        <v>3585096</v>
      </c>
      <c r="D119" s="527">
        <f t="shared" si="31"/>
        <v>82870.53499272668</v>
      </c>
      <c r="E119" s="527">
        <f t="shared" si="31"/>
        <v>6158.5043909272126</v>
      </c>
      <c r="F119" s="527">
        <f t="shared" si="31"/>
        <v>25718.441894294487</v>
      </c>
      <c r="G119" s="527">
        <f t="shared" si="31"/>
        <v>66860.621733742795</v>
      </c>
      <c r="H119" s="760">
        <f t="shared" si="29"/>
        <v>3766704</v>
      </c>
      <c r="I119" s="527">
        <v>204</v>
      </c>
      <c r="J119" s="527">
        <f t="shared" si="21"/>
        <v>18464.235294117647</v>
      </c>
      <c r="K119" s="659"/>
      <c r="L119" s="801" t="s">
        <v>1189</v>
      </c>
      <c r="M119" s="735">
        <f t="shared" si="17"/>
        <v>41432</v>
      </c>
      <c r="N119" s="733">
        <v>41435</v>
      </c>
      <c r="O119" s="734" t="s">
        <v>815</v>
      </c>
      <c r="P119" s="298">
        <v>204</v>
      </c>
      <c r="Q119" s="251">
        <v>17574</v>
      </c>
      <c r="R119" s="8">
        <f t="shared" si="32"/>
        <v>3585096</v>
      </c>
      <c r="S119" s="442"/>
      <c r="T119" s="735"/>
      <c r="U119" s="763"/>
      <c r="V119" s="763"/>
      <c r="W119" s="8">
        <f t="shared" si="30"/>
        <v>0</v>
      </c>
    </row>
    <row r="120" spans="1:23">
      <c r="A120" s="759">
        <f t="shared" si="14"/>
        <v>58</v>
      </c>
      <c r="B120" s="290" t="s">
        <v>1105</v>
      </c>
      <c r="C120" s="782">
        <f t="shared" si="20"/>
        <v>578300</v>
      </c>
      <c r="D120" s="527">
        <f t="shared" si="31"/>
        <v>63777.813695382793</v>
      </c>
      <c r="E120" s="527">
        <f t="shared" si="31"/>
        <v>4739.6332812528062</v>
      </c>
      <c r="F120" s="527">
        <f t="shared" si="31"/>
        <v>19793.114595118797</v>
      </c>
      <c r="G120" s="527">
        <f t="shared" si="31"/>
        <v>51456.458883321662</v>
      </c>
      <c r="H120" s="760">
        <f t="shared" si="29"/>
        <v>718067</v>
      </c>
      <c r="I120" s="527">
        <v>157</v>
      </c>
      <c r="J120" s="527">
        <f t="shared" si="21"/>
        <v>4573.6751592356686</v>
      </c>
      <c r="K120" s="659"/>
      <c r="L120" s="801" t="s">
        <v>1240</v>
      </c>
      <c r="M120" s="735">
        <f t="shared" si="17"/>
        <v>41433</v>
      </c>
      <c r="N120" s="733">
        <v>41436</v>
      </c>
      <c r="O120" s="734" t="s">
        <v>817</v>
      </c>
      <c r="P120" s="298">
        <v>100</v>
      </c>
      <c r="Q120" s="251">
        <v>5783</v>
      </c>
      <c r="R120" s="8">
        <f t="shared" si="32"/>
        <v>578300</v>
      </c>
      <c r="S120" s="442"/>
      <c r="T120" s="735"/>
      <c r="U120" s="763"/>
      <c r="V120" s="763"/>
      <c r="W120" s="8">
        <f t="shared" si="30"/>
        <v>0</v>
      </c>
    </row>
    <row r="121" spans="1:23">
      <c r="A121" s="759">
        <f t="shared" si="14"/>
        <v>59</v>
      </c>
      <c r="B121" s="290" t="s">
        <v>818</v>
      </c>
      <c r="C121" s="782">
        <f t="shared" si="20"/>
        <v>3023418</v>
      </c>
      <c r="D121" s="527">
        <f t="shared" si="31"/>
        <v>90182.641021496689</v>
      </c>
      <c r="E121" s="527">
        <f t="shared" si="31"/>
        <v>6701.9018371854963</v>
      </c>
      <c r="F121" s="527">
        <f t="shared" si="31"/>
        <v>27987.716179085179</v>
      </c>
      <c r="G121" s="527">
        <f t="shared" si="31"/>
        <v>72760.088357308341</v>
      </c>
      <c r="H121" s="760">
        <f t="shared" si="29"/>
        <v>3221050</v>
      </c>
      <c r="I121" s="527">
        <v>222</v>
      </c>
      <c r="J121" s="527">
        <f t="shared" si="21"/>
        <v>14509.234234234234</v>
      </c>
      <c r="K121" s="659"/>
      <c r="L121" s="801" t="s">
        <v>1207</v>
      </c>
      <c r="M121" s="735">
        <f t="shared" si="17"/>
        <v>41433</v>
      </c>
      <c r="N121" s="733">
        <v>41436</v>
      </c>
      <c r="O121" s="734" t="s">
        <v>819</v>
      </c>
      <c r="P121" s="298">
        <f>I121</f>
        <v>222</v>
      </c>
      <c r="Q121" s="251">
        <v>13619</v>
      </c>
      <c r="R121" s="8">
        <f t="shared" si="32"/>
        <v>3023418</v>
      </c>
      <c r="S121" s="442"/>
      <c r="T121" s="735"/>
      <c r="U121" s="763"/>
      <c r="V121" s="763"/>
      <c r="W121" s="8">
        <f t="shared" si="30"/>
        <v>0</v>
      </c>
    </row>
    <row r="122" spans="1:23">
      <c r="A122" s="759">
        <f t="shared" si="14"/>
        <v>60</v>
      </c>
      <c r="B122" s="290" t="s">
        <v>820</v>
      </c>
      <c r="C122" s="782">
        <f t="shared" si="20"/>
        <v>7983405.9089219328</v>
      </c>
      <c r="D122" s="527">
        <f t="shared" si="31"/>
        <v>200676.68767846559</v>
      </c>
      <c r="E122" s="527">
        <f t="shared" si="31"/>
        <v>14913.241025088448</v>
      </c>
      <c r="F122" s="527">
        <f t="shared" si="31"/>
        <v>62278.972038144493</v>
      </c>
      <c r="G122" s="527">
        <f t="shared" si="31"/>
        <v>161907.58400229874</v>
      </c>
      <c r="H122" s="760">
        <f t="shared" si="29"/>
        <v>8423182</v>
      </c>
      <c r="I122" s="527">
        <v>494</v>
      </c>
      <c r="J122" s="527">
        <f t="shared" si="21"/>
        <v>17050.975708502025</v>
      </c>
      <c r="K122" s="659"/>
      <c r="L122" s="801" t="s">
        <v>1215</v>
      </c>
      <c r="M122" s="735">
        <f t="shared" si="17"/>
        <v>41440</v>
      </c>
      <c r="N122" s="733">
        <v>41443</v>
      </c>
      <c r="O122" s="734" t="s">
        <v>821</v>
      </c>
      <c r="P122" s="779">
        <f>I122/2</f>
        <v>247</v>
      </c>
      <c r="Q122" s="765">
        <v>32321.481412639405</v>
      </c>
      <c r="R122" s="8">
        <f t="shared" si="32"/>
        <v>7983405.9089219328</v>
      </c>
      <c r="S122" s="442"/>
      <c r="T122" s="735"/>
      <c r="U122" s="763"/>
      <c r="V122" s="763"/>
      <c r="W122" s="8">
        <f t="shared" si="30"/>
        <v>0</v>
      </c>
    </row>
    <row r="123" spans="1:23">
      <c r="A123" s="759">
        <f t="shared" si="14"/>
        <v>61</v>
      </c>
      <c r="B123" s="290" t="s">
        <v>711</v>
      </c>
      <c r="C123" s="782">
        <f t="shared" si="20"/>
        <v>9305898</v>
      </c>
      <c r="D123" s="527">
        <f t="shared" ref="D123:G134" si="33">IF($I$136&lt;&gt;0,D$136/$I$136*$I123,0)</f>
        <v>163303.70130919671</v>
      </c>
      <c r="E123" s="527">
        <f t="shared" si="33"/>
        <v>12135.876299768332</v>
      </c>
      <c r="F123" s="527">
        <f t="shared" si="33"/>
        <v>50680.459026992081</v>
      </c>
      <c r="G123" s="527">
        <f t="shared" si="33"/>
        <v>131754.75459296376</v>
      </c>
      <c r="H123" s="760">
        <f t="shared" si="29"/>
        <v>9663773</v>
      </c>
      <c r="I123" s="527">
        <v>402</v>
      </c>
      <c r="J123" s="527">
        <f t="shared" si="21"/>
        <v>24039.236318407959</v>
      </c>
      <c r="K123" s="659"/>
      <c r="L123" s="801" t="s">
        <v>1220</v>
      </c>
      <c r="M123" s="735">
        <f t="shared" si="17"/>
        <v>41441</v>
      </c>
      <c r="N123" s="733">
        <v>41444</v>
      </c>
      <c r="O123" s="734" t="s">
        <v>822</v>
      </c>
      <c r="P123" s="298">
        <v>402</v>
      </c>
      <c r="Q123" s="249">
        <v>23149</v>
      </c>
      <c r="R123" s="8">
        <f t="shared" si="32"/>
        <v>9305898</v>
      </c>
      <c r="S123" s="442"/>
      <c r="T123" s="735"/>
      <c r="U123" s="763"/>
      <c r="V123" s="763"/>
      <c r="W123" s="8">
        <f t="shared" si="30"/>
        <v>0</v>
      </c>
    </row>
    <row r="124" spans="1:23">
      <c r="A124" s="759">
        <f t="shared" si="14"/>
        <v>62</v>
      </c>
      <c r="B124" s="290" t="s">
        <v>784</v>
      </c>
      <c r="C124" s="782">
        <f t="shared" si="20"/>
        <v>8015727.3903345726</v>
      </c>
      <c r="D124" s="527">
        <f t="shared" si="33"/>
        <v>201082.91579117504</v>
      </c>
      <c r="E124" s="527">
        <f t="shared" si="33"/>
        <v>14943.429772102796</v>
      </c>
      <c r="F124" s="527">
        <f t="shared" si="33"/>
        <v>62405.04283174398</v>
      </c>
      <c r="G124" s="527">
        <f t="shared" si="33"/>
        <v>162235.33214805237</v>
      </c>
      <c r="H124" s="760">
        <f t="shared" si="29"/>
        <v>8456394</v>
      </c>
      <c r="I124" s="527">
        <v>495</v>
      </c>
      <c r="J124" s="527">
        <f t="shared" si="21"/>
        <v>17083.624242424241</v>
      </c>
      <c r="K124" s="659"/>
      <c r="L124" s="801" t="s">
        <v>1215</v>
      </c>
      <c r="M124" s="735">
        <f t="shared" si="17"/>
        <v>41442</v>
      </c>
      <c r="N124" s="733">
        <v>41445</v>
      </c>
      <c r="O124" s="734" t="s">
        <v>823</v>
      </c>
      <c r="P124" s="779">
        <v>248</v>
      </c>
      <c r="Q124" s="765">
        <v>32321.481412639405</v>
      </c>
      <c r="R124" s="8">
        <f t="shared" si="32"/>
        <v>8015727.3903345726</v>
      </c>
      <c r="S124" s="442"/>
      <c r="T124" s="735"/>
      <c r="U124" s="763"/>
      <c r="V124" s="763"/>
      <c r="W124" s="8">
        <f t="shared" si="30"/>
        <v>0</v>
      </c>
    </row>
    <row r="125" spans="1:23">
      <c r="A125" s="759">
        <f t="shared" si="14"/>
        <v>63</v>
      </c>
      <c r="B125" s="290" t="s">
        <v>786</v>
      </c>
      <c r="C125" s="782">
        <f t="shared" si="20"/>
        <v>808404</v>
      </c>
      <c r="D125" s="527">
        <f t="shared" si="33"/>
        <v>609342.16906416684</v>
      </c>
      <c r="E125" s="527">
        <f t="shared" si="33"/>
        <v>45283.120521523626</v>
      </c>
      <c r="F125" s="527">
        <f t="shared" si="33"/>
        <v>189106.19039922417</v>
      </c>
      <c r="G125" s="527">
        <f t="shared" si="33"/>
        <v>491622.21863046172</v>
      </c>
      <c r="H125" s="760">
        <f t="shared" si="29"/>
        <v>2143758</v>
      </c>
      <c r="I125" s="527">
        <v>1500</v>
      </c>
      <c r="J125" s="527">
        <f t="shared" si="21"/>
        <v>1429.172</v>
      </c>
      <c r="K125" s="659"/>
      <c r="L125" s="801" t="s">
        <v>1189</v>
      </c>
      <c r="M125" s="735">
        <f t="shared" si="17"/>
        <v>41442</v>
      </c>
      <c r="N125" s="733">
        <v>41445</v>
      </c>
      <c r="O125" s="734" t="s">
        <v>823</v>
      </c>
      <c r="P125" s="298">
        <v>46</v>
      </c>
      <c r="Q125" s="251">
        <v>17574</v>
      </c>
      <c r="R125" s="8">
        <f t="shared" si="32"/>
        <v>808404</v>
      </c>
      <c r="S125" s="442"/>
      <c r="T125" s="735"/>
      <c r="U125" s="763"/>
      <c r="V125" s="763"/>
      <c r="W125" s="8">
        <f t="shared" si="30"/>
        <v>0</v>
      </c>
    </row>
    <row r="126" spans="1:23">
      <c r="A126" s="759">
        <f t="shared" si="14"/>
        <v>64</v>
      </c>
      <c r="B126" s="290" t="s">
        <v>1097</v>
      </c>
      <c r="C126" s="782">
        <f t="shared" si="20"/>
        <v>1234440</v>
      </c>
      <c r="D126" s="527">
        <f t="shared" si="33"/>
        <v>86120.359894402238</v>
      </c>
      <c r="E126" s="527">
        <f t="shared" si="33"/>
        <v>6400.0143670420057</v>
      </c>
      <c r="F126" s="527">
        <f t="shared" si="33"/>
        <v>26727.008243090349</v>
      </c>
      <c r="G126" s="527">
        <f t="shared" si="33"/>
        <v>69482.606899771927</v>
      </c>
      <c r="H126" s="760">
        <f t="shared" si="29"/>
        <v>1423170</v>
      </c>
      <c r="I126" s="527">
        <v>212</v>
      </c>
      <c r="J126" s="527">
        <f t="shared" si="21"/>
        <v>6713.066037735849</v>
      </c>
      <c r="K126" s="659"/>
      <c r="L126" s="801" t="s">
        <v>1150</v>
      </c>
      <c r="M126" s="735">
        <f t="shared" si="17"/>
        <v>41442</v>
      </c>
      <c r="N126" s="733">
        <v>41445</v>
      </c>
      <c r="O126" s="734" t="s">
        <v>824</v>
      </c>
      <c r="P126" s="298">
        <v>120</v>
      </c>
      <c r="Q126" s="251">
        <v>10287</v>
      </c>
      <c r="R126" s="8">
        <f t="shared" si="32"/>
        <v>1234440</v>
      </c>
      <c r="S126" s="442"/>
      <c r="T126" s="735"/>
      <c r="U126" s="763"/>
      <c r="V126" s="763"/>
      <c r="W126" s="8">
        <f t="shared" si="30"/>
        <v>0</v>
      </c>
    </row>
    <row r="127" spans="1:23">
      <c r="A127" s="759">
        <f t="shared" si="14"/>
        <v>65</v>
      </c>
      <c r="B127" s="290" t="s">
        <v>1096</v>
      </c>
      <c r="C127" s="782">
        <f t="shared" si="20"/>
        <v>2512600</v>
      </c>
      <c r="D127" s="527">
        <f t="shared" si="33"/>
        <v>79214.48197834169</v>
      </c>
      <c r="E127" s="527">
        <f t="shared" si="33"/>
        <v>5886.8056677980712</v>
      </c>
      <c r="F127" s="527">
        <f t="shared" si="33"/>
        <v>24583.804751899144</v>
      </c>
      <c r="G127" s="527">
        <f t="shared" si="33"/>
        <v>63910.888421960022</v>
      </c>
      <c r="H127" s="760">
        <f t="shared" ref="H127:H134" si="34">ROUND(SUM(C127:G127),0)</f>
        <v>2686196</v>
      </c>
      <c r="I127" s="527">
        <v>195</v>
      </c>
      <c r="J127" s="527">
        <f t="shared" si="21"/>
        <v>13775.364102564103</v>
      </c>
      <c r="K127" s="659"/>
      <c r="L127" s="801" t="s">
        <v>1159</v>
      </c>
      <c r="M127" s="735">
        <f t="shared" si="17"/>
        <v>41442</v>
      </c>
      <c r="N127" s="733">
        <v>41445</v>
      </c>
      <c r="O127" s="734" t="s">
        <v>824</v>
      </c>
      <c r="P127" s="779">
        <v>200</v>
      </c>
      <c r="Q127" s="251">
        <v>12563</v>
      </c>
      <c r="R127" s="8">
        <f t="shared" si="32"/>
        <v>2512600</v>
      </c>
      <c r="S127" s="442"/>
      <c r="T127" s="735"/>
      <c r="U127" s="763"/>
      <c r="V127" s="763"/>
      <c r="W127" s="8">
        <f t="shared" si="30"/>
        <v>0</v>
      </c>
    </row>
    <row r="128" spans="1:23">
      <c r="A128" s="759">
        <f t="shared" ref="A128:A134" si="35">IF(B128&lt;&gt;"",ROW()-62,"")</f>
        <v>66</v>
      </c>
      <c r="B128" s="290" t="s">
        <v>798</v>
      </c>
      <c r="C128" s="782">
        <f t="shared" si="20"/>
        <v>2107616</v>
      </c>
      <c r="D128" s="527">
        <f t="shared" si="33"/>
        <v>206363.88125639781</v>
      </c>
      <c r="E128" s="527">
        <f t="shared" si="33"/>
        <v>15335.883483289334</v>
      </c>
      <c r="F128" s="527">
        <f t="shared" si="33"/>
        <v>64043.963148537252</v>
      </c>
      <c r="G128" s="527">
        <f t="shared" si="33"/>
        <v>166496.05804284971</v>
      </c>
      <c r="H128" s="760">
        <f t="shared" si="34"/>
        <v>2559856</v>
      </c>
      <c r="I128" s="527">
        <v>508</v>
      </c>
      <c r="J128" s="527">
        <f t="shared" si="21"/>
        <v>5039.0866141732286</v>
      </c>
      <c r="K128" s="659"/>
      <c r="L128" s="801" t="s">
        <v>1222</v>
      </c>
      <c r="M128" s="735">
        <f t="shared" ref="M128:M134" si="36">N128-3</f>
        <v>41442</v>
      </c>
      <c r="N128" s="733">
        <v>41445</v>
      </c>
      <c r="O128" s="734" t="s">
        <v>825</v>
      </c>
      <c r="P128" s="298">
        <v>112</v>
      </c>
      <c r="Q128" s="249">
        <v>18818</v>
      </c>
      <c r="R128" s="8">
        <f t="shared" si="32"/>
        <v>2107616</v>
      </c>
      <c r="S128" s="442"/>
      <c r="T128" s="735"/>
      <c r="U128" s="763"/>
      <c r="V128" s="763"/>
      <c r="W128" s="8">
        <f t="shared" si="30"/>
        <v>0</v>
      </c>
    </row>
    <row r="129" spans="1:23">
      <c r="A129" s="759">
        <f t="shared" si="35"/>
        <v>67</v>
      </c>
      <c r="B129" s="290" t="s">
        <v>800</v>
      </c>
      <c r="C129" s="782">
        <f t="shared" ref="C129:C134" si="37">R129</f>
        <v>1188356</v>
      </c>
      <c r="D129" s="527">
        <f t="shared" si="33"/>
        <v>123899.57437638058</v>
      </c>
      <c r="E129" s="527">
        <f t="shared" si="33"/>
        <v>9207.5678393764701</v>
      </c>
      <c r="F129" s="527">
        <f t="shared" si="33"/>
        <v>38451.592047842249</v>
      </c>
      <c r="G129" s="527">
        <f t="shared" si="33"/>
        <v>99963.184454860559</v>
      </c>
      <c r="H129" s="760">
        <f t="shared" si="34"/>
        <v>1459878</v>
      </c>
      <c r="I129" s="527">
        <v>305</v>
      </c>
      <c r="J129" s="527">
        <f t="shared" ref="J129:J134" si="38">IF(I129&lt;&gt;"",H129/I129,"")</f>
        <v>4786.4852459016392</v>
      </c>
      <c r="K129" s="659"/>
      <c r="L129" s="801" t="s">
        <v>1239</v>
      </c>
      <c r="M129" s="735">
        <f t="shared" si="36"/>
        <v>41442</v>
      </c>
      <c r="N129" s="733">
        <v>41445</v>
      </c>
      <c r="O129" s="734" t="s">
        <v>825</v>
      </c>
      <c r="P129" s="298">
        <v>52</v>
      </c>
      <c r="Q129" s="249">
        <v>22853</v>
      </c>
      <c r="R129" s="8">
        <f t="shared" si="32"/>
        <v>1188356</v>
      </c>
      <c r="S129" s="442"/>
      <c r="T129" s="735"/>
      <c r="U129" s="763"/>
      <c r="V129" s="763"/>
      <c r="W129" s="8">
        <f t="shared" si="30"/>
        <v>0</v>
      </c>
    </row>
    <row r="130" spans="1:23">
      <c r="A130" s="759">
        <f t="shared" si="35"/>
        <v>68</v>
      </c>
      <c r="B130" s="290" t="s">
        <v>1106</v>
      </c>
      <c r="C130" s="782">
        <f t="shared" si="37"/>
        <v>2114100</v>
      </c>
      <c r="D130" s="527">
        <f t="shared" si="33"/>
        <v>196614.40655137115</v>
      </c>
      <c r="E130" s="527">
        <f t="shared" si="33"/>
        <v>14611.353554944957</v>
      </c>
      <c r="F130" s="527">
        <f t="shared" si="33"/>
        <v>61018.264102149667</v>
      </c>
      <c r="G130" s="527">
        <f t="shared" si="33"/>
        <v>158630.10254476231</v>
      </c>
      <c r="H130" s="760">
        <f t="shared" si="34"/>
        <v>2544974</v>
      </c>
      <c r="I130" s="527">
        <v>484</v>
      </c>
      <c r="J130" s="527">
        <f t="shared" si="38"/>
        <v>5258.2107438016528</v>
      </c>
      <c r="K130" s="659"/>
      <c r="L130" s="801" t="s">
        <v>1155</v>
      </c>
      <c r="M130" s="735">
        <f t="shared" si="36"/>
        <v>41442</v>
      </c>
      <c r="N130" s="733">
        <v>41445</v>
      </c>
      <c r="O130" s="734" t="s">
        <v>825</v>
      </c>
      <c r="P130" s="298">
        <v>150</v>
      </c>
      <c r="Q130" s="251">
        <v>14094</v>
      </c>
      <c r="R130" s="8">
        <f t="shared" si="32"/>
        <v>2114100</v>
      </c>
      <c r="S130" s="442"/>
      <c r="T130" s="735"/>
      <c r="U130" s="763"/>
      <c r="V130" s="763"/>
      <c r="W130" s="8">
        <f t="shared" si="30"/>
        <v>0</v>
      </c>
    </row>
    <row r="131" spans="1:23">
      <c r="A131" s="759">
        <f t="shared" si="35"/>
        <v>69</v>
      </c>
      <c r="B131" s="290" t="s">
        <v>1108</v>
      </c>
      <c r="C131" s="782">
        <f t="shared" si="37"/>
        <v>3827626</v>
      </c>
      <c r="D131" s="527">
        <f t="shared" si="33"/>
        <v>418414.95609072788</v>
      </c>
      <c r="E131" s="527">
        <f t="shared" si="33"/>
        <v>31094.409424779555</v>
      </c>
      <c r="F131" s="527">
        <f t="shared" si="33"/>
        <v>129852.91740746726</v>
      </c>
      <c r="G131" s="527">
        <f t="shared" si="33"/>
        <v>337580.5901262504</v>
      </c>
      <c r="H131" s="760">
        <f t="shared" si="34"/>
        <v>4744569</v>
      </c>
      <c r="I131" s="527">
        <v>1030</v>
      </c>
      <c r="J131" s="527">
        <f t="shared" si="38"/>
        <v>4606.3776699029122</v>
      </c>
      <c r="K131" s="659"/>
      <c r="L131" s="801" t="s">
        <v>1137</v>
      </c>
      <c r="M131" s="735">
        <f t="shared" si="36"/>
        <v>41443</v>
      </c>
      <c r="N131" s="733">
        <v>41446</v>
      </c>
      <c r="O131" s="734" t="s">
        <v>826</v>
      </c>
      <c r="P131" s="298">
        <v>209</v>
      </c>
      <c r="Q131" s="251">
        <v>18314</v>
      </c>
      <c r="R131" s="8">
        <f t="shared" si="32"/>
        <v>3827626</v>
      </c>
      <c r="S131" s="442"/>
      <c r="T131" s="735"/>
      <c r="U131" s="763"/>
      <c r="V131" s="763"/>
      <c r="W131" s="8">
        <f t="shared" si="30"/>
        <v>0</v>
      </c>
    </row>
    <row r="132" spans="1:23">
      <c r="A132" s="759">
        <f t="shared" si="35"/>
        <v>70</v>
      </c>
      <c r="B132" s="290" t="s">
        <v>805</v>
      </c>
      <c r="C132" s="782">
        <f t="shared" si="37"/>
        <v>4914000</v>
      </c>
      <c r="D132" s="527">
        <f t="shared" si="33"/>
        <v>203114.05635472227</v>
      </c>
      <c r="E132" s="527">
        <f t="shared" si="33"/>
        <v>15094.373507174541</v>
      </c>
      <c r="F132" s="527">
        <f t="shared" si="33"/>
        <v>63035.396799741393</v>
      </c>
      <c r="G132" s="527">
        <f t="shared" si="33"/>
        <v>163874.07287682057</v>
      </c>
      <c r="H132" s="760">
        <f t="shared" si="34"/>
        <v>5359118</v>
      </c>
      <c r="I132" s="527">
        <v>500</v>
      </c>
      <c r="J132" s="527">
        <f t="shared" si="38"/>
        <v>10718.236000000001</v>
      </c>
      <c r="K132" s="659"/>
      <c r="L132" s="801" t="s">
        <v>1161</v>
      </c>
      <c r="M132" s="735">
        <f t="shared" si="36"/>
        <v>41448</v>
      </c>
      <c r="N132" s="733">
        <v>41451</v>
      </c>
      <c r="O132" s="734" t="s">
        <v>827</v>
      </c>
      <c r="P132" s="298">
        <v>500</v>
      </c>
      <c r="Q132" s="251">
        <v>9828</v>
      </c>
      <c r="R132" s="8">
        <f t="shared" ref="R132:R134" si="39">P132*Q132</f>
        <v>4914000</v>
      </c>
      <c r="S132" s="442"/>
      <c r="T132" s="735"/>
      <c r="U132" s="763"/>
      <c r="V132" s="763"/>
      <c r="W132" s="8">
        <f t="shared" ref="W132:W134" si="40">U132*V132</f>
        <v>0</v>
      </c>
    </row>
    <row r="133" spans="1:23">
      <c r="A133" s="759">
        <f t="shared" si="35"/>
        <v>71</v>
      </c>
      <c r="B133" s="290" t="s">
        <v>828</v>
      </c>
      <c r="C133" s="782">
        <f t="shared" si="37"/>
        <v>27092880</v>
      </c>
      <c r="D133" s="527">
        <f t="shared" si="33"/>
        <v>601217.60680997791</v>
      </c>
      <c r="E133" s="527">
        <f t="shared" si="33"/>
        <v>44679.345581236645</v>
      </c>
      <c r="F133" s="527">
        <f t="shared" si="33"/>
        <v>186584.77452723452</v>
      </c>
      <c r="G133" s="527">
        <f t="shared" si="33"/>
        <v>485067.25571538892</v>
      </c>
      <c r="H133" s="760">
        <f t="shared" si="34"/>
        <v>28410429</v>
      </c>
      <c r="I133" s="527">
        <v>1480</v>
      </c>
      <c r="J133" s="527">
        <f t="shared" si="38"/>
        <v>19196.235810810809</v>
      </c>
      <c r="K133" s="659"/>
      <c r="L133" s="801" t="s">
        <v>1202</v>
      </c>
      <c r="M133" s="735">
        <f t="shared" si="36"/>
        <v>41448</v>
      </c>
      <c r="N133" s="733">
        <v>41451</v>
      </c>
      <c r="O133" s="734" t="s">
        <v>829</v>
      </c>
      <c r="P133" s="298">
        <f>I133</f>
        <v>1480</v>
      </c>
      <c r="Q133" s="251">
        <v>18306</v>
      </c>
      <c r="R133" s="8">
        <f t="shared" si="39"/>
        <v>27092880</v>
      </c>
      <c r="S133" s="442"/>
      <c r="T133" s="735"/>
      <c r="U133" s="763"/>
      <c r="V133" s="763"/>
      <c r="W133" s="8">
        <f t="shared" si="40"/>
        <v>0</v>
      </c>
    </row>
    <row r="134" spans="1:23">
      <c r="A134" s="759">
        <f t="shared" si="35"/>
        <v>72</v>
      </c>
      <c r="B134" s="290" t="s">
        <v>1103</v>
      </c>
      <c r="C134" s="782">
        <f t="shared" si="37"/>
        <v>15330745.830573121</v>
      </c>
      <c r="D134" s="527">
        <f t="shared" si="33"/>
        <v>1249963.9028069607</v>
      </c>
      <c r="E134" s="527">
        <f t="shared" si="33"/>
        <v>92890.774563152125</v>
      </c>
      <c r="F134" s="527">
        <f t="shared" si="33"/>
        <v>387919.83190560853</v>
      </c>
      <c r="G134" s="527">
        <f t="shared" si="33"/>
        <v>1008481.0444839539</v>
      </c>
      <c r="H134" s="760">
        <f t="shared" si="34"/>
        <v>18070001</v>
      </c>
      <c r="I134" s="527">
        <v>3077</v>
      </c>
      <c r="J134" s="527">
        <f t="shared" si="38"/>
        <v>5872.6035099122519</v>
      </c>
      <c r="K134" s="659"/>
      <c r="L134" s="801" t="s">
        <v>1209</v>
      </c>
      <c r="M134" s="735">
        <f t="shared" si="36"/>
        <v>41449</v>
      </c>
      <c r="N134" s="733">
        <v>41452</v>
      </c>
      <c r="O134" s="734" t="s">
        <v>830</v>
      </c>
      <c r="P134" s="298">
        <v>770</v>
      </c>
      <c r="Q134" s="251">
        <v>19910.059520224833</v>
      </c>
      <c r="R134" s="8">
        <f t="shared" si="39"/>
        <v>15330745.830573121</v>
      </c>
      <c r="S134" s="442"/>
      <c r="T134" s="735"/>
      <c r="U134" s="763"/>
      <c r="V134" s="763"/>
      <c r="W134" s="8">
        <f t="shared" si="40"/>
        <v>0</v>
      </c>
    </row>
    <row r="135" spans="1:23" s="739" customFormat="1">
      <c r="A135" s="719"/>
      <c r="B135" s="747"/>
      <c r="C135" s="748"/>
      <c r="D135" s="749"/>
      <c r="E135" s="750"/>
      <c r="F135" s="750"/>
      <c r="G135" s="750"/>
      <c r="H135" s="749"/>
      <c r="I135" s="752"/>
      <c r="J135" s="750"/>
      <c r="K135" s="659"/>
      <c r="L135" s="442"/>
      <c r="M135" s="735"/>
      <c r="N135" s="733"/>
      <c r="O135" s="734"/>
      <c r="P135" s="785"/>
      <c r="Q135" s="765"/>
      <c r="R135" s="25"/>
      <c r="S135" s="442"/>
      <c r="T135" s="735"/>
      <c r="U135" s="765"/>
      <c r="V135" s="765"/>
      <c r="W135" s="753"/>
    </row>
    <row r="136" spans="1:23" s="717" customFormat="1">
      <c r="A136" s="721"/>
      <c r="B136" s="722" t="s">
        <v>246</v>
      </c>
      <c r="C136" s="528">
        <f>SUM(C63:C135)</f>
        <v>376638279.4403789</v>
      </c>
      <c r="D136" s="528">
        <v>22620000</v>
      </c>
      <c r="E136" s="528">
        <f>W136</f>
        <v>1681000</v>
      </c>
      <c r="F136" s="528">
        <v>7020000</v>
      </c>
      <c r="G136" s="528">
        <v>18250000</v>
      </c>
      <c r="H136" s="528">
        <f>ROUND(SUM(H63:H135),0)</f>
        <v>426209278</v>
      </c>
      <c r="I136" s="528">
        <f>ROUND(SUM(I63:I135),0)</f>
        <v>55683</v>
      </c>
      <c r="J136" s="528"/>
      <c r="K136" s="730"/>
      <c r="L136" s="740"/>
      <c r="M136" s="741"/>
      <c r="N136" s="741"/>
      <c r="O136" s="742"/>
      <c r="P136" s="780"/>
      <c r="Q136" s="27"/>
      <c r="R136" s="47">
        <f>SUM(R63:R135)</f>
        <v>376638279.4403789</v>
      </c>
      <c r="S136" s="740"/>
      <c r="T136" s="741"/>
      <c r="U136" s="754"/>
      <c r="V136" s="27"/>
      <c r="W136" s="47">
        <f>SUM(W63:W135)</f>
        <v>1681000</v>
      </c>
    </row>
    <row r="137" spans="1:23" s="717" customFormat="1">
      <c r="A137" s="723"/>
      <c r="B137" s="724"/>
      <c r="C137" s="718"/>
      <c r="D137" s="718"/>
      <c r="E137" s="718"/>
      <c r="F137" s="718"/>
      <c r="G137" s="718"/>
      <c r="H137" s="718">
        <v>446648505</v>
      </c>
      <c r="I137" s="718"/>
      <c r="J137" s="718"/>
      <c r="K137" s="730"/>
      <c r="L137" s="443"/>
      <c r="M137" s="743"/>
      <c r="N137" s="743"/>
      <c r="O137" s="744"/>
      <c r="P137" s="778"/>
      <c r="Q137" s="732"/>
      <c r="R137" s="745"/>
      <c r="S137" s="443"/>
      <c r="T137" s="743"/>
      <c r="U137" s="732"/>
      <c r="V137" s="732"/>
      <c r="W137" s="755"/>
    </row>
    <row r="138" spans="1:23" s="717" customFormat="1">
      <c r="A138" s="723"/>
      <c r="B138" s="724"/>
      <c r="C138" s="718"/>
      <c r="D138" s="718"/>
      <c r="E138" s="718"/>
      <c r="F138" s="718"/>
      <c r="G138" s="718"/>
      <c r="H138" s="718">
        <f>H137-H136</f>
        <v>20439227</v>
      </c>
      <c r="I138" s="718"/>
      <c r="J138" s="718"/>
      <c r="K138" s="730"/>
      <c r="L138" s="443"/>
      <c r="M138" s="743"/>
      <c r="N138" s="743"/>
      <c r="O138" s="744"/>
      <c r="P138" s="778"/>
      <c r="Q138" s="732"/>
      <c r="R138" s="745"/>
      <c r="S138" s="443"/>
      <c r="T138" s="743"/>
      <c r="U138" s="732"/>
      <c r="V138" s="732"/>
      <c r="W138" s="755"/>
    </row>
    <row r="139" spans="1:23">
      <c r="L139" s="443"/>
      <c r="M139" s="743"/>
      <c r="N139" s="743"/>
      <c r="O139" s="744"/>
      <c r="P139" s="778"/>
      <c r="Q139" s="732"/>
      <c r="R139" s="745"/>
      <c r="S139" s="443"/>
      <c r="T139" s="743"/>
      <c r="U139" s="732"/>
      <c r="V139" s="732"/>
      <c r="W139" s="755"/>
    </row>
    <row r="140" spans="1:23" ht="18" hidden="1" customHeight="1">
      <c r="A140" s="565" t="str">
        <f>TH!$A$1</f>
        <v>Đơn vị: CÔNG TY TNHH SX TM KIM DUNG PHÁT</v>
      </c>
      <c r="B140" s="717"/>
      <c r="C140" s="286"/>
      <c r="D140" s="286"/>
      <c r="E140" s="286"/>
      <c r="F140" s="286"/>
      <c r="G140" s="286"/>
      <c r="H140" s="286"/>
      <c r="I140" s="593"/>
      <c r="J140" s="286"/>
      <c r="K140" s="730"/>
      <c r="L140" s="443"/>
      <c r="M140" s="743"/>
      <c r="N140" s="743"/>
      <c r="O140" s="744"/>
      <c r="P140" s="778"/>
      <c r="Q140" s="732"/>
      <c r="R140" s="745"/>
      <c r="S140" s="443"/>
      <c r="T140" s="743"/>
      <c r="U140" s="732"/>
      <c r="V140" s="732"/>
      <c r="W140" s="755"/>
    </row>
    <row r="141" spans="1:23" ht="18.75" customHeight="1">
      <c r="A141" s="718" t="s">
        <v>1250</v>
      </c>
      <c r="B141" s="718"/>
      <c r="C141" s="718"/>
      <c r="D141" s="718"/>
      <c r="E141" s="718"/>
      <c r="F141" s="718"/>
      <c r="G141" s="718"/>
      <c r="H141" s="718"/>
      <c r="I141" s="718"/>
      <c r="J141" s="718"/>
      <c r="K141" s="730"/>
      <c r="L141" s="443"/>
      <c r="M141" s="743"/>
      <c r="N141" s="743"/>
      <c r="O141" s="744"/>
      <c r="P141" s="778"/>
      <c r="Q141" s="732"/>
      <c r="R141" s="745"/>
      <c r="S141" s="443"/>
      <c r="T141" s="743"/>
      <c r="U141" s="732"/>
      <c r="V141" s="732"/>
      <c r="W141" s="755"/>
    </row>
    <row r="142" spans="1:23" ht="12.75" customHeight="1">
      <c r="A142" s="766"/>
      <c r="B142" s="761"/>
      <c r="C142" s="761"/>
      <c r="D142" s="761"/>
      <c r="E142" s="761"/>
      <c r="F142" s="761"/>
      <c r="G142" s="761"/>
      <c r="H142" s="761"/>
      <c r="I142" s="731"/>
      <c r="J142" s="761"/>
      <c r="K142" s="730"/>
      <c r="L142" s="443"/>
      <c r="M142" s="743"/>
      <c r="N142" s="743"/>
      <c r="O142" s="744"/>
      <c r="P142" s="778"/>
      <c r="Q142" s="732"/>
      <c r="R142" s="745"/>
      <c r="S142" s="443"/>
      <c r="T142" s="743"/>
      <c r="U142" s="732"/>
      <c r="V142" s="732"/>
      <c r="W142" s="725"/>
    </row>
    <row r="143" spans="1:23" s="440" customFormat="1" ht="30.75" customHeight="1">
      <c r="A143" s="784" t="s">
        <v>35</v>
      </c>
      <c r="B143" s="435" t="s">
        <v>237</v>
      </c>
      <c r="C143" s="436" t="s">
        <v>240</v>
      </c>
      <c r="D143" s="436" t="s">
        <v>435</v>
      </c>
      <c r="E143" s="436" t="s">
        <v>241</v>
      </c>
      <c r="F143" s="436" t="s">
        <v>428</v>
      </c>
      <c r="G143" s="437" t="s">
        <v>242</v>
      </c>
      <c r="H143" s="436" t="s">
        <v>243</v>
      </c>
      <c r="I143" s="438" t="s">
        <v>238</v>
      </c>
      <c r="J143" s="436" t="s">
        <v>244</v>
      </c>
      <c r="K143" s="439"/>
      <c r="L143" s="435" t="s">
        <v>237</v>
      </c>
      <c r="M143" s="436" t="s">
        <v>231</v>
      </c>
      <c r="N143" s="436"/>
      <c r="O143" s="712"/>
      <c r="P143" s="775" t="s">
        <v>196</v>
      </c>
      <c r="Q143" s="436" t="s">
        <v>239</v>
      </c>
      <c r="R143" s="436" t="s">
        <v>245</v>
      </c>
      <c r="S143" s="435" t="s">
        <v>237</v>
      </c>
      <c r="T143" s="436" t="s">
        <v>231</v>
      </c>
      <c r="U143" s="436" t="s">
        <v>196</v>
      </c>
      <c r="V143" s="436" t="s">
        <v>239</v>
      </c>
      <c r="W143" s="435" t="s">
        <v>245</v>
      </c>
    </row>
    <row r="144" spans="1:23" ht="13.5" customHeight="1">
      <c r="A144" s="719">
        <f>IF(B144&lt;&gt;"",ROW()-(ROW()-1),"")</f>
        <v>1</v>
      </c>
      <c r="B144" s="290" t="s">
        <v>1131</v>
      </c>
      <c r="C144" s="25">
        <f>R144</f>
        <v>3148800</v>
      </c>
      <c r="D144" s="720">
        <f t="shared" ref="D144:G163" si="41">IF($I$243&lt;&gt;0,D$243/$I$243*$I144,0)</f>
        <v>145332.9690346084</v>
      </c>
      <c r="E144" s="720">
        <f t="shared" si="41"/>
        <v>10757.583485124469</v>
      </c>
      <c r="F144" s="720">
        <f t="shared" si="41"/>
        <v>124790.52823315118</v>
      </c>
      <c r="G144" s="720">
        <f t="shared" si="41"/>
        <v>116791.13539769278</v>
      </c>
      <c r="H144" s="25">
        <f t="shared" ref="H144:H175" si="42">SUM(C144:G144)</f>
        <v>3546472.2161505767</v>
      </c>
      <c r="I144" s="720">
        <v>527</v>
      </c>
      <c r="J144" s="720">
        <f>IF(I144&lt;&gt;"",H144/I144,"")</f>
        <v>6729.5487972496712</v>
      </c>
      <c r="K144" s="659"/>
      <c r="L144" s="801" t="s">
        <v>1224</v>
      </c>
      <c r="M144" s="733">
        <f>N144-3</f>
        <v>41457</v>
      </c>
      <c r="N144" s="733">
        <v>41460</v>
      </c>
      <c r="O144" s="734" t="s">
        <v>831</v>
      </c>
      <c r="P144" s="298">
        <v>150</v>
      </c>
      <c r="Q144" s="765">
        <v>20992</v>
      </c>
      <c r="R144" s="25">
        <f t="shared" ref="R144:R145" si="43">ROUND(P144*Q144,0)</f>
        <v>3148800</v>
      </c>
      <c r="S144" s="441" t="s">
        <v>369</v>
      </c>
      <c r="T144" s="733">
        <v>41456</v>
      </c>
      <c r="U144" s="765">
        <v>25</v>
      </c>
      <c r="V144" s="765">
        <v>25000</v>
      </c>
      <c r="W144" s="25">
        <f t="shared" ref="W144:W242" si="44">ROUND(U144*V144,0)</f>
        <v>625000</v>
      </c>
    </row>
    <row r="145" spans="1:23" ht="13.5" customHeight="1">
      <c r="A145" s="719">
        <f>IF(B145&lt;&gt;"",A144+1,"")</f>
        <v>2</v>
      </c>
      <c r="B145" s="290" t="s">
        <v>833</v>
      </c>
      <c r="C145" s="25">
        <f t="shared" ref="C145:C191" si="45">R145</f>
        <v>3052010</v>
      </c>
      <c r="D145" s="720">
        <f t="shared" si="41"/>
        <v>139541.71220400729</v>
      </c>
      <c r="E145" s="720">
        <f t="shared" si="41"/>
        <v>10328.913175470552</v>
      </c>
      <c r="F145" s="720">
        <f t="shared" si="41"/>
        <v>119817.85063752277</v>
      </c>
      <c r="G145" s="720">
        <f t="shared" si="41"/>
        <v>112137.21918639951</v>
      </c>
      <c r="H145" s="25">
        <f t="shared" si="42"/>
        <v>3433835.6952034007</v>
      </c>
      <c r="I145" s="720">
        <v>506</v>
      </c>
      <c r="J145" s="720">
        <f t="shared" ref="J145:J148" si="46">IF(I145&lt;&gt;"",H145/I145,"")</f>
        <v>6786.2365517853768</v>
      </c>
      <c r="K145" s="659"/>
      <c r="L145" s="801" t="s">
        <v>1179</v>
      </c>
      <c r="M145" s="733">
        <f t="shared" ref="M145:M208" si="47">N145-3</f>
        <v>41457</v>
      </c>
      <c r="N145" s="733">
        <v>41460</v>
      </c>
      <c r="O145" s="734" t="s">
        <v>831</v>
      </c>
      <c r="P145" s="298">
        <v>130</v>
      </c>
      <c r="Q145" s="765">
        <v>23477</v>
      </c>
      <c r="R145" s="25">
        <f t="shared" si="43"/>
        <v>3052010</v>
      </c>
      <c r="S145" s="442" t="s">
        <v>342</v>
      </c>
      <c r="T145" s="733">
        <v>41456</v>
      </c>
      <c r="U145" s="763">
        <v>24</v>
      </c>
      <c r="V145" s="763">
        <v>44000</v>
      </c>
      <c r="W145" s="25">
        <f t="shared" si="44"/>
        <v>1056000</v>
      </c>
    </row>
    <row r="146" spans="1:23" ht="13.5" customHeight="1">
      <c r="A146" s="719">
        <f t="shared" ref="A146:A209" si="48">IF(B146&lt;&gt;"",A145+1,"")</f>
        <v>3</v>
      </c>
      <c r="B146" s="290" t="s">
        <v>834</v>
      </c>
      <c r="C146" s="25">
        <f t="shared" si="45"/>
        <v>2867049</v>
      </c>
      <c r="D146" s="720">
        <f t="shared" si="41"/>
        <v>39711.475409836072</v>
      </c>
      <c r="E146" s="720">
        <f t="shared" si="41"/>
        <v>2939.4535519125684</v>
      </c>
      <c r="F146" s="720">
        <f t="shared" si="41"/>
        <v>34098.360655737706</v>
      </c>
      <c r="G146" s="720">
        <f t="shared" si="41"/>
        <v>31912.56830601093</v>
      </c>
      <c r="H146" s="25">
        <f t="shared" si="42"/>
        <v>2975710.8579234974</v>
      </c>
      <c r="I146" s="720">
        <v>144</v>
      </c>
      <c r="J146" s="720">
        <f t="shared" si="46"/>
        <v>20664.658735579844</v>
      </c>
      <c r="K146" s="659"/>
      <c r="L146" s="801" t="s">
        <v>1209</v>
      </c>
      <c r="M146" s="733">
        <f t="shared" si="47"/>
        <v>41460</v>
      </c>
      <c r="N146" s="733">
        <v>41463</v>
      </c>
      <c r="O146" s="734" t="s">
        <v>835</v>
      </c>
      <c r="P146" s="298">
        <f>I146</f>
        <v>144</v>
      </c>
      <c r="Q146" s="249">
        <v>19910.059393752887</v>
      </c>
      <c r="R146" s="25">
        <f t="shared" ref="R146:R242" si="49">ROUND(P146*Q146,0)</f>
        <v>2867049</v>
      </c>
      <c r="S146" s="442"/>
      <c r="T146" s="735"/>
      <c r="U146" s="765"/>
      <c r="V146" s="763"/>
      <c r="W146" s="25">
        <f t="shared" si="44"/>
        <v>0</v>
      </c>
    </row>
    <row r="147" spans="1:23" ht="13.5" customHeight="1">
      <c r="A147" s="719">
        <f t="shared" si="48"/>
        <v>4</v>
      </c>
      <c r="B147" s="290" t="s">
        <v>836</v>
      </c>
      <c r="C147" s="25">
        <f t="shared" si="45"/>
        <v>2289657</v>
      </c>
      <c r="D147" s="720">
        <f t="shared" si="41"/>
        <v>31714.02550091075</v>
      </c>
      <c r="E147" s="720">
        <f t="shared" si="41"/>
        <v>2347.4802671523985</v>
      </c>
      <c r="F147" s="720">
        <f t="shared" si="41"/>
        <v>27231.329690346083</v>
      </c>
      <c r="G147" s="720">
        <f t="shared" si="41"/>
        <v>25485.731633272619</v>
      </c>
      <c r="H147" s="25">
        <f t="shared" si="42"/>
        <v>2376435.5670916815</v>
      </c>
      <c r="I147" s="720">
        <v>115</v>
      </c>
      <c r="J147" s="720">
        <f t="shared" si="46"/>
        <v>20664.657105145056</v>
      </c>
      <c r="K147" s="659"/>
      <c r="L147" s="801" t="s">
        <v>1209</v>
      </c>
      <c r="M147" s="733">
        <f t="shared" si="47"/>
        <v>41460</v>
      </c>
      <c r="N147" s="733">
        <v>41463</v>
      </c>
      <c r="O147" s="734" t="s">
        <v>835</v>
      </c>
      <c r="P147" s="298">
        <f>I147</f>
        <v>115</v>
      </c>
      <c r="Q147" s="249">
        <v>19910.059393752887</v>
      </c>
      <c r="R147" s="25">
        <f t="shared" si="49"/>
        <v>2289657</v>
      </c>
      <c r="S147" s="442"/>
      <c r="T147" s="735"/>
      <c r="U147" s="765"/>
      <c r="V147" s="765"/>
      <c r="W147" s="25">
        <f t="shared" si="44"/>
        <v>0</v>
      </c>
    </row>
    <row r="148" spans="1:23" ht="13.5" customHeight="1">
      <c r="A148" s="719">
        <f>IF(B148&lt;&gt;"",A147+1,"")</f>
        <v>5</v>
      </c>
      <c r="B148" s="290" t="s">
        <v>690</v>
      </c>
      <c r="C148" s="25">
        <f t="shared" si="45"/>
        <v>2827500</v>
      </c>
      <c r="D148" s="720">
        <f t="shared" si="41"/>
        <v>163258.28779599271</v>
      </c>
      <c r="E148" s="720">
        <f t="shared" si="41"/>
        <v>12084.420157862782</v>
      </c>
      <c r="F148" s="720">
        <f t="shared" si="41"/>
        <v>140182.14936247724</v>
      </c>
      <c r="G148" s="720">
        <f t="shared" si="41"/>
        <v>131196.11414693383</v>
      </c>
      <c r="H148" s="25">
        <f t="shared" si="42"/>
        <v>3274220.9714632668</v>
      </c>
      <c r="I148" s="720">
        <v>592</v>
      </c>
      <c r="J148" s="720">
        <f t="shared" si="46"/>
        <v>5530.7786680122754</v>
      </c>
      <c r="K148" s="659"/>
      <c r="L148" s="189" t="s">
        <v>666</v>
      </c>
      <c r="M148" s="733">
        <f t="shared" si="47"/>
        <v>41460</v>
      </c>
      <c r="N148" s="733">
        <v>41463</v>
      </c>
      <c r="O148" s="734" t="s">
        <v>837</v>
      </c>
      <c r="P148" s="298">
        <v>300</v>
      </c>
      <c r="Q148" s="765">
        <v>9425</v>
      </c>
      <c r="R148" s="25">
        <f t="shared" si="49"/>
        <v>2827500</v>
      </c>
      <c r="S148" s="442"/>
      <c r="T148" s="735"/>
      <c r="U148" s="765"/>
      <c r="V148" s="765"/>
      <c r="W148" s="25">
        <f t="shared" si="44"/>
        <v>0</v>
      </c>
    </row>
    <row r="149" spans="1:23" ht="13.5" customHeight="1">
      <c r="A149" s="719">
        <f t="shared" si="48"/>
        <v>6</v>
      </c>
      <c r="B149" s="290" t="s">
        <v>692</v>
      </c>
      <c r="C149" s="25">
        <f t="shared" si="45"/>
        <v>2328384</v>
      </c>
      <c r="D149" s="720">
        <f t="shared" si="41"/>
        <v>167946.44808743169</v>
      </c>
      <c r="E149" s="720">
        <f t="shared" si="41"/>
        <v>12431.43897996357</v>
      </c>
      <c r="F149" s="720">
        <f t="shared" si="41"/>
        <v>144207.65027322405</v>
      </c>
      <c r="G149" s="720">
        <f t="shared" si="41"/>
        <v>134963.57012750456</v>
      </c>
      <c r="H149" s="25">
        <f t="shared" si="42"/>
        <v>2787933.1074681235</v>
      </c>
      <c r="I149" s="720">
        <v>609</v>
      </c>
      <c r="J149" s="720">
        <f t="shared" ref="J149:J175" si="50">IF(I149&lt;&gt;"",H149/I149,"")</f>
        <v>4577.8868759739307</v>
      </c>
      <c r="K149" s="659"/>
      <c r="L149" s="801" t="s">
        <v>1184</v>
      </c>
      <c r="M149" s="733">
        <f t="shared" si="47"/>
        <v>41460</v>
      </c>
      <c r="N149" s="733">
        <v>41463</v>
      </c>
      <c r="O149" s="734" t="s">
        <v>837</v>
      </c>
      <c r="P149" s="298">
        <v>134</v>
      </c>
      <c r="Q149" s="765">
        <v>17376</v>
      </c>
      <c r="R149" s="25">
        <f t="shared" si="49"/>
        <v>2328384</v>
      </c>
      <c r="S149" s="442"/>
      <c r="T149" s="735"/>
      <c r="U149" s="765"/>
      <c r="V149" s="765"/>
      <c r="W149" s="25"/>
    </row>
    <row r="150" spans="1:23" ht="13.5" customHeight="1">
      <c r="A150" s="719">
        <f t="shared" si="48"/>
        <v>7</v>
      </c>
      <c r="B150" s="290" t="s">
        <v>838</v>
      </c>
      <c r="C150" s="25">
        <f t="shared" si="45"/>
        <v>6520500</v>
      </c>
      <c r="D150" s="720">
        <f t="shared" si="41"/>
        <v>224204.37158469946</v>
      </c>
      <c r="E150" s="720">
        <f t="shared" si="41"/>
        <v>16595.664845173043</v>
      </c>
      <c r="F150" s="720">
        <f t="shared" si="41"/>
        <v>192513.66120218579</v>
      </c>
      <c r="G150" s="720">
        <f t="shared" si="41"/>
        <v>180173.04189435337</v>
      </c>
      <c r="H150" s="25">
        <f t="shared" si="42"/>
        <v>7133986.7395264115</v>
      </c>
      <c r="I150" s="720">
        <v>813</v>
      </c>
      <c r="J150" s="720">
        <f t="shared" si="50"/>
        <v>8774.8914385318712</v>
      </c>
      <c r="K150" s="659"/>
      <c r="L150" s="801" t="s">
        <v>1140</v>
      </c>
      <c r="M150" s="733">
        <f t="shared" si="47"/>
        <v>41460</v>
      </c>
      <c r="N150" s="733">
        <v>41463</v>
      </c>
      <c r="O150" s="734" t="s">
        <v>837</v>
      </c>
      <c r="P150" s="298">
        <v>230</v>
      </c>
      <c r="Q150" s="765">
        <v>28350</v>
      </c>
      <c r="R150" s="25">
        <f t="shared" si="49"/>
        <v>6520500</v>
      </c>
      <c r="S150" s="442"/>
      <c r="T150" s="735"/>
      <c r="U150" s="765"/>
      <c r="V150" s="765"/>
      <c r="W150" s="25"/>
    </row>
    <row r="151" spans="1:23" ht="13.5" customHeight="1">
      <c r="A151" s="719">
        <f t="shared" si="48"/>
        <v>8</v>
      </c>
      <c r="B151" s="290" t="s">
        <v>839</v>
      </c>
      <c r="C151" s="25">
        <f t="shared" si="45"/>
        <v>4558380</v>
      </c>
      <c r="D151" s="720">
        <f t="shared" si="41"/>
        <v>180907.83242258654</v>
      </c>
      <c r="E151" s="720">
        <f t="shared" si="41"/>
        <v>13390.84395871281</v>
      </c>
      <c r="F151" s="720">
        <f t="shared" si="41"/>
        <v>155336.97632058288</v>
      </c>
      <c r="G151" s="720">
        <f t="shared" si="41"/>
        <v>145379.47783849423</v>
      </c>
      <c r="H151" s="25">
        <f t="shared" si="42"/>
        <v>5053395.1305403756</v>
      </c>
      <c r="I151" s="720">
        <v>656</v>
      </c>
      <c r="J151" s="720">
        <f t="shared" si="50"/>
        <v>7703.346235579841</v>
      </c>
      <c r="K151" s="659"/>
      <c r="L151" s="801" t="s">
        <v>1141</v>
      </c>
      <c r="M151" s="733">
        <f t="shared" si="47"/>
        <v>41460</v>
      </c>
      <c r="N151" s="733">
        <v>41463</v>
      </c>
      <c r="O151" s="734" t="s">
        <v>837</v>
      </c>
      <c r="P151" s="298">
        <v>218</v>
      </c>
      <c r="Q151" s="765">
        <v>20910</v>
      </c>
      <c r="R151" s="25">
        <f t="shared" si="49"/>
        <v>4558380</v>
      </c>
      <c r="S151" s="442"/>
      <c r="T151" s="735"/>
      <c r="U151" s="765"/>
      <c r="V151" s="765"/>
      <c r="W151" s="25"/>
    </row>
    <row r="152" spans="1:23" ht="13.5" customHeight="1">
      <c r="A152" s="719">
        <f t="shared" si="48"/>
        <v>9</v>
      </c>
      <c r="B152" s="290" t="s">
        <v>698</v>
      </c>
      <c r="C152" s="25">
        <f t="shared" si="45"/>
        <v>7940107</v>
      </c>
      <c r="D152" s="720">
        <f t="shared" si="41"/>
        <v>283220.0364298725</v>
      </c>
      <c r="E152" s="720">
        <f t="shared" si="41"/>
        <v>20964.019429265332</v>
      </c>
      <c r="F152" s="720">
        <f t="shared" si="41"/>
        <v>243187.61384335154</v>
      </c>
      <c r="G152" s="720">
        <f t="shared" si="41"/>
        <v>227598.6642380085</v>
      </c>
      <c r="H152" s="25">
        <f t="shared" si="42"/>
        <v>8715077.3339404967</v>
      </c>
      <c r="I152" s="720">
        <v>1027</v>
      </c>
      <c r="J152" s="720">
        <f t="shared" si="50"/>
        <v>8485.9565082185945</v>
      </c>
      <c r="K152" s="659"/>
      <c r="L152" s="801" t="s">
        <v>1220</v>
      </c>
      <c r="M152" s="733">
        <f t="shared" si="47"/>
        <v>41472</v>
      </c>
      <c r="N152" s="733">
        <v>41475</v>
      </c>
      <c r="O152" s="734" t="s">
        <v>840</v>
      </c>
      <c r="P152" s="298">
        <v>343</v>
      </c>
      <c r="Q152" s="765">
        <v>23149</v>
      </c>
      <c r="R152" s="25">
        <f t="shared" si="49"/>
        <v>7940107</v>
      </c>
      <c r="S152" s="442"/>
      <c r="T152" s="735"/>
      <c r="U152" s="765"/>
      <c r="V152" s="765"/>
      <c r="W152" s="25"/>
    </row>
    <row r="153" spans="1:23" ht="13.5" customHeight="1">
      <c r="A153" s="719">
        <f t="shared" si="48"/>
        <v>10</v>
      </c>
      <c r="B153" s="290" t="s">
        <v>805</v>
      </c>
      <c r="C153" s="25">
        <f t="shared" si="45"/>
        <v>6864750</v>
      </c>
      <c r="D153" s="720">
        <f t="shared" si="41"/>
        <v>206554.82695810567</v>
      </c>
      <c r="E153" s="720">
        <f t="shared" si="41"/>
        <v>15289.241044323011</v>
      </c>
      <c r="F153" s="720">
        <f t="shared" si="41"/>
        <v>177358.83424408015</v>
      </c>
      <c r="G153" s="720">
        <f t="shared" si="41"/>
        <v>165989.67820279294</v>
      </c>
      <c r="H153" s="25">
        <f t="shared" si="42"/>
        <v>7429942.5804493017</v>
      </c>
      <c r="I153" s="720">
        <v>749</v>
      </c>
      <c r="J153" s="720">
        <f t="shared" si="50"/>
        <v>9919.8165293048096</v>
      </c>
      <c r="K153" s="659"/>
      <c r="L153" s="801" t="s">
        <v>1202</v>
      </c>
      <c r="M153" s="733">
        <f t="shared" si="47"/>
        <v>41472</v>
      </c>
      <c r="N153" s="733">
        <v>41475</v>
      </c>
      <c r="O153" s="734" t="s">
        <v>841</v>
      </c>
      <c r="P153" s="298">
        <v>375</v>
      </c>
      <c r="Q153" s="765">
        <v>18306</v>
      </c>
      <c r="R153" s="25">
        <f t="shared" si="49"/>
        <v>6864750</v>
      </c>
      <c r="S153" s="442"/>
      <c r="T153" s="735"/>
      <c r="U153" s="765"/>
      <c r="V153" s="765"/>
      <c r="W153" s="25"/>
    </row>
    <row r="154" spans="1:23" ht="13.5" customHeight="1">
      <c r="A154" s="719">
        <f>IF(B154&lt;&gt;"",A153+1,"")</f>
        <v>11</v>
      </c>
      <c r="B154" s="290" t="s">
        <v>1122</v>
      </c>
      <c r="C154" s="25">
        <f t="shared" si="45"/>
        <v>5665642</v>
      </c>
      <c r="D154" s="720">
        <f t="shared" si="41"/>
        <v>421107.10382513661</v>
      </c>
      <c r="E154" s="720">
        <f t="shared" si="41"/>
        <v>31170.455373406192</v>
      </c>
      <c r="F154" s="720">
        <f t="shared" si="41"/>
        <v>361584.6994535519</v>
      </c>
      <c r="G154" s="720">
        <f t="shared" si="41"/>
        <v>338406.1930783242</v>
      </c>
      <c r="H154" s="25">
        <f t="shared" si="42"/>
        <v>6817910.4517304199</v>
      </c>
      <c r="I154" s="720">
        <v>1527</v>
      </c>
      <c r="J154" s="720">
        <f t="shared" si="50"/>
        <v>4464.9053383958217</v>
      </c>
      <c r="K154" s="659"/>
      <c r="L154" s="189" t="s">
        <v>667</v>
      </c>
      <c r="M154" s="733">
        <f t="shared" si="47"/>
        <v>41474</v>
      </c>
      <c r="N154" s="733">
        <v>41477</v>
      </c>
      <c r="O154" s="734" t="s">
        <v>842</v>
      </c>
      <c r="P154" s="298">
        <v>334</v>
      </c>
      <c r="Q154" s="765">
        <v>16963</v>
      </c>
      <c r="R154" s="25">
        <f t="shared" si="49"/>
        <v>5665642</v>
      </c>
      <c r="S154" s="442"/>
      <c r="T154" s="735"/>
      <c r="U154" s="765"/>
      <c r="V154" s="765"/>
      <c r="W154" s="25"/>
    </row>
    <row r="155" spans="1:23" ht="13.5" customHeight="1">
      <c r="A155" s="719">
        <f t="shared" si="48"/>
        <v>12</v>
      </c>
      <c r="B155" s="290" t="s">
        <v>843</v>
      </c>
      <c r="C155" s="25">
        <f t="shared" si="45"/>
        <v>9955030</v>
      </c>
      <c r="D155" s="720">
        <f t="shared" si="41"/>
        <v>274671.03825136612</v>
      </c>
      <c r="E155" s="720">
        <f t="shared" si="41"/>
        <v>20331.220400728598</v>
      </c>
      <c r="F155" s="720">
        <f t="shared" si="41"/>
        <v>235846.99453551913</v>
      </c>
      <c r="G155" s="720">
        <f t="shared" si="41"/>
        <v>220728.59744990894</v>
      </c>
      <c r="H155" s="25">
        <f t="shared" si="42"/>
        <v>10706607.850637522</v>
      </c>
      <c r="I155" s="720">
        <v>996</v>
      </c>
      <c r="J155" s="720">
        <f t="shared" si="50"/>
        <v>10749.606275740483</v>
      </c>
      <c r="K155" s="659"/>
      <c r="L155" s="801" t="s">
        <v>1209</v>
      </c>
      <c r="M155" s="733">
        <f t="shared" si="47"/>
        <v>41474</v>
      </c>
      <c r="N155" s="733">
        <v>41477</v>
      </c>
      <c r="O155" s="734" t="s">
        <v>842</v>
      </c>
      <c r="P155" s="298">
        <v>500</v>
      </c>
      <c r="Q155" s="765">
        <v>19910.059213884633</v>
      </c>
      <c r="R155" s="25">
        <f t="shared" si="49"/>
        <v>9955030</v>
      </c>
      <c r="S155" s="442"/>
      <c r="T155" s="735"/>
      <c r="U155" s="765"/>
      <c r="V155" s="765"/>
      <c r="W155" s="25"/>
    </row>
    <row r="156" spans="1:23" ht="13.5" customHeight="1">
      <c r="A156" s="719">
        <f t="shared" si="48"/>
        <v>13</v>
      </c>
      <c r="B156" s="290" t="s">
        <v>844</v>
      </c>
      <c r="C156" s="25">
        <f t="shared" si="45"/>
        <v>1811700</v>
      </c>
      <c r="D156" s="720">
        <f t="shared" si="41"/>
        <v>13788.706739526413</v>
      </c>
      <c r="E156" s="720">
        <f t="shared" si="41"/>
        <v>1020.6435944140862</v>
      </c>
      <c r="F156" s="720">
        <f t="shared" si="41"/>
        <v>11839.708561020036</v>
      </c>
      <c r="G156" s="720">
        <f t="shared" si="41"/>
        <v>11080.752884031572</v>
      </c>
      <c r="H156" s="25">
        <f t="shared" si="42"/>
        <v>1849429.8117789919</v>
      </c>
      <c r="I156" s="720">
        <v>50</v>
      </c>
      <c r="J156" s="720">
        <f t="shared" si="50"/>
        <v>36988.59623557984</v>
      </c>
      <c r="K156" s="659"/>
      <c r="L156" s="189" t="s">
        <v>605</v>
      </c>
      <c r="M156" s="733">
        <f t="shared" si="47"/>
        <v>41474</v>
      </c>
      <c r="N156" s="733">
        <v>41477</v>
      </c>
      <c r="O156" s="734" t="s">
        <v>845</v>
      </c>
      <c r="P156" s="298">
        <v>50</v>
      </c>
      <c r="Q156" s="765">
        <v>36234</v>
      </c>
      <c r="R156" s="25">
        <f t="shared" si="49"/>
        <v>1811700</v>
      </c>
      <c r="S156" s="442"/>
      <c r="T156" s="735"/>
      <c r="U156" s="765"/>
      <c r="V156" s="765"/>
      <c r="W156" s="25"/>
    </row>
    <row r="157" spans="1:23" ht="13.5" customHeight="1">
      <c r="A157" s="719">
        <f t="shared" si="48"/>
        <v>14</v>
      </c>
      <c r="B157" s="290" t="s">
        <v>847</v>
      </c>
      <c r="C157" s="25">
        <f t="shared" si="45"/>
        <v>1999750</v>
      </c>
      <c r="D157" s="720">
        <f t="shared" si="41"/>
        <v>13788.706739526413</v>
      </c>
      <c r="E157" s="720">
        <f t="shared" si="41"/>
        <v>1020.6435944140862</v>
      </c>
      <c r="F157" s="720">
        <f t="shared" si="41"/>
        <v>11839.708561020036</v>
      </c>
      <c r="G157" s="720">
        <f t="shared" si="41"/>
        <v>11080.752884031572</v>
      </c>
      <c r="H157" s="25">
        <f t="shared" si="42"/>
        <v>2037479.8117789919</v>
      </c>
      <c r="I157" s="720">
        <v>50</v>
      </c>
      <c r="J157" s="720">
        <f t="shared" si="50"/>
        <v>40749.59623557984</v>
      </c>
      <c r="K157" s="659"/>
      <c r="L157" s="801" t="s">
        <v>1233</v>
      </c>
      <c r="M157" s="733">
        <f t="shared" si="47"/>
        <v>41474</v>
      </c>
      <c r="N157" s="733">
        <v>41477</v>
      </c>
      <c r="O157" s="734" t="s">
        <v>845</v>
      </c>
      <c r="P157" s="298">
        <v>50</v>
      </c>
      <c r="Q157" s="765">
        <v>39995</v>
      </c>
      <c r="R157" s="25">
        <f t="shared" si="49"/>
        <v>1999750</v>
      </c>
      <c r="S157" s="442"/>
      <c r="T157" s="735"/>
      <c r="U157" s="765"/>
      <c r="V157" s="765"/>
      <c r="W157" s="25"/>
    </row>
    <row r="158" spans="1:23" ht="13.5" customHeight="1">
      <c r="A158" s="719">
        <f t="shared" si="48"/>
        <v>15</v>
      </c>
      <c r="B158" s="290" t="s">
        <v>848</v>
      </c>
      <c r="C158" s="25">
        <f t="shared" si="45"/>
        <v>974150</v>
      </c>
      <c r="D158" s="720">
        <f t="shared" si="41"/>
        <v>5515.482695810565</v>
      </c>
      <c r="E158" s="720">
        <f t="shared" si="41"/>
        <v>408.25743776563451</v>
      </c>
      <c r="F158" s="720">
        <f t="shared" si="41"/>
        <v>4735.8834244080144</v>
      </c>
      <c r="G158" s="720">
        <f t="shared" si="41"/>
        <v>4432.3011536126287</v>
      </c>
      <c r="H158" s="25">
        <f t="shared" si="42"/>
        <v>989241.92471159692</v>
      </c>
      <c r="I158" s="720">
        <v>20</v>
      </c>
      <c r="J158" s="720">
        <f t="shared" si="50"/>
        <v>49462.096235579847</v>
      </c>
      <c r="K158" s="659"/>
      <c r="L158" s="189" t="s">
        <v>575</v>
      </c>
      <c r="M158" s="733">
        <f t="shared" si="47"/>
        <v>41474</v>
      </c>
      <c r="N158" s="733">
        <v>41477</v>
      </c>
      <c r="O158" s="734" t="s">
        <v>845</v>
      </c>
      <c r="P158" s="298">
        <v>25</v>
      </c>
      <c r="Q158" s="765">
        <v>38966</v>
      </c>
      <c r="R158" s="25">
        <f t="shared" si="49"/>
        <v>974150</v>
      </c>
      <c r="S158" s="442"/>
      <c r="T158" s="735"/>
      <c r="U158" s="765"/>
      <c r="V158" s="765"/>
      <c r="W158" s="25"/>
    </row>
    <row r="159" spans="1:23" ht="13.5" customHeight="1">
      <c r="A159" s="719">
        <f>IF(B159&lt;&gt;"",A158+1,"")</f>
        <v>16</v>
      </c>
      <c r="B159" s="290" t="s">
        <v>849</v>
      </c>
      <c r="C159" s="25">
        <f t="shared" si="45"/>
        <v>1052082</v>
      </c>
      <c r="D159" s="720">
        <f t="shared" si="41"/>
        <v>5515.482695810565</v>
      </c>
      <c r="E159" s="720">
        <f t="shared" si="41"/>
        <v>408.25743776563451</v>
      </c>
      <c r="F159" s="720">
        <f t="shared" si="41"/>
        <v>4735.8834244080144</v>
      </c>
      <c r="G159" s="720">
        <f t="shared" si="41"/>
        <v>4432.3011536126287</v>
      </c>
      <c r="H159" s="25">
        <f t="shared" si="42"/>
        <v>1067173.9247115967</v>
      </c>
      <c r="I159" s="720">
        <v>20</v>
      </c>
      <c r="J159" s="720">
        <f t="shared" si="50"/>
        <v>53358.696235579831</v>
      </c>
      <c r="K159" s="659"/>
      <c r="L159" s="189" t="s">
        <v>575</v>
      </c>
      <c r="M159" s="733">
        <f t="shared" si="47"/>
        <v>41474</v>
      </c>
      <c r="N159" s="733">
        <v>41477</v>
      </c>
      <c r="O159" s="734" t="s">
        <v>845</v>
      </c>
      <c r="P159" s="298">
        <v>27</v>
      </c>
      <c r="Q159" s="765">
        <v>38966</v>
      </c>
      <c r="R159" s="25">
        <f t="shared" si="49"/>
        <v>1052082</v>
      </c>
      <c r="S159" s="442"/>
      <c r="T159" s="735"/>
      <c r="U159" s="765"/>
      <c r="V159" s="765"/>
      <c r="W159" s="25"/>
    </row>
    <row r="160" spans="1:23" ht="13.5" customHeight="1">
      <c r="A160" s="719">
        <f t="shared" si="48"/>
        <v>17</v>
      </c>
      <c r="B160" s="290" t="s">
        <v>850</v>
      </c>
      <c r="C160" s="25">
        <f t="shared" si="45"/>
        <v>1091048</v>
      </c>
      <c r="D160" s="720">
        <f t="shared" si="41"/>
        <v>5515.482695810565</v>
      </c>
      <c r="E160" s="720">
        <f t="shared" si="41"/>
        <v>408.25743776563451</v>
      </c>
      <c r="F160" s="720">
        <f t="shared" si="41"/>
        <v>4735.8834244080144</v>
      </c>
      <c r="G160" s="720">
        <f t="shared" si="41"/>
        <v>4432.3011536126287</v>
      </c>
      <c r="H160" s="25">
        <f t="shared" si="42"/>
        <v>1106139.9247115967</v>
      </c>
      <c r="I160" s="720">
        <v>20</v>
      </c>
      <c r="J160" s="720">
        <f t="shared" si="50"/>
        <v>55306.996235579834</v>
      </c>
      <c r="K160" s="659"/>
      <c r="L160" s="189" t="s">
        <v>575</v>
      </c>
      <c r="M160" s="733">
        <f t="shared" si="47"/>
        <v>41474</v>
      </c>
      <c r="N160" s="733">
        <v>41477</v>
      </c>
      <c r="O160" s="734" t="s">
        <v>845</v>
      </c>
      <c r="P160" s="298">
        <v>28</v>
      </c>
      <c r="Q160" s="765">
        <v>38966</v>
      </c>
      <c r="R160" s="25">
        <f t="shared" si="49"/>
        <v>1091048</v>
      </c>
      <c r="S160" s="442"/>
      <c r="T160" s="735"/>
      <c r="U160" s="765"/>
      <c r="V160" s="765"/>
      <c r="W160" s="25"/>
    </row>
    <row r="161" spans="1:23" ht="13.5" customHeight="1">
      <c r="A161" s="719">
        <f t="shared" si="48"/>
        <v>18</v>
      </c>
      <c r="B161" s="290" t="s">
        <v>851</v>
      </c>
      <c r="C161" s="25">
        <f t="shared" si="45"/>
        <v>1168980</v>
      </c>
      <c r="D161" s="720">
        <f t="shared" si="41"/>
        <v>5515.482695810565</v>
      </c>
      <c r="E161" s="720">
        <f t="shared" si="41"/>
        <v>408.25743776563451</v>
      </c>
      <c r="F161" s="720">
        <f t="shared" si="41"/>
        <v>4735.8834244080144</v>
      </c>
      <c r="G161" s="720">
        <f t="shared" si="41"/>
        <v>4432.3011536126287</v>
      </c>
      <c r="H161" s="25">
        <f t="shared" si="42"/>
        <v>1184071.9247115967</v>
      </c>
      <c r="I161" s="720">
        <v>20</v>
      </c>
      <c r="J161" s="720">
        <f t="shared" si="50"/>
        <v>59203.596235579833</v>
      </c>
      <c r="K161" s="659"/>
      <c r="L161" s="189" t="s">
        <v>575</v>
      </c>
      <c r="M161" s="733">
        <f t="shared" si="47"/>
        <v>41474</v>
      </c>
      <c r="N161" s="733">
        <v>41477</v>
      </c>
      <c r="O161" s="734" t="s">
        <v>845</v>
      </c>
      <c r="P161" s="298">
        <v>30</v>
      </c>
      <c r="Q161" s="765">
        <v>38966</v>
      </c>
      <c r="R161" s="25">
        <f t="shared" si="49"/>
        <v>1168980</v>
      </c>
      <c r="S161" s="442"/>
      <c r="T161" s="735"/>
      <c r="U161" s="765"/>
      <c r="V161" s="765"/>
      <c r="W161" s="25"/>
    </row>
    <row r="162" spans="1:23" ht="13.5" customHeight="1">
      <c r="A162" s="719">
        <f t="shared" si="48"/>
        <v>19</v>
      </c>
      <c r="B162" s="290" t="s">
        <v>852</v>
      </c>
      <c r="C162" s="25">
        <f t="shared" si="45"/>
        <v>1739530</v>
      </c>
      <c r="D162" s="720">
        <f t="shared" si="41"/>
        <v>71425.500910746821</v>
      </c>
      <c r="E162" s="720">
        <f t="shared" si="41"/>
        <v>5286.9338190649669</v>
      </c>
      <c r="F162" s="720">
        <f t="shared" si="41"/>
        <v>61329.690346083786</v>
      </c>
      <c r="G162" s="720">
        <f t="shared" si="41"/>
        <v>57398.299939283548</v>
      </c>
      <c r="H162" s="25">
        <f t="shared" si="42"/>
        <v>1934970.4250151792</v>
      </c>
      <c r="I162" s="720">
        <v>259</v>
      </c>
      <c r="J162" s="720">
        <f t="shared" si="50"/>
        <v>7470.9282819118889</v>
      </c>
      <c r="K162" s="659"/>
      <c r="L162" s="801" t="s">
        <v>1246</v>
      </c>
      <c r="M162" s="733">
        <f t="shared" si="47"/>
        <v>41476</v>
      </c>
      <c r="N162" s="733">
        <v>41479</v>
      </c>
      <c r="O162" s="734" t="s">
        <v>853</v>
      </c>
      <c r="P162" s="298">
        <v>130</v>
      </c>
      <c r="Q162" s="765">
        <v>13381</v>
      </c>
      <c r="R162" s="25">
        <f t="shared" si="49"/>
        <v>1739530</v>
      </c>
      <c r="S162" s="442"/>
      <c r="T162" s="735"/>
      <c r="U162" s="765"/>
      <c r="V162" s="765"/>
      <c r="W162" s="25"/>
    </row>
    <row r="163" spans="1:23" ht="13.5" customHeight="1">
      <c r="A163" s="719">
        <f t="shared" si="48"/>
        <v>20</v>
      </c>
      <c r="B163" s="290" t="s">
        <v>810</v>
      </c>
      <c r="C163" s="25">
        <f t="shared" si="45"/>
        <v>941724</v>
      </c>
      <c r="D163" s="720">
        <f t="shared" si="41"/>
        <v>27853.187613843354</v>
      </c>
      <c r="E163" s="720">
        <f t="shared" si="41"/>
        <v>2061.7000607164541</v>
      </c>
      <c r="F163" s="720">
        <f t="shared" si="41"/>
        <v>23916.211293260472</v>
      </c>
      <c r="G163" s="720">
        <f t="shared" si="41"/>
        <v>22383.120825743776</v>
      </c>
      <c r="H163" s="25">
        <f t="shared" si="42"/>
        <v>1017938.2197935641</v>
      </c>
      <c r="I163" s="720">
        <v>101</v>
      </c>
      <c r="J163" s="720">
        <f t="shared" si="50"/>
        <v>10078.596235579842</v>
      </c>
      <c r="K163" s="659"/>
      <c r="L163" s="189" t="s">
        <v>584</v>
      </c>
      <c r="M163" s="733">
        <f t="shared" si="47"/>
        <v>41476</v>
      </c>
      <c r="N163" s="733">
        <v>41479</v>
      </c>
      <c r="O163" s="734" t="s">
        <v>853</v>
      </c>
      <c r="P163" s="298">
        <v>101</v>
      </c>
      <c r="Q163" s="765">
        <v>9324</v>
      </c>
      <c r="R163" s="25">
        <f t="shared" si="49"/>
        <v>941724</v>
      </c>
      <c r="S163" s="442"/>
      <c r="T163" s="735"/>
      <c r="U163" s="765"/>
      <c r="V163" s="765"/>
      <c r="W163" s="25"/>
    </row>
    <row r="164" spans="1:23" ht="13.5" customHeight="1">
      <c r="A164" s="719">
        <f t="shared" si="48"/>
        <v>21</v>
      </c>
      <c r="B164" s="290" t="s">
        <v>811</v>
      </c>
      <c r="C164" s="25">
        <f t="shared" si="45"/>
        <v>896994</v>
      </c>
      <c r="D164" s="720">
        <f t="shared" ref="D164:G183" si="51">IF($I$243&lt;&gt;0,D$243/$I$243*$I164,0)</f>
        <v>27025.865209471769</v>
      </c>
      <c r="E164" s="720">
        <f t="shared" si="51"/>
        <v>2000.461445051609</v>
      </c>
      <c r="F164" s="720">
        <f t="shared" si="51"/>
        <v>23205.828779599273</v>
      </c>
      <c r="G164" s="720">
        <f t="shared" si="51"/>
        <v>21718.275652701883</v>
      </c>
      <c r="H164" s="25">
        <f t="shared" si="42"/>
        <v>970944.43108682451</v>
      </c>
      <c r="I164" s="720">
        <v>98</v>
      </c>
      <c r="J164" s="720">
        <f t="shared" si="50"/>
        <v>9907.596235579842</v>
      </c>
      <c r="K164" s="659"/>
      <c r="L164" s="801" t="s">
        <v>1202</v>
      </c>
      <c r="M164" s="733">
        <f t="shared" si="47"/>
        <v>41476</v>
      </c>
      <c r="N164" s="733">
        <v>41479</v>
      </c>
      <c r="O164" s="734" t="s">
        <v>853</v>
      </c>
      <c r="P164" s="298">
        <f>I164/2</f>
        <v>49</v>
      </c>
      <c r="Q164" s="765">
        <v>18306</v>
      </c>
      <c r="R164" s="25">
        <f t="shared" si="49"/>
        <v>896994</v>
      </c>
      <c r="S164" s="442"/>
      <c r="T164" s="735"/>
      <c r="U164" s="765"/>
      <c r="V164" s="765"/>
      <c r="W164" s="25"/>
    </row>
    <row r="165" spans="1:23" ht="13.5" customHeight="1">
      <c r="A165" s="719">
        <f t="shared" si="48"/>
        <v>22</v>
      </c>
      <c r="B165" s="290" t="s">
        <v>854</v>
      </c>
      <c r="C165" s="25">
        <f t="shared" si="45"/>
        <v>1157450</v>
      </c>
      <c r="D165" s="720">
        <f t="shared" si="51"/>
        <v>55154.826958105652</v>
      </c>
      <c r="E165" s="720">
        <f t="shared" si="51"/>
        <v>4082.574377656345</v>
      </c>
      <c r="F165" s="720">
        <f t="shared" si="51"/>
        <v>47358.834244080143</v>
      </c>
      <c r="G165" s="720">
        <f t="shared" si="51"/>
        <v>44323.011536126287</v>
      </c>
      <c r="H165" s="25">
        <f t="shared" si="42"/>
        <v>1308369.2471159685</v>
      </c>
      <c r="I165" s="720">
        <v>200</v>
      </c>
      <c r="J165" s="720">
        <f t="shared" si="50"/>
        <v>6541.8462355798429</v>
      </c>
      <c r="K165" s="659"/>
      <c r="L165" s="801" t="s">
        <v>1220</v>
      </c>
      <c r="M165" s="733">
        <f t="shared" si="47"/>
        <v>41477</v>
      </c>
      <c r="N165" s="733">
        <v>41480</v>
      </c>
      <c r="O165" s="734" t="s">
        <v>855</v>
      </c>
      <c r="P165" s="298">
        <v>50</v>
      </c>
      <c r="Q165" s="765">
        <v>23149</v>
      </c>
      <c r="R165" s="25">
        <f t="shared" si="49"/>
        <v>1157450</v>
      </c>
      <c r="S165" s="442"/>
      <c r="T165" s="735"/>
      <c r="U165" s="765"/>
      <c r="V165" s="765"/>
      <c r="W165" s="25"/>
    </row>
    <row r="166" spans="1:23" ht="13.5" customHeight="1">
      <c r="A166" s="719">
        <f t="shared" si="48"/>
        <v>23</v>
      </c>
      <c r="B166" s="290" t="s">
        <v>1087</v>
      </c>
      <c r="C166" s="25">
        <f t="shared" si="45"/>
        <v>3458000</v>
      </c>
      <c r="D166" s="720">
        <f t="shared" si="51"/>
        <v>136783.97085610201</v>
      </c>
      <c r="E166" s="720">
        <f t="shared" si="51"/>
        <v>10124.784456587735</v>
      </c>
      <c r="F166" s="720">
        <f t="shared" si="51"/>
        <v>117449.90892531876</v>
      </c>
      <c r="G166" s="720">
        <f t="shared" si="51"/>
        <v>109921.0686095932</v>
      </c>
      <c r="H166" s="25">
        <f t="shared" si="42"/>
        <v>3832279.7328476021</v>
      </c>
      <c r="I166" s="720">
        <v>496</v>
      </c>
      <c r="J166" s="720">
        <f t="shared" si="50"/>
        <v>7726.3704291282302</v>
      </c>
      <c r="K166" s="659"/>
      <c r="L166" s="189" t="s">
        <v>625</v>
      </c>
      <c r="M166" s="733">
        <f t="shared" si="47"/>
        <v>41477</v>
      </c>
      <c r="N166" s="733">
        <v>41480</v>
      </c>
      <c r="O166" s="734" t="s">
        <v>855</v>
      </c>
      <c r="P166" s="298">
        <v>250</v>
      </c>
      <c r="Q166" s="765">
        <v>13832</v>
      </c>
      <c r="R166" s="25">
        <f t="shared" si="49"/>
        <v>3458000</v>
      </c>
      <c r="S166" s="442"/>
      <c r="T166" s="735"/>
      <c r="U166" s="765"/>
      <c r="V166" s="765"/>
      <c r="W166" s="25"/>
    </row>
    <row r="167" spans="1:23" ht="13.5" customHeight="1">
      <c r="A167" s="719">
        <f t="shared" si="48"/>
        <v>24</v>
      </c>
      <c r="B167" s="290" t="s">
        <v>1131</v>
      </c>
      <c r="C167" s="25">
        <f t="shared" si="45"/>
        <v>3148800</v>
      </c>
      <c r="D167" s="720">
        <f t="shared" si="51"/>
        <v>139265.93806921676</v>
      </c>
      <c r="E167" s="720">
        <f t="shared" si="51"/>
        <v>10308.50030358227</v>
      </c>
      <c r="F167" s="720">
        <f t="shared" si="51"/>
        <v>119581.05646630237</v>
      </c>
      <c r="G167" s="720">
        <f t="shared" si="51"/>
        <v>111915.60412871889</v>
      </c>
      <c r="H167" s="25">
        <f t="shared" si="42"/>
        <v>3529871.0989678204</v>
      </c>
      <c r="I167" s="720">
        <v>505</v>
      </c>
      <c r="J167" s="720">
        <f t="shared" si="50"/>
        <v>6989.8437603323173</v>
      </c>
      <c r="K167" s="659"/>
      <c r="L167" s="801" t="s">
        <v>1224</v>
      </c>
      <c r="M167" s="733">
        <f t="shared" si="47"/>
        <v>41477</v>
      </c>
      <c r="N167" s="733">
        <v>41480</v>
      </c>
      <c r="O167" s="734" t="s">
        <v>855</v>
      </c>
      <c r="P167" s="298">
        <v>150</v>
      </c>
      <c r="Q167" s="765">
        <v>20992</v>
      </c>
      <c r="R167" s="25">
        <f t="shared" si="49"/>
        <v>3148800</v>
      </c>
      <c r="S167" s="442"/>
      <c r="T167" s="735"/>
      <c r="U167" s="765"/>
      <c r="V167" s="765"/>
      <c r="W167" s="25"/>
    </row>
    <row r="168" spans="1:23" ht="13.5" customHeight="1">
      <c r="A168" s="719">
        <f t="shared" si="48"/>
        <v>25</v>
      </c>
      <c r="B168" s="290" t="s">
        <v>856</v>
      </c>
      <c r="C168" s="25">
        <f t="shared" si="45"/>
        <v>5861000</v>
      </c>
      <c r="D168" s="720">
        <f t="shared" si="51"/>
        <v>275774.13479052827</v>
      </c>
      <c r="E168" s="720">
        <f t="shared" si="51"/>
        <v>20412.871888281723</v>
      </c>
      <c r="F168" s="720">
        <f t="shared" si="51"/>
        <v>236794.17122040072</v>
      </c>
      <c r="G168" s="720">
        <f t="shared" si="51"/>
        <v>221615.05768063146</v>
      </c>
      <c r="H168" s="25">
        <f t="shared" si="42"/>
        <v>6615596.2355798418</v>
      </c>
      <c r="I168" s="720">
        <v>1000</v>
      </c>
      <c r="J168" s="720">
        <f t="shared" si="50"/>
        <v>6615.596235579842</v>
      </c>
      <c r="K168" s="659"/>
      <c r="L168" s="189" t="s">
        <v>646</v>
      </c>
      <c r="M168" s="733">
        <f t="shared" si="47"/>
        <v>41477</v>
      </c>
      <c r="N168" s="733">
        <v>41480</v>
      </c>
      <c r="O168" s="734" t="s">
        <v>855</v>
      </c>
      <c r="P168" s="298">
        <f>I168/2</f>
        <v>500</v>
      </c>
      <c r="Q168" s="765">
        <v>11722</v>
      </c>
      <c r="R168" s="25">
        <f t="shared" si="49"/>
        <v>5861000</v>
      </c>
      <c r="S168" s="442"/>
      <c r="T168" s="735"/>
      <c r="U168" s="765"/>
      <c r="V168" s="765"/>
      <c r="W168" s="25"/>
    </row>
    <row r="169" spans="1:23" ht="13.5" customHeight="1">
      <c r="A169" s="719">
        <f t="shared" si="48"/>
        <v>26</v>
      </c>
      <c r="B169" s="290" t="s">
        <v>1103</v>
      </c>
      <c r="C169" s="25">
        <f t="shared" si="45"/>
        <v>16095493</v>
      </c>
      <c r="D169" s="720">
        <f t="shared" si="51"/>
        <v>827322.40437158477</v>
      </c>
      <c r="E169" s="720">
        <f t="shared" si="51"/>
        <v>61238.615664845172</v>
      </c>
      <c r="F169" s="720">
        <f t="shared" si="51"/>
        <v>710382.51366120216</v>
      </c>
      <c r="G169" s="720">
        <f t="shared" si="51"/>
        <v>664845.17304189433</v>
      </c>
      <c r="H169" s="25">
        <f t="shared" si="42"/>
        <v>18359281.706739526</v>
      </c>
      <c r="I169" s="720">
        <v>3000</v>
      </c>
      <c r="J169" s="720">
        <f t="shared" si="50"/>
        <v>6119.7605689131751</v>
      </c>
      <c r="K169" s="659"/>
      <c r="L169" s="189" t="s">
        <v>682</v>
      </c>
      <c r="M169" s="733">
        <f t="shared" si="47"/>
        <v>41478</v>
      </c>
      <c r="N169" s="733">
        <v>41481</v>
      </c>
      <c r="O169" s="734" t="s">
        <v>857</v>
      </c>
      <c r="P169" s="298">
        <v>780</v>
      </c>
      <c r="Q169" s="765">
        <v>20635.247863247863</v>
      </c>
      <c r="R169" s="25">
        <f t="shared" si="49"/>
        <v>16095493</v>
      </c>
      <c r="S169" s="442"/>
      <c r="T169" s="735"/>
      <c r="U169" s="765"/>
      <c r="V169" s="765"/>
      <c r="W169" s="25"/>
    </row>
    <row r="170" spans="1:23" ht="13.5" customHeight="1">
      <c r="A170" s="719">
        <f t="shared" si="48"/>
        <v>27</v>
      </c>
      <c r="B170" s="290" t="s">
        <v>805</v>
      </c>
      <c r="C170" s="25">
        <f t="shared" si="45"/>
        <v>4231209</v>
      </c>
      <c r="D170" s="720">
        <f t="shared" si="51"/>
        <v>137887.06739526414</v>
      </c>
      <c r="E170" s="720">
        <f t="shared" si="51"/>
        <v>10206.435944140861</v>
      </c>
      <c r="F170" s="720">
        <f t="shared" si="51"/>
        <v>118397.08561020036</v>
      </c>
      <c r="G170" s="720">
        <f t="shared" si="51"/>
        <v>110807.52884031573</v>
      </c>
      <c r="H170" s="25">
        <f t="shared" si="42"/>
        <v>4608507.1177899214</v>
      </c>
      <c r="I170" s="720">
        <v>500</v>
      </c>
      <c r="J170" s="720">
        <f t="shared" si="50"/>
        <v>9217.0142355798434</v>
      </c>
      <c r="K170" s="659"/>
      <c r="L170" s="189" t="s">
        <v>619</v>
      </c>
      <c r="M170" s="733">
        <f t="shared" si="47"/>
        <v>41481</v>
      </c>
      <c r="N170" s="733">
        <v>41484</v>
      </c>
      <c r="O170" s="734" t="s">
        <v>858</v>
      </c>
      <c r="P170" s="298">
        <f>I170</f>
        <v>500</v>
      </c>
      <c r="Q170" s="765">
        <v>8462.418420401089</v>
      </c>
      <c r="R170" s="25">
        <f t="shared" si="49"/>
        <v>4231209</v>
      </c>
      <c r="S170" s="442"/>
      <c r="T170" s="735"/>
      <c r="U170" s="765"/>
      <c r="V170" s="765"/>
      <c r="W170" s="25"/>
    </row>
    <row r="171" spans="1:23" ht="13.5" customHeight="1">
      <c r="A171" s="719">
        <f t="shared" si="48"/>
        <v>28</v>
      </c>
      <c r="B171" s="290" t="s">
        <v>1111</v>
      </c>
      <c r="C171" s="25">
        <f t="shared" si="45"/>
        <v>1178000</v>
      </c>
      <c r="D171" s="720">
        <f t="shared" si="51"/>
        <v>27301.639344262298</v>
      </c>
      <c r="E171" s="720">
        <f t="shared" si="51"/>
        <v>2020.8743169398908</v>
      </c>
      <c r="F171" s="720">
        <f t="shared" si="51"/>
        <v>23442.62295081967</v>
      </c>
      <c r="G171" s="720">
        <f t="shared" si="51"/>
        <v>21939.890710382515</v>
      </c>
      <c r="H171" s="25">
        <f t="shared" si="42"/>
        <v>1252705.0273224043</v>
      </c>
      <c r="I171" s="720">
        <v>99</v>
      </c>
      <c r="J171" s="720">
        <f t="shared" si="50"/>
        <v>12653.586134569741</v>
      </c>
      <c r="K171" s="659"/>
      <c r="L171" s="801" t="s">
        <v>1135</v>
      </c>
      <c r="M171" s="733">
        <f t="shared" si="47"/>
        <v>41484</v>
      </c>
      <c r="N171" s="733">
        <v>41487</v>
      </c>
      <c r="O171" s="734" t="s">
        <v>859</v>
      </c>
      <c r="P171" s="298">
        <v>100</v>
      </c>
      <c r="Q171" s="765">
        <v>11780</v>
      </c>
      <c r="R171" s="25">
        <f t="shared" si="49"/>
        <v>1178000</v>
      </c>
      <c r="S171" s="442"/>
      <c r="T171" s="735"/>
      <c r="U171" s="765"/>
      <c r="V171" s="765"/>
      <c r="W171" s="25"/>
    </row>
    <row r="172" spans="1:23" ht="13.5" customHeight="1">
      <c r="A172" s="719">
        <f t="shared" si="48"/>
        <v>29</v>
      </c>
      <c r="B172" s="290" t="s">
        <v>834</v>
      </c>
      <c r="C172" s="25">
        <f t="shared" si="45"/>
        <v>3982012</v>
      </c>
      <c r="D172" s="720">
        <f t="shared" si="51"/>
        <v>55154.826958105652</v>
      </c>
      <c r="E172" s="720">
        <f t="shared" si="51"/>
        <v>4082.574377656345</v>
      </c>
      <c r="F172" s="720">
        <f t="shared" si="51"/>
        <v>47358.834244080143</v>
      </c>
      <c r="G172" s="720">
        <f t="shared" si="51"/>
        <v>44323.011536126287</v>
      </c>
      <c r="H172" s="25">
        <f t="shared" si="42"/>
        <v>4132931.2471159687</v>
      </c>
      <c r="I172" s="720">
        <v>200</v>
      </c>
      <c r="J172" s="720">
        <f t="shared" si="50"/>
        <v>20664.656235579845</v>
      </c>
      <c r="K172" s="659"/>
      <c r="L172" s="801" t="s">
        <v>1209</v>
      </c>
      <c r="M172" s="733">
        <f t="shared" si="47"/>
        <v>41484</v>
      </c>
      <c r="N172" s="733">
        <v>41487</v>
      </c>
      <c r="O172" s="734" t="s">
        <v>860</v>
      </c>
      <c r="P172" s="298">
        <f>I172</f>
        <v>200</v>
      </c>
      <c r="Q172" s="249">
        <v>19910.059393752887</v>
      </c>
      <c r="R172" s="25">
        <f t="shared" si="49"/>
        <v>3982012</v>
      </c>
      <c r="S172" s="442"/>
      <c r="T172" s="735"/>
      <c r="U172" s="765"/>
      <c r="V172" s="765"/>
      <c r="W172" s="25"/>
    </row>
    <row r="173" spans="1:23" ht="13.5" customHeight="1">
      <c r="A173" s="719">
        <f t="shared" si="48"/>
        <v>30</v>
      </c>
      <c r="B173" s="290" t="s">
        <v>854</v>
      </c>
      <c r="C173" s="25">
        <f t="shared" si="45"/>
        <v>3680400</v>
      </c>
      <c r="D173" s="720">
        <f t="shared" si="51"/>
        <v>140644.80874316941</v>
      </c>
      <c r="E173" s="720">
        <f t="shared" si="51"/>
        <v>10410.564663023679</v>
      </c>
      <c r="F173" s="720">
        <f t="shared" si="51"/>
        <v>120765.02732240438</v>
      </c>
      <c r="G173" s="720">
        <f t="shared" si="51"/>
        <v>113023.67941712204</v>
      </c>
      <c r="H173" s="25">
        <f t="shared" si="42"/>
        <v>4065244.0801457199</v>
      </c>
      <c r="I173" s="720">
        <v>510</v>
      </c>
      <c r="J173" s="720">
        <f t="shared" si="50"/>
        <v>7971.0668238151375</v>
      </c>
      <c r="K173" s="659"/>
      <c r="L173" s="801" t="s">
        <v>1175</v>
      </c>
      <c r="M173" s="733">
        <f t="shared" si="47"/>
        <v>41485</v>
      </c>
      <c r="N173" s="733">
        <v>41488</v>
      </c>
      <c r="O173" s="734" t="s">
        <v>861</v>
      </c>
      <c r="P173" s="298">
        <v>200</v>
      </c>
      <c r="Q173" s="765">
        <v>18402</v>
      </c>
      <c r="R173" s="25">
        <f t="shared" si="49"/>
        <v>3680400</v>
      </c>
      <c r="S173" s="442"/>
      <c r="T173" s="735"/>
      <c r="U173" s="765"/>
      <c r="V173" s="765"/>
      <c r="W173" s="25"/>
    </row>
    <row r="174" spans="1:23" ht="13.5" customHeight="1">
      <c r="A174" s="719">
        <f t="shared" si="48"/>
        <v>31</v>
      </c>
      <c r="B174" s="290" t="s">
        <v>1115</v>
      </c>
      <c r="C174" s="25">
        <f t="shared" si="45"/>
        <v>9337818</v>
      </c>
      <c r="D174" s="720">
        <f t="shared" si="51"/>
        <v>775752.64116575592</v>
      </c>
      <c r="E174" s="720">
        <f t="shared" si="51"/>
        <v>57421.408621736489</v>
      </c>
      <c r="F174" s="720">
        <f t="shared" si="51"/>
        <v>666102.00364298723</v>
      </c>
      <c r="G174" s="720">
        <f t="shared" si="51"/>
        <v>623403.15725561627</v>
      </c>
      <c r="H174" s="25">
        <f t="shared" si="42"/>
        <v>11460497.210686095</v>
      </c>
      <c r="I174" s="720">
        <v>2813</v>
      </c>
      <c r="J174" s="720">
        <f t="shared" si="50"/>
        <v>4074.1191648368626</v>
      </c>
      <c r="K174" s="659"/>
      <c r="L174" s="801" t="s">
        <v>1209</v>
      </c>
      <c r="M174" s="733">
        <f t="shared" si="47"/>
        <v>41485</v>
      </c>
      <c r="N174" s="733">
        <v>41488</v>
      </c>
      <c r="O174" s="734" t="s">
        <v>862</v>
      </c>
      <c r="P174" s="298">
        <v>469</v>
      </c>
      <c r="Q174" s="765">
        <v>19910.059351276741</v>
      </c>
      <c r="R174" s="25">
        <f t="shared" si="49"/>
        <v>9337818</v>
      </c>
      <c r="S174" s="442"/>
      <c r="T174" s="735"/>
      <c r="U174" s="765"/>
      <c r="V174" s="765"/>
      <c r="W174" s="25"/>
    </row>
    <row r="175" spans="1:23" ht="13.5" customHeight="1">
      <c r="A175" s="719">
        <f t="shared" si="48"/>
        <v>32</v>
      </c>
      <c r="B175" s="290" t="s">
        <v>1115</v>
      </c>
      <c r="C175" s="25">
        <f t="shared" si="45"/>
        <v>9317908</v>
      </c>
      <c r="D175" s="720">
        <f t="shared" si="51"/>
        <v>773546.44808743172</v>
      </c>
      <c r="E175" s="720">
        <f t="shared" si="51"/>
        <v>57258.10564663024</v>
      </c>
      <c r="F175" s="720">
        <f t="shared" si="51"/>
        <v>664207.65027322399</v>
      </c>
      <c r="G175" s="720">
        <f t="shared" si="51"/>
        <v>621630.23679417127</v>
      </c>
      <c r="H175" s="25">
        <f t="shared" si="42"/>
        <v>11434550.440801458</v>
      </c>
      <c r="I175" s="720">
        <v>2805</v>
      </c>
      <c r="J175" s="720">
        <f t="shared" si="50"/>
        <v>4076.488570695707</v>
      </c>
      <c r="K175" s="659"/>
      <c r="L175" s="801" t="s">
        <v>1209</v>
      </c>
      <c r="M175" s="733">
        <f t="shared" si="47"/>
        <v>41486</v>
      </c>
      <c r="N175" s="733">
        <v>41489</v>
      </c>
      <c r="O175" s="734" t="s">
        <v>864</v>
      </c>
      <c r="P175" s="298">
        <v>468</v>
      </c>
      <c r="Q175" s="765">
        <v>19910.059351276741</v>
      </c>
      <c r="R175" s="25">
        <f t="shared" si="49"/>
        <v>9317908</v>
      </c>
      <c r="S175" s="442"/>
      <c r="T175" s="735"/>
      <c r="U175" s="765"/>
      <c r="V175" s="765"/>
      <c r="W175" s="25"/>
    </row>
    <row r="176" spans="1:23" ht="13.5" customHeight="1">
      <c r="A176" s="719">
        <f t="shared" si="48"/>
        <v>33</v>
      </c>
      <c r="B176" s="290" t="s">
        <v>1115</v>
      </c>
      <c r="C176" s="25">
        <f t="shared" si="45"/>
        <v>9397548</v>
      </c>
      <c r="D176" s="720">
        <f t="shared" si="51"/>
        <v>780165.02732240444</v>
      </c>
      <c r="E176" s="720">
        <f t="shared" si="51"/>
        <v>57748.014571948996</v>
      </c>
      <c r="F176" s="720">
        <f t="shared" si="51"/>
        <v>669890.7103825137</v>
      </c>
      <c r="G176" s="720">
        <f t="shared" si="51"/>
        <v>626948.99817850639</v>
      </c>
      <c r="H176" s="25">
        <f t="shared" ref="H176:H207" si="52">SUM(C176:G176)</f>
        <v>11532300.750455374</v>
      </c>
      <c r="I176" s="720">
        <v>2829</v>
      </c>
      <c r="J176" s="720">
        <f t="shared" ref="J176:J239" si="53">IF(I176&lt;&gt;"",H176/I176,"")</f>
        <v>4076.4583776795243</v>
      </c>
      <c r="K176" s="659"/>
      <c r="L176" s="801" t="s">
        <v>1209</v>
      </c>
      <c r="M176" s="733">
        <f t="shared" si="47"/>
        <v>41489</v>
      </c>
      <c r="N176" s="733">
        <v>41492</v>
      </c>
      <c r="O176" s="734" t="s">
        <v>865</v>
      </c>
      <c r="P176" s="298">
        <v>472</v>
      </c>
      <c r="Q176" s="765">
        <v>19910.059351276741</v>
      </c>
      <c r="R176" s="25">
        <f t="shared" si="49"/>
        <v>9397548</v>
      </c>
      <c r="S176" s="442"/>
      <c r="T176" s="735"/>
      <c r="U176" s="765"/>
      <c r="V176" s="765"/>
      <c r="W176" s="25"/>
    </row>
    <row r="177" spans="1:23" ht="13.5" customHeight="1">
      <c r="A177" s="719">
        <f t="shared" si="48"/>
        <v>34</v>
      </c>
      <c r="B177" s="290" t="s">
        <v>866</v>
      </c>
      <c r="C177" s="25">
        <f t="shared" si="45"/>
        <v>5919610</v>
      </c>
      <c r="D177" s="720">
        <f t="shared" si="51"/>
        <v>278531.87613843352</v>
      </c>
      <c r="E177" s="720">
        <f t="shared" si="51"/>
        <v>20617.00060716454</v>
      </c>
      <c r="F177" s="720">
        <f t="shared" si="51"/>
        <v>239162.11293260474</v>
      </c>
      <c r="G177" s="720">
        <f t="shared" si="51"/>
        <v>223831.20825743777</v>
      </c>
      <c r="H177" s="25">
        <f t="shared" si="52"/>
        <v>6681752.1979356408</v>
      </c>
      <c r="I177" s="720">
        <v>1010</v>
      </c>
      <c r="J177" s="720">
        <f t="shared" si="53"/>
        <v>6615.596235579842</v>
      </c>
      <c r="K177" s="659"/>
      <c r="L177" s="189" t="s">
        <v>646</v>
      </c>
      <c r="M177" s="733">
        <f t="shared" si="47"/>
        <v>41489</v>
      </c>
      <c r="N177" s="733">
        <v>41492</v>
      </c>
      <c r="O177" s="734" t="s">
        <v>867</v>
      </c>
      <c r="P177" s="298">
        <f>I177/2</f>
        <v>505</v>
      </c>
      <c r="Q177" s="765">
        <v>11722</v>
      </c>
      <c r="R177" s="25">
        <f>ROUND(P177*Q177,0)</f>
        <v>5919610</v>
      </c>
      <c r="S177" s="442"/>
      <c r="T177" s="735"/>
      <c r="U177" s="765"/>
      <c r="V177" s="765"/>
      <c r="W177" s="25"/>
    </row>
    <row r="178" spans="1:23" ht="13.5" customHeight="1">
      <c r="A178" s="719">
        <f t="shared" si="48"/>
        <v>35</v>
      </c>
      <c r="B178" s="290" t="s">
        <v>1104</v>
      </c>
      <c r="C178" s="25">
        <f t="shared" si="45"/>
        <v>3123600</v>
      </c>
      <c r="D178" s="720">
        <f t="shared" si="51"/>
        <v>264743.16939890711</v>
      </c>
      <c r="E178" s="720">
        <f t="shared" si="51"/>
        <v>19596.357012750457</v>
      </c>
      <c r="F178" s="720">
        <f t="shared" si="51"/>
        <v>227322.40437158471</v>
      </c>
      <c r="G178" s="720">
        <f t="shared" si="51"/>
        <v>212750.45537340621</v>
      </c>
      <c r="H178" s="25">
        <f t="shared" si="52"/>
        <v>3848012.3861566489</v>
      </c>
      <c r="I178" s="720">
        <v>960</v>
      </c>
      <c r="J178" s="720">
        <f t="shared" si="53"/>
        <v>4008.3462355798424</v>
      </c>
      <c r="K178" s="659"/>
      <c r="L178" s="801" t="s">
        <v>1180</v>
      </c>
      <c r="M178" s="733">
        <f t="shared" si="47"/>
        <v>41489</v>
      </c>
      <c r="N178" s="733">
        <v>41492</v>
      </c>
      <c r="O178" s="734" t="s">
        <v>867</v>
      </c>
      <c r="P178" s="298">
        <v>200</v>
      </c>
      <c r="Q178" s="249">
        <v>15618</v>
      </c>
      <c r="R178" s="25">
        <f>ROUND(P178*Q178,0)</f>
        <v>3123600</v>
      </c>
      <c r="S178" s="442"/>
      <c r="T178" s="735"/>
      <c r="U178" s="765"/>
      <c r="V178" s="765"/>
      <c r="W178" s="25"/>
    </row>
    <row r="179" spans="1:23" ht="13.5" customHeight="1">
      <c r="A179" s="719">
        <f>IF(B179&lt;&gt;"",A178+1,"")</f>
        <v>36</v>
      </c>
      <c r="B179" s="290" t="s">
        <v>692</v>
      </c>
      <c r="C179" s="25">
        <f t="shared" si="45"/>
        <v>5482750</v>
      </c>
      <c r="D179" s="720">
        <f t="shared" si="51"/>
        <v>360436.79417122045</v>
      </c>
      <c r="E179" s="720">
        <f t="shared" si="51"/>
        <v>26679.623557984214</v>
      </c>
      <c r="F179" s="720">
        <f t="shared" si="51"/>
        <v>309489.98178506375</v>
      </c>
      <c r="G179" s="720">
        <f t="shared" si="51"/>
        <v>289650.88038858533</v>
      </c>
      <c r="H179" s="25">
        <f t="shared" si="52"/>
        <v>6469007.2799028531</v>
      </c>
      <c r="I179" s="720">
        <v>1307</v>
      </c>
      <c r="J179" s="720">
        <f t="shared" si="53"/>
        <v>4949.5082478216164</v>
      </c>
      <c r="K179" s="659"/>
      <c r="L179" s="801" t="s">
        <v>1201</v>
      </c>
      <c r="M179" s="733">
        <f t="shared" si="47"/>
        <v>41489</v>
      </c>
      <c r="N179" s="733">
        <v>41492</v>
      </c>
      <c r="O179" s="734" t="s">
        <v>868</v>
      </c>
      <c r="P179" s="298">
        <v>350</v>
      </c>
      <c r="Q179" s="765">
        <v>15665</v>
      </c>
      <c r="R179" s="25">
        <f>ROUND(P179*Q179,0)</f>
        <v>5482750</v>
      </c>
      <c r="S179" s="442"/>
      <c r="T179" s="735"/>
      <c r="U179" s="765"/>
      <c r="V179" s="765"/>
      <c r="W179" s="25"/>
    </row>
    <row r="180" spans="1:23" ht="13.5" customHeight="1">
      <c r="A180" s="719">
        <f t="shared" si="48"/>
        <v>37</v>
      </c>
      <c r="B180" s="290" t="s">
        <v>838</v>
      </c>
      <c r="C180" s="25">
        <f t="shared" si="45"/>
        <v>5402260</v>
      </c>
      <c r="D180" s="720">
        <f t="shared" si="51"/>
        <v>171807.2859744991</v>
      </c>
      <c r="E180" s="720">
        <f t="shared" si="51"/>
        <v>12717.219186399514</v>
      </c>
      <c r="F180" s="720">
        <f t="shared" si="51"/>
        <v>147522.76867030966</v>
      </c>
      <c r="G180" s="720">
        <f t="shared" si="51"/>
        <v>138066.18093503339</v>
      </c>
      <c r="H180" s="25">
        <f t="shared" si="52"/>
        <v>5872373.4547662409</v>
      </c>
      <c r="I180" s="720">
        <v>623</v>
      </c>
      <c r="J180" s="720">
        <f t="shared" si="53"/>
        <v>9425.9606015509489</v>
      </c>
      <c r="K180" s="659"/>
      <c r="L180" s="801" t="s">
        <v>1193</v>
      </c>
      <c r="M180" s="733">
        <f t="shared" si="47"/>
        <v>41489</v>
      </c>
      <c r="N180" s="733">
        <v>41492</v>
      </c>
      <c r="O180" s="734" t="s">
        <v>868</v>
      </c>
      <c r="P180" s="298">
        <v>340</v>
      </c>
      <c r="Q180" s="765">
        <v>15889</v>
      </c>
      <c r="R180" s="25">
        <f t="shared" si="49"/>
        <v>5402260</v>
      </c>
      <c r="S180" s="442"/>
      <c r="T180" s="735"/>
      <c r="U180" s="765"/>
      <c r="V180" s="765"/>
      <c r="W180" s="25"/>
    </row>
    <row r="181" spans="1:23" ht="13.5" customHeight="1">
      <c r="A181" s="719">
        <f t="shared" si="48"/>
        <v>38</v>
      </c>
      <c r="B181" s="290" t="s">
        <v>805</v>
      </c>
      <c r="C181" s="25">
        <f t="shared" si="45"/>
        <v>8462418</v>
      </c>
      <c r="D181" s="720">
        <f t="shared" si="51"/>
        <v>275774.13479052827</v>
      </c>
      <c r="E181" s="720">
        <f t="shared" si="51"/>
        <v>20412.871888281723</v>
      </c>
      <c r="F181" s="720">
        <f t="shared" si="51"/>
        <v>236794.17122040072</v>
      </c>
      <c r="G181" s="720">
        <f t="shared" si="51"/>
        <v>221615.05768063146</v>
      </c>
      <c r="H181" s="25">
        <f t="shared" si="52"/>
        <v>9217014.2355798427</v>
      </c>
      <c r="I181" s="720">
        <v>1000</v>
      </c>
      <c r="J181" s="720">
        <f t="shared" si="53"/>
        <v>9217.0142355798434</v>
      </c>
      <c r="K181" s="659"/>
      <c r="L181" s="189" t="s">
        <v>619</v>
      </c>
      <c r="M181" s="733">
        <f t="shared" si="47"/>
        <v>41492</v>
      </c>
      <c r="N181" s="733">
        <v>41495</v>
      </c>
      <c r="O181" s="734" t="s">
        <v>869</v>
      </c>
      <c r="P181" s="298">
        <f>I181</f>
        <v>1000</v>
      </c>
      <c r="Q181" s="765">
        <v>8462.418420401089</v>
      </c>
      <c r="R181" s="25">
        <f t="shared" si="49"/>
        <v>8462418</v>
      </c>
      <c r="S181" s="442"/>
      <c r="T181" s="735"/>
      <c r="U181" s="765"/>
      <c r="V181" s="765"/>
      <c r="W181" s="25"/>
    </row>
    <row r="182" spans="1:23" ht="13.5" customHeight="1">
      <c r="A182" s="719">
        <f t="shared" si="48"/>
        <v>39</v>
      </c>
      <c r="B182" s="290" t="s">
        <v>1115</v>
      </c>
      <c r="C182" s="25">
        <f t="shared" si="45"/>
        <v>9059077</v>
      </c>
      <c r="D182" s="720">
        <f t="shared" si="51"/>
        <v>752863.38797814213</v>
      </c>
      <c r="E182" s="720">
        <f t="shared" si="51"/>
        <v>55727.140255009108</v>
      </c>
      <c r="F182" s="720">
        <f t="shared" si="51"/>
        <v>646448.08743169403</v>
      </c>
      <c r="G182" s="720">
        <f t="shared" si="51"/>
        <v>605009.1074681239</v>
      </c>
      <c r="H182" s="25">
        <f t="shared" si="52"/>
        <v>11119124.72313297</v>
      </c>
      <c r="I182" s="720">
        <v>2730</v>
      </c>
      <c r="J182" s="720">
        <f t="shared" si="53"/>
        <v>4072.9394590230659</v>
      </c>
      <c r="K182" s="659"/>
      <c r="L182" s="801" t="s">
        <v>1209</v>
      </c>
      <c r="M182" s="733">
        <f t="shared" si="47"/>
        <v>41492</v>
      </c>
      <c r="N182" s="733">
        <v>41495</v>
      </c>
      <c r="O182" s="734" t="s">
        <v>870</v>
      </c>
      <c r="P182" s="298">
        <f>I182/6</f>
        <v>455</v>
      </c>
      <c r="Q182" s="765">
        <v>19910.059351276741</v>
      </c>
      <c r="R182" s="25">
        <f t="shared" si="49"/>
        <v>9059077</v>
      </c>
      <c r="S182" s="442"/>
      <c r="T182" s="735"/>
      <c r="U182" s="765"/>
      <c r="V182" s="765"/>
      <c r="W182" s="25"/>
    </row>
    <row r="183" spans="1:23" ht="13.5" customHeight="1">
      <c r="A183" s="719">
        <f>IF(B183&lt;&gt;"",A182+1,"")</f>
        <v>40</v>
      </c>
      <c r="B183" s="290" t="s">
        <v>1103</v>
      </c>
      <c r="C183" s="25">
        <f t="shared" si="45"/>
        <v>11206656</v>
      </c>
      <c r="D183" s="720">
        <f t="shared" si="51"/>
        <v>548790.52823315118</v>
      </c>
      <c r="E183" s="720">
        <f t="shared" si="51"/>
        <v>40621.615057680632</v>
      </c>
      <c r="F183" s="720">
        <f t="shared" si="51"/>
        <v>471220.40072859742</v>
      </c>
      <c r="G183" s="720">
        <f t="shared" si="51"/>
        <v>441013.96478445659</v>
      </c>
      <c r="H183" s="25">
        <f t="shared" si="52"/>
        <v>12708302.508803887</v>
      </c>
      <c r="I183" s="720">
        <v>1990</v>
      </c>
      <c r="J183" s="720">
        <f t="shared" si="53"/>
        <v>6386.0816627155209</v>
      </c>
      <c r="K183" s="659"/>
      <c r="L183" s="189" t="s">
        <v>569</v>
      </c>
      <c r="M183" s="733">
        <f t="shared" si="47"/>
        <v>41493</v>
      </c>
      <c r="N183" s="733">
        <v>41496</v>
      </c>
      <c r="O183" s="734" t="s">
        <v>871</v>
      </c>
      <c r="P183" s="298">
        <v>512</v>
      </c>
      <c r="Q183" s="765">
        <v>21888</v>
      </c>
      <c r="R183" s="25">
        <f t="shared" si="49"/>
        <v>11206656</v>
      </c>
      <c r="S183" s="442"/>
      <c r="T183" s="735"/>
      <c r="U183" s="765"/>
      <c r="V183" s="765"/>
      <c r="W183" s="25"/>
    </row>
    <row r="184" spans="1:23" ht="13.5" customHeight="1">
      <c r="A184" s="719">
        <f t="shared" si="48"/>
        <v>41</v>
      </c>
      <c r="B184" s="290" t="s">
        <v>872</v>
      </c>
      <c r="C184" s="25">
        <f t="shared" si="45"/>
        <v>2419000</v>
      </c>
      <c r="D184" s="720">
        <f t="shared" ref="D184:G203" si="54">IF($I$243&lt;&gt;0,D$243/$I$243*$I184,0)</f>
        <v>132371.58469945355</v>
      </c>
      <c r="E184" s="720">
        <f t="shared" si="54"/>
        <v>9798.1785063752286</v>
      </c>
      <c r="F184" s="720">
        <f t="shared" si="54"/>
        <v>113661.20218579235</v>
      </c>
      <c r="G184" s="720">
        <f t="shared" si="54"/>
        <v>106375.2276867031</v>
      </c>
      <c r="H184" s="25">
        <f t="shared" si="52"/>
        <v>2781206.1930783247</v>
      </c>
      <c r="I184" s="720">
        <v>480</v>
      </c>
      <c r="J184" s="720">
        <f t="shared" si="53"/>
        <v>5794.1795689131768</v>
      </c>
      <c r="K184" s="659"/>
      <c r="L184" s="801" t="s">
        <v>1245</v>
      </c>
      <c r="M184" s="733">
        <f t="shared" si="47"/>
        <v>41493</v>
      </c>
      <c r="N184" s="733">
        <v>41496</v>
      </c>
      <c r="O184" s="734" t="s">
        <v>873</v>
      </c>
      <c r="P184" s="298">
        <v>250</v>
      </c>
      <c r="Q184" s="765">
        <v>9676</v>
      </c>
      <c r="R184" s="25">
        <f t="shared" si="49"/>
        <v>2419000</v>
      </c>
      <c r="S184" s="442"/>
      <c r="T184" s="735"/>
      <c r="U184" s="765"/>
      <c r="V184" s="765"/>
      <c r="W184" s="25"/>
    </row>
    <row r="185" spans="1:23" ht="13.5" customHeight="1">
      <c r="A185" s="719">
        <f t="shared" si="48"/>
        <v>42</v>
      </c>
      <c r="B185" s="290" t="s">
        <v>872</v>
      </c>
      <c r="C185" s="25">
        <f t="shared" si="45"/>
        <v>2570535</v>
      </c>
      <c r="D185" s="720">
        <f t="shared" si="54"/>
        <v>121340.61930783243</v>
      </c>
      <c r="E185" s="720">
        <f t="shared" si="54"/>
        <v>8981.6636308439593</v>
      </c>
      <c r="F185" s="720">
        <f t="shared" si="54"/>
        <v>104189.43533697633</v>
      </c>
      <c r="G185" s="720">
        <f t="shared" si="54"/>
        <v>97510.625379477846</v>
      </c>
      <c r="H185" s="25">
        <f t="shared" si="52"/>
        <v>2902557.3436551304</v>
      </c>
      <c r="I185" s="720">
        <v>440</v>
      </c>
      <c r="J185" s="720">
        <f t="shared" si="53"/>
        <v>6596.721235579842</v>
      </c>
      <c r="K185" s="659"/>
      <c r="L185" s="801" t="s">
        <v>1177</v>
      </c>
      <c r="M185" s="733">
        <f t="shared" si="47"/>
        <v>41493</v>
      </c>
      <c r="N185" s="733">
        <v>41496</v>
      </c>
      <c r="O185" s="734" t="s">
        <v>873</v>
      </c>
      <c r="P185" s="298">
        <v>135</v>
      </c>
      <c r="Q185" s="781">
        <v>19041</v>
      </c>
      <c r="R185" s="25">
        <f t="shared" si="49"/>
        <v>2570535</v>
      </c>
      <c r="S185" s="442"/>
      <c r="T185" s="735"/>
      <c r="U185" s="765"/>
      <c r="V185" s="765"/>
      <c r="W185" s="25"/>
    </row>
    <row r="186" spans="1:23" ht="13.5" customHeight="1">
      <c r="A186" s="719">
        <f t="shared" si="48"/>
        <v>43</v>
      </c>
      <c r="B186" s="290" t="s">
        <v>698</v>
      </c>
      <c r="C186" s="25">
        <f t="shared" si="45"/>
        <v>7505319</v>
      </c>
      <c r="D186" s="720">
        <f t="shared" si="54"/>
        <v>275774.13479052827</v>
      </c>
      <c r="E186" s="720">
        <f t="shared" si="54"/>
        <v>20412.871888281723</v>
      </c>
      <c r="F186" s="720">
        <f t="shared" si="54"/>
        <v>236794.17122040072</v>
      </c>
      <c r="G186" s="720">
        <f t="shared" si="54"/>
        <v>221615.05768063146</v>
      </c>
      <c r="H186" s="25">
        <f t="shared" si="52"/>
        <v>8259915.2355798418</v>
      </c>
      <c r="I186" s="720">
        <v>1000</v>
      </c>
      <c r="J186" s="720">
        <f t="shared" si="53"/>
        <v>8259.9152355798415</v>
      </c>
      <c r="K186" s="659"/>
      <c r="L186" s="801" t="s">
        <v>1146</v>
      </c>
      <c r="M186" s="733">
        <f t="shared" si="47"/>
        <v>41495</v>
      </c>
      <c r="N186" s="733">
        <v>41498</v>
      </c>
      <c r="O186" s="734" t="s">
        <v>875</v>
      </c>
      <c r="P186" s="298">
        <v>381</v>
      </c>
      <c r="Q186" s="765">
        <v>19699</v>
      </c>
      <c r="R186" s="25">
        <f t="shared" si="49"/>
        <v>7505319</v>
      </c>
      <c r="S186" s="442"/>
      <c r="T186" s="735"/>
      <c r="U186" s="765"/>
      <c r="V186" s="765"/>
      <c r="W186" s="25"/>
    </row>
    <row r="187" spans="1:23" ht="13.5" customHeight="1">
      <c r="A187" s="719">
        <f t="shared" si="48"/>
        <v>44</v>
      </c>
      <c r="B187" s="290" t="s">
        <v>781</v>
      </c>
      <c r="C187" s="25">
        <f t="shared" si="45"/>
        <v>1698500</v>
      </c>
      <c r="D187" s="720">
        <f t="shared" si="54"/>
        <v>55154.826958105652</v>
      </c>
      <c r="E187" s="720">
        <f t="shared" si="54"/>
        <v>4082.574377656345</v>
      </c>
      <c r="F187" s="720">
        <f t="shared" si="54"/>
        <v>47358.834244080143</v>
      </c>
      <c r="G187" s="720">
        <f t="shared" si="54"/>
        <v>44323.011536126287</v>
      </c>
      <c r="H187" s="25">
        <f t="shared" si="52"/>
        <v>1849419.2471159685</v>
      </c>
      <c r="I187" s="720">
        <v>200</v>
      </c>
      <c r="J187" s="720">
        <f t="shared" si="53"/>
        <v>9247.096235579842</v>
      </c>
      <c r="K187" s="659"/>
      <c r="L187" s="801" t="s">
        <v>1229</v>
      </c>
      <c r="M187" s="733">
        <f t="shared" si="47"/>
        <v>41496</v>
      </c>
      <c r="N187" s="733">
        <v>41499</v>
      </c>
      <c r="O187" s="734" t="s">
        <v>876</v>
      </c>
      <c r="P187" s="298">
        <v>100</v>
      </c>
      <c r="Q187" s="249">
        <v>16985</v>
      </c>
      <c r="R187" s="25">
        <f t="shared" si="49"/>
        <v>1698500</v>
      </c>
      <c r="S187" s="442"/>
      <c r="T187" s="735"/>
      <c r="U187" s="765"/>
      <c r="V187" s="765"/>
      <c r="W187" s="25"/>
    </row>
    <row r="188" spans="1:23" ht="13.5" customHeight="1">
      <c r="A188" s="719">
        <f t="shared" si="48"/>
        <v>45</v>
      </c>
      <c r="B188" s="290" t="s">
        <v>1100</v>
      </c>
      <c r="C188" s="25">
        <f t="shared" si="45"/>
        <v>2900820</v>
      </c>
      <c r="D188" s="720">
        <f t="shared" si="54"/>
        <v>68943.533697632069</v>
      </c>
      <c r="E188" s="720">
        <f t="shared" si="54"/>
        <v>5103.2179720704307</v>
      </c>
      <c r="F188" s="720">
        <f t="shared" si="54"/>
        <v>59198.54280510018</v>
      </c>
      <c r="G188" s="720">
        <f t="shared" si="54"/>
        <v>55403.764420157866</v>
      </c>
      <c r="H188" s="25">
        <f t="shared" si="52"/>
        <v>3089469.0588949607</v>
      </c>
      <c r="I188" s="720">
        <v>250</v>
      </c>
      <c r="J188" s="720">
        <f t="shared" si="53"/>
        <v>12357.876235579843</v>
      </c>
      <c r="K188" s="659"/>
      <c r="L188" s="801" t="s">
        <v>1163</v>
      </c>
      <c r="M188" s="733">
        <f t="shared" si="47"/>
        <v>41496</v>
      </c>
      <c r="N188" s="733">
        <v>41499</v>
      </c>
      <c r="O188" s="734" t="s">
        <v>876</v>
      </c>
      <c r="P188" s="298">
        <v>260</v>
      </c>
      <c r="Q188" s="765">
        <v>11157</v>
      </c>
      <c r="R188" s="25">
        <f t="shared" si="49"/>
        <v>2900820</v>
      </c>
      <c r="S188" s="442"/>
      <c r="T188" s="735"/>
      <c r="U188" s="765"/>
      <c r="V188" s="765"/>
      <c r="W188" s="25"/>
    </row>
    <row r="189" spans="1:23" ht="13.5" customHeight="1">
      <c r="A189" s="719">
        <f t="shared" si="48"/>
        <v>46</v>
      </c>
      <c r="B189" s="290" t="s">
        <v>852</v>
      </c>
      <c r="C189" s="25">
        <f t="shared" si="45"/>
        <v>3281200</v>
      </c>
      <c r="D189" s="720">
        <f t="shared" si="54"/>
        <v>139265.93806921676</v>
      </c>
      <c r="E189" s="720">
        <f t="shared" si="54"/>
        <v>10308.50030358227</v>
      </c>
      <c r="F189" s="720">
        <f t="shared" si="54"/>
        <v>119581.05646630237</v>
      </c>
      <c r="G189" s="720">
        <f t="shared" si="54"/>
        <v>111915.60412871889</v>
      </c>
      <c r="H189" s="25">
        <f t="shared" si="52"/>
        <v>3662271.0989678204</v>
      </c>
      <c r="I189" s="720">
        <v>505</v>
      </c>
      <c r="J189" s="720">
        <f t="shared" si="53"/>
        <v>7252.0219781541</v>
      </c>
      <c r="K189" s="659"/>
      <c r="L189" s="801" t="s">
        <v>1203</v>
      </c>
      <c r="M189" s="733">
        <f t="shared" si="47"/>
        <v>41496</v>
      </c>
      <c r="N189" s="733">
        <v>41499</v>
      </c>
      <c r="O189" s="734" t="s">
        <v>876</v>
      </c>
      <c r="P189" s="298">
        <v>260</v>
      </c>
      <c r="Q189" s="249">
        <v>12620</v>
      </c>
      <c r="R189" s="25">
        <f t="shared" si="49"/>
        <v>3281200</v>
      </c>
      <c r="S189" s="442"/>
      <c r="T189" s="735"/>
      <c r="U189" s="765"/>
      <c r="V189" s="765"/>
      <c r="W189" s="25"/>
    </row>
    <row r="190" spans="1:23" ht="13.5" customHeight="1">
      <c r="A190" s="719">
        <f t="shared" si="48"/>
        <v>47</v>
      </c>
      <c r="B190" s="290" t="s">
        <v>877</v>
      </c>
      <c r="C190" s="25">
        <f t="shared" si="45"/>
        <v>719306</v>
      </c>
      <c r="D190" s="720">
        <f t="shared" si="54"/>
        <v>23440.801457194902</v>
      </c>
      <c r="E190" s="720">
        <f t="shared" si="54"/>
        <v>1735.0941105039467</v>
      </c>
      <c r="F190" s="720">
        <f t="shared" si="54"/>
        <v>20127.504553734063</v>
      </c>
      <c r="G190" s="720">
        <f t="shared" si="54"/>
        <v>18837.279902853672</v>
      </c>
      <c r="H190" s="25">
        <f t="shared" si="52"/>
        <v>783446.6800242865</v>
      </c>
      <c r="I190" s="720">
        <v>85</v>
      </c>
      <c r="J190" s="720">
        <f t="shared" si="53"/>
        <v>9217.0197649916063</v>
      </c>
      <c r="K190" s="659"/>
      <c r="L190" s="189" t="s">
        <v>619</v>
      </c>
      <c r="M190" s="733">
        <f t="shared" si="47"/>
        <v>41497</v>
      </c>
      <c r="N190" s="733">
        <v>41500</v>
      </c>
      <c r="O190" s="734" t="s">
        <v>878</v>
      </c>
      <c r="P190" s="298">
        <f>I190</f>
        <v>85</v>
      </c>
      <c r="Q190" s="765">
        <v>8462.4198895027621</v>
      </c>
      <c r="R190" s="25">
        <f t="shared" si="49"/>
        <v>719306</v>
      </c>
      <c r="S190" s="442"/>
      <c r="T190" s="735"/>
      <c r="U190" s="765"/>
      <c r="V190" s="765"/>
      <c r="W190" s="25"/>
    </row>
    <row r="191" spans="1:23" ht="13.5" customHeight="1">
      <c r="A191" s="719">
        <f t="shared" si="48"/>
        <v>48</v>
      </c>
      <c r="B191" s="290" t="s">
        <v>1099</v>
      </c>
      <c r="C191" s="25">
        <f t="shared" si="45"/>
        <v>2443675</v>
      </c>
      <c r="D191" s="720">
        <f t="shared" si="54"/>
        <v>83559.56284153006</v>
      </c>
      <c r="E191" s="720">
        <f t="shared" si="54"/>
        <v>6185.1001821493628</v>
      </c>
      <c r="F191" s="720">
        <f t="shared" si="54"/>
        <v>71748.633879781424</v>
      </c>
      <c r="G191" s="720">
        <f t="shared" si="54"/>
        <v>67149.362477231334</v>
      </c>
      <c r="H191" s="25">
        <f t="shared" si="52"/>
        <v>2672317.6593806921</v>
      </c>
      <c r="I191" s="720">
        <v>303</v>
      </c>
      <c r="J191" s="720">
        <f t="shared" si="53"/>
        <v>8819.5302289791816</v>
      </c>
      <c r="K191" s="659"/>
      <c r="L191" s="801" t="s">
        <v>1210</v>
      </c>
      <c r="M191" s="733">
        <f t="shared" si="47"/>
        <v>41499</v>
      </c>
      <c r="N191" s="733">
        <v>41502</v>
      </c>
      <c r="O191" s="734" t="s">
        <v>879</v>
      </c>
      <c r="P191" s="298">
        <v>103</v>
      </c>
      <c r="Q191" s="249">
        <v>23725</v>
      </c>
      <c r="R191" s="25">
        <f t="shared" si="49"/>
        <v>2443675</v>
      </c>
      <c r="S191" s="442"/>
      <c r="T191" s="735"/>
      <c r="U191" s="765"/>
      <c r="V191" s="765"/>
      <c r="W191" s="25"/>
    </row>
    <row r="192" spans="1:23" ht="13.5" customHeight="1">
      <c r="A192" s="719">
        <f t="shared" si="48"/>
        <v>49</v>
      </c>
      <c r="B192" s="290" t="s">
        <v>711</v>
      </c>
      <c r="C192" s="25">
        <f t="shared" ref="C192:C239" si="55">R192</f>
        <v>5674367</v>
      </c>
      <c r="D192" s="720">
        <f t="shared" si="54"/>
        <v>78595.628415300554</v>
      </c>
      <c r="E192" s="720">
        <f t="shared" si="54"/>
        <v>5817.6684881602914</v>
      </c>
      <c r="F192" s="720">
        <f t="shared" si="54"/>
        <v>67486.338797814213</v>
      </c>
      <c r="G192" s="720">
        <f t="shared" si="54"/>
        <v>63160.291438979963</v>
      </c>
      <c r="H192" s="25">
        <f t="shared" si="52"/>
        <v>5889426.9271402555</v>
      </c>
      <c r="I192" s="720">
        <v>285</v>
      </c>
      <c r="J192" s="720">
        <f t="shared" si="53"/>
        <v>20664.65588470265</v>
      </c>
      <c r="K192" s="659"/>
      <c r="L192" s="801" t="s">
        <v>1209</v>
      </c>
      <c r="M192" s="733">
        <f t="shared" si="47"/>
        <v>41499</v>
      </c>
      <c r="N192" s="733">
        <v>41502</v>
      </c>
      <c r="O192" s="734" t="s">
        <v>880</v>
      </c>
      <c r="P192" s="298">
        <f>I192</f>
        <v>285</v>
      </c>
      <c r="Q192" s="249">
        <v>19910.059393752887</v>
      </c>
      <c r="R192" s="25">
        <f t="shared" si="49"/>
        <v>5674367</v>
      </c>
      <c r="S192" s="442"/>
      <c r="T192" s="735"/>
      <c r="U192" s="765"/>
      <c r="V192" s="765"/>
      <c r="W192" s="25"/>
    </row>
    <row r="193" spans="1:23" ht="13.5" customHeight="1">
      <c r="A193" s="719">
        <f t="shared" si="48"/>
        <v>50</v>
      </c>
      <c r="B193" s="290" t="s">
        <v>834</v>
      </c>
      <c r="C193" s="25">
        <f t="shared" si="55"/>
        <v>10054580</v>
      </c>
      <c r="D193" s="720">
        <f t="shared" si="54"/>
        <v>139265.93806921676</v>
      </c>
      <c r="E193" s="720">
        <f t="shared" si="54"/>
        <v>10308.50030358227</v>
      </c>
      <c r="F193" s="720">
        <f t="shared" si="54"/>
        <v>119581.05646630237</v>
      </c>
      <c r="G193" s="720">
        <f t="shared" si="54"/>
        <v>111915.60412871889</v>
      </c>
      <c r="H193" s="25">
        <f t="shared" si="52"/>
        <v>10435651.098967819</v>
      </c>
      <c r="I193" s="720">
        <v>505</v>
      </c>
      <c r="J193" s="720">
        <f t="shared" si="53"/>
        <v>20664.655641520432</v>
      </c>
      <c r="K193" s="659"/>
      <c r="L193" s="801" t="s">
        <v>1209</v>
      </c>
      <c r="M193" s="733">
        <f t="shared" si="47"/>
        <v>41502</v>
      </c>
      <c r="N193" s="733">
        <v>41505</v>
      </c>
      <c r="O193" s="734" t="s">
        <v>881</v>
      </c>
      <c r="P193" s="298">
        <f>I193</f>
        <v>505</v>
      </c>
      <c r="Q193" s="249">
        <v>19910.059393752887</v>
      </c>
      <c r="R193" s="25">
        <f t="shared" si="49"/>
        <v>10054580</v>
      </c>
      <c r="S193" s="442"/>
      <c r="T193" s="735"/>
      <c r="U193" s="765"/>
      <c r="V193" s="765"/>
      <c r="W193" s="25"/>
    </row>
    <row r="194" spans="1:23" ht="13.5" customHeight="1">
      <c r="A194" s="719">
        <f t="shared" si="48"/>
        <v>51</v>
      </c>
      <c r="B194" s="290" t="s">
        <v>1120</v>
      </c>
      <c r="C194" s="25">
        <f t="shared" si="55"/>
        <v>8876170</v>
      </c>
      <c r="D194" s="720">
        <f t="shared" si="54"/>
        <v>709566.84881602915</v>
      </c>
      <c r="E194" s="720">
        <f t="shared" si="54"/>
        <v>52522.31936854888</v>
      </c>
      <c r="F194" s="720">
        <f t="shared" si="54"/>
        <v>609271.40255009104</v>
      </c>
      <c r="G194" s="720">
        <f t="shared" si="54"/>
        <v>570215.54341226467</v>
      </c>
      <c r="H194" s="25">
        <f t="shared" si="52"/>
        <v>10817746.114146933</v>
      </c>
      <c r="I194" s="720">
        <v>2573</v>
      </c>
      <c r="J194" s="720">
        <f t="shared" si="53"/>
        <v>4204.3319526416371</v>
      </c>
      <c r="K194" s="659"/>
      <c r="L194" s="189" t="s">
        <v>561</v>
      </c>
      <c r="M194" s="733">
        <f t="shared" si="47"/>
        <v>41503</v>
      </c>
      <c r="N194" s="733">
        <v>41506</v>
      </c>
      <c r="O194" s="734" t="s">
        <v>882</v>
      </c>
      <c r="P194" s="298">
        <v>1015</v>
      </c>
      <c r="Q194" s="765">
        <v>8744.995073891625</v>
      </c>
      <c r="R194" s="25">
        <f t="shared" si="49"/>
        <v>8876170</v>
      </c>
      <c r="S194" s="442"/>
      <c r="T194" s="735"/>
      <c r="U194" s="765"/>
      <c r="V194" s="765"/>
      <c r="W194" s="25"/>
    </row>
    <row r="195" spans="1:23" ht="13.5" customHeight="1">
      <c r="A195" s="719">
        <f t="shared" si="48"/>
        <v>52</v>
      </c>
      <c r="B195" s="290" t="s">
        <v>1115</v>
      </c>
      <c r="C195" s="25">
        <f t="shared" si="55"/>
        <v>7596375</v>
      </c>
      <c r="D195" s="720">
        <f t="shared" si="54"/>
        <v>689435.3369763206</v>
      </c>
      <c r="E195" s="720">
        <f t="shared" si="54"/>
        <v>51032.179720704313</v>
      </c>
      <c r="F195" s="720">
        <f t="shared" si="54"/>
        <v>591985.42805100186</v>
      </c>
      <c r="G195" s="720">
        <f t="shared" si="54"/>
        <v>554037.64420157857</v>
      </c>
      <c r="H195" s="25">
        <f t="shared" si="52"/>
        <v>9482865.5889496058</v>
      </c>
      <c r="I195" s="720">
        <v>2500</v>
      </c>
      <c r="J195" s="720">
        <f t="shared" si="53"/>
        <v>3793.1462355798421</v>
      </c>
      <c r="K195" s="659"/>
      <c r="L195" s="801" t="s">
        <v>1191</v>
      </c>
      <c r="M195" s="733">
        <f t="shared" si="47"/>
        <v>41503</v>
      </c>
      <c r="N195" s="733">
        <v>41506</v>
      </c>
      <c r="O195" s="734" t="s">
        <v>884</v>
      </c>
      <c r="P195" s="298">
        <v>705</v>
      </c>
      <c r="Q195" s="765">
        <v>10775</v>
      </c>
      <c r="R195" s="25">
        <f t="shared" si="49"/>
        <v>7596375</v>
      </c>
      <c r="S195" s="442"/>
      <c r="T195" s="735"/>
      <c r="U195" s="765"/>
      <c r="V195" s="765"/>
      <c r="W195" s="25"/>
    </row>
    <row r="196" spans="1:23" ht="13.5" customHeight="1">
      <c r="A196" s="719">
        <f t="shared" si="48"/>
        <v>53</v>
      </c>
      <c r="B196" s="290" t="s">
        <v>1115</v>
      </c>
      <c r="C196" s="25">
        <f t="shared" si="55"/>
        <v>10631972</v>
      </c>
      <c r="D196" s="720">
        <f t="shared" si="54"/>
        <v>882477.23132969043</v>
      </c>
      <c r="E196" s="720">
        <f t="shared" si="54"/>
        <v>65321.190042501519</v>
      </c>
      <c r="F196" s="720">
        <f t="shared" si="54"/>
        <v>757741.34790528228</v>
      </c>
      <c r="G196" s="720">
        <f t="shared" si="54"/>
        <v>709168.18457802059</v>
      </c>
      <c r="H196" s="25">
        <f t="shared" si="52"/>
        <v>13046679.953855494</v>
      </c>
      <c r="I196" s="720">
        <v>3200</v>
      </c>
      <c r="J196" s="720">
        <f t="shared" si="53"/>
        <v>4077.087485579842</v>
      </c>
      <c r="K196" s="659"/>
      <c r="L196" s="801" t="s">
        <v>1209</v>
      </c>
      <c r="M196" s="733">
        <f t="shared" si="47"/>
        <v>41503</v>
      </c>
      <c r="N196" s="733">
        <v>41506</v>
      </c>
      <c r="O196" s="734" t="s">
        <v>885</v>
      </c>
      <c r="P196" s="298">
        <v>534</v>
      </c>
      <c r="Q196" s="765">
        <v>19910.059351276741</v>
      </c>
      <c r="R196" s="25">
        <f t="shared" si="49"/>
        <v>10631972</v>
      </c>
      <c r="S196" s="442"/>
      <c r="T196" s="735"/>
      <c r="U196" s="765"/>
      <c r="V196" s="765"/>
      <c r="W196" s="25"/>
    </row>
    <row r="197" spans="1:23" ht="13.5" customHeight="1">
      <c r="A197" s="719">
        <f t="shared" si="48"/>
        <v>54</v>
      </c>
      <c r="B197" s="290" t="s">
        <v>727</v>
      </c>
      <c r="C197" s="25">
        <f t="shared" si="55"/>
        <v>2260100</v>
      </c>
      <c r="D197" s="720">
        <f t="shared" si="54"/>
        <v>81629.143897996357</v>
      </c>
      <c r="E197" s="720">
        <f t="shared" si="54"/>
        <v>6042.2100789313909</v>
      </c>
      <c r="F197" s="720">
        <f t="shared" si="54"/>
        <v>70091.074681238621</v>
      </c>
      <c r="G197" s="720">
        <f t="shared" si="54"/>
        <v>65598.057073466916</v>
      </c>
      <c r="H197" s="25">
        <f t="shared" si="52"/>
        <v>2483460.4857316334</v>
      </c>
      <c r="I197" s="720">
        <v>296</v>
      </c>
      <c r="J197" s="720">
        <f t="shared" si="53"/>
        <v>8390.0692085528153</v>
      </c>
      <c r="K197" s="659"/>
      <c r="L197" s="801" t="s">
        <v>1213</v>
      </c>
      <c r="M197" s="733">
        <f t="shared" si="47"/>
        <v>41504</v>
      </c>
      <c r="N197" s="733">
        <v>41507</v>
      </c>
      <c r="O197" s="734" t="s">
        <v>886</v>
      </c>
      <c r="P197" s="298">
        <v>100</v>
      </c>
      <c r="Q197" s="765">
        <v>22601</v>
      </c>
      <c r="R197" s="25">
        <f t="shared" si="49"/>
        <v>2260100</v>
      </c>
      <c r="S197" s="442"/>
      <c r="T197" s="735"/>
      <c r="U197" s="765"/>
      <c r="V197" s="765"/>
      <c r="W197" s="25"/>
    </row>
    <row r="198" spans="1:23" ht="13.5" customHeight="1">
      <c r="A198" s="719">
        <f t="shared" si="48"/>
        <v>55</v>
      </c>
      <c r="B198" s="290" t="s">
        <v>887</v>
      </c>
      <c r="C198" s="25">
        <f t="shared" si="55"/>
        <v>440046</v>
      </c>
      <c r="D198" s="720">
        <f t="shared" si="54"/>
        <v>14340.25500910747</v>
      </c>
      <c r="E198" s="720">
        <f t="shared" si="54"/>
        <v>1061.4693381906498</v>
      </c>
      <c r="F198" s="720">
        <f t="shared" si="54"/>
        <v>12313.296903460838</v>
      </c>
      <c r="G198" s="720">
        <f t="shared" si="54"/>
        <v>11523.982999392836</v>
      </c>
      <c r="H198" s="25">
        <f t="shared" si="52"/>
        <v>479285.00425015175</v>
      </c>
      <c r="I198" s="720">
        <v>52</v>
      </c>
      <c r="J198" s="720">
        <f t="shared" si="53"/>
        <v>9217.0193125029182</v>
      </c>
      <c r="K198" s="659"/>
      <c r="L198" s="189" t="s">
        <v>619</v>
      </c>
      <c r="M198" s="733">
        <f t="shared" si="47"/>
        <v>41508</v>
      </c>
      <c r="N198" s="733">
        <v>41511</v>
      </c>
      <c r="O198" s="734" t="s">
        <v>888</v>
      </c>
      <c r="P198" s="298">
        <f>I198</f>
        <v>52</v>
      </c>
      <c r="Q198" s="765">
        <v>8462.4198895027621</v>
      </c>
      <c r="R198" s="25">
        <f t="shared" si="49"/>
        <v>440046</v>
      </c>
      <c r="S198" s="442"/>
      <c r="T198" s="735"/>
      <c r="U198" s="765"/>
      <c r="V198" s="765"/>
      <c r="W198" s="25"/>
    </row>
    <row r="199" spans="1:23" ht="13.5" customHeight="1">
      <c r="A199" s="719">
        <f t="shared" si="48"/>
        <v>56</v>
      </c>
      <c r="B199" s="290" t="s">
        <v>1128</v>
      </c>
      <c r="C199" s="25">
        <f t="shared" si="55"/>
        <v>6746040</v>
      </c>
      <c r="D199" s="720">
        <f t="shared" si="54"/>
        <v>383326.04735883424</v>
      </c>
      <c r="E199" s="720">
        <f t="shared" si="54"/>
        <v>28373.891924711595</v>
      </c>
      <c r="F199" s="720">
        <f t="shared" si="54"/>
        <v>329143.897996357</v>
      </c>
      <c r="G199" s="720">
        <f t="shared" si="54"/>
        <v>308044.9301760777</v>
      </c>
      <c r="H199" s="25">
        <f t="shared" si="52"/>
        <v>7794928.7674559802</v>
      </c>
      <c r="I199" s="720">
        <v>1390</v>
      </c>
      <c r="J199" s="720">
        <f t="shared" si="53"/>
        <v>5607.8624226302018</v>
      </c>
      <c r="K199" s="659"/>
      <c r="L199" s="801" t="s">
        <v>1243</v>
      </c>
      <c r="M199" s="733">
        <f t="shared" si="47"/>
        <v>41508</v>
      </c>
      <c r="N199" s="733">
        <v>41511</v>
      </c>
      <c r="O199" s="734" t="s">
        <v>888</v>
      </c>
      <c r="P199" s="298">
        <v>630</v>
      </c>
      <c r="Q199" s="765">
        <v>10708</v>
      </c>
      <c r="R199" s="25">
        <f t="shared" si="49"/>
        <v>6746040</v>
      </c>
      <c r="S199" s="442"/>
      <c r="T199" s="735"/>
      <c r="U199" s="765"/>
      <c r="V199" s="765"/>
      <c r="W199" s="25"/>
    </row>
    <row r="200" spans="1:23" ht="13.5" customHeight="1">
      <c r="A200" s="719">
        <f t="shared" si="48"/>
        <v>57</v>
      </c>
      <c r="B200" s="290" t="s">
        <v>889</v>
      </c>
      <c r="C200" s="25">
        <f t="shared" si="55"/>
        <v>1428480</v>
      </c>
      <c r="D200" s="720">
        <f t="shared" si="54"/>
        <v>85489.981785063763</v>
      </c>
      <c r="E200" s="720">
        <f t="shared" si="54"/>
        <v>6327.9902853673348</v>
      </c>
      <c r="F200" s="720">
        <f t="shared" si="54"/>
        <v>73406.193078324228</v>
      </c>
      <c r="G200" s="720">
        <f t="shared" si="54"/>
        <v>68700.667880995752</v>
      </c>
      <c r="H200" s="25">
        <f t="shared" si="52"/>
        <v>1662404.833029751</v>
      </c>
      <c r="I200" s="720">
        <v>310</v>
      </c>
      <c r="J200" s="720">
        <f t="shared" si="53"/>
        <v>5362.596235579842</v>
      </c>
      <c r="K200" s="659"/>
      <c r="L200" s="801" t="s">
        <v>1241</v>
      </c>
      <c r="M200" s="733">
        <f t="shared" si="47"/>
        <v>41508</v>
      </c>
      <c r="N200" s="733">
        <v>41511</v>
      </c>
      <c r="O200" s="734" t="s">
        <v>888</v>
      </c>
      <c r="P200" s="298">
        <v>150</v>
      </c>
      <c r="Q200" s="765">
        <v>9523.2000000000007</v>
      </c>
      <c r="R200" s="25">
        <f t="shared" si="49"/>
        <v>1428480</v>
      </c>
      <c r="S200" s="442"/>
      <c r="T200" s="735"/>
      <c r="U200" s="765"/>
      <c r="V200" s="765"/>
      <c r="W200" s="25"/>
    </row>
    <row r="201" spans="1:23" ht="13.5" customHeight="1">
      <c r="A201" s="719">
        <f t="shared" si="48"/>
        <v>58</v>
      </c>
      <c r="B201" s="290" t="s">
        <v>887</v>
      </c>
      <c r="C201" s="25">
        <f t="shared" si="55"/>
        <v>739264</v>
      </c>
      <c r="D201" s="720">
        <f t="shared" si="54"/>
        <v>24819.672131147541</v>
      </c>
      <c r="E201" s="720">
        <f t="shared" si="54"/>
        <v>1837.1584699453551</v>
      </c>
      <c r="F201" s="720">
        <f t="shared" si="54"/>
        <v>21311.475409836065</v>
      </c>
      <c r="G201" s="720">
        <f t="shared" si="54"/>
        <v>19945.355191256829</v>
      </c>
      <c r="H201" s="25">
        <f t="shared" si="52"/>
        <v>807177.66120218579</v>
      </c>
      <c r="I201" s="720">
        <v>90</v>
      </c>
      <c r="J201" s="720">
        <f t="shared" si="53"/>
        <v>8968.6406800242858</v>
      </c>
      <c r="K201" s="659"/>
      <c r="L201" s="801" t="s">
        <v>1221</v>
      </c>
      <c r="M201" s="733">
        <f t="shared" si="47"/>
        <v>41508</v>
      </c>
      <c r="N201" s="733">
        <v>41511</v>
      </c>
      <c r="O201" s="734" t="s">
        <v>888</v>
      </c>
      <c r="P201" s="298">
        <v>32</v>
      </c>
      <c r="Q201" s="765">
        <v>23102</v>
      </c>
      <c r="R201" s="25">
        <f t="shared" si="49"/>
        <v>739264</v>
      </c>
      <c r="S201" s="442"/>
      <c r="T201" s="735"/>
      <c r="U201" s="765"/>
      <c r="V201" s="765"/>
      <c r="W201" s="25"/>
    </row>
    <row r="202" spans="1:23" ht="13.5" customHeight="1">
      <c r="A202" s="719">
        <f t="shared" si="48"/>
        <v>59</v>
      </c>
      <c r="B202" s="290" t="s">
        <v>1117</v>
      </c>
      <c r="C202" s="25">
        <f t="shared" si="55"/>
        <v>5061360</v>
      </c>
      <c r="D202" s="720">
        <f t="shared" si="54"/>
        <v>386083.78870673955</v>
      </c>
      <c r="E202" s="720">
        <f t="shared" si="54"/>
        <v>28578.020643594413</v>
      </c>
      <c r="F202" s="720">
        <f t="shared" si="54"/>
        <v>331511.83970856102</v>
      </c>
      <c r="G202" s="720">
        <f t="shared" si="54"/>
        <v>310261.08075288404</v>
      </c>
      <c r="H202" s="25">
        <f t="shared" si="52"/>
        <v>6117794.7298117792</v>
      </c>
      <c r="I202" s="720">
        <v>1400</v>
      </c>
      <c r="J202" s="720">
        <f t="shared" si="53"/>
        <v>4369.8533784369847</v>
      </c>
      <c r="K202" s="659"/>
      <c r="L202" s="801" t="s">
        <v>1234</v>
      </c>
      <c r="M202" s="733">
        <f t="shared" si="47"/>
        <v>41509</v>
      </c>
      <c r="N202" s="733">
        <v>41512</v>
      </c>
      <c r="O202" s="734" t="s">
        <v>890</v>
      </c>
      <c r="P202" s="298">
        <v>240</v>
      </c>
      <c r="Q202" s="765">
        <v>21089</v>
      </c>
      <c r="R202" s="25">
        <f t="shared" si="49"/>
        <v>5061360</v>
      </c>
      <c r="S202" s="442"/>
      <c r="T202" s="735"/>
      <c r="U202" s="765"/>
      <c r="V202" s="765"/>
      <c r="W202" s="25"/>
    </row>
    <row r="203" spans="1:23" ht="13.5" customHeight="1">
      <c r="A203" s="719">
        <f t="shared" si="48"/>
        <v>60</v>
      </c>
      <c r="B203" s="290" t="s">
        <v>1117</v>
      </c>
      <c r="C203" s="25">
        <f t="shared" si="55"/>
        <v>8719691</v>
      </c>
      <c r="D203" s="720">
        <f t="shared" si="54"/>
        <v>661857.92349726777</v>
      </c>
      <c r="E203" s="720">
        <f t="shared" si="54"/>
        <v>48990.892531876139</v>
      </c>
      <c r="F203" s="720">
        <f t="shared" si="54"/>
        <v>568306.0109289618</v>
      </c>
      <c r="G203" s="720">
        <f t="shared" si="54"/>
        <v>531876.13843351544</v>
      </c>
      <c r="H203" s="25">
        <f t="shared" si="52"/>
        <v>10530721.965391621</v>
      </c>
      <c r="I203" s="720">
        <v>2400</v>
      </c>
      <c r="J203" s="720">
        <f t="shared" si="53"/>
        <v>4387.8008189131751</v>
      </c>
      <c r="K203" s="659"/>
      <c r="L203" s="801" t="s">
        <v>1198</v>
      </c>
      <c r="M203" s="733">
        <f t="shared" si="47"/>
        <v>41509</v>
      </c>
      <c r="N203" s="733">
        <v>41512</v>
      </c>
      <c r="O203" s="734" t="s">
        <v>890</v>
      </c>
      <c r="P203" s="298">
        <v>391</v>
      </c>
      <c r="Q203" s="249">
        <v>22301</v>
      </c>
      <c r="R203" s="25">
        <f t="shared" si="49"/>
        <v>8719691</v>
      </c>
      <c r="S203" s="442"/>
      <c r="T203" s="735"/>
      <c r="U203" s="765"/>
      <c r="V203" s="765"/>
      <c r="W203" s="25"/>
    </row>
    <row r="204" spans="1:23" ht="13.5" customHeight="1">
      <c r="A204" s="719">
        <f t="shared" si="48"/>
        <v>61</v>
      </c>
      <c r="B204" s="290" t="s">
        <v>1108</v>
      </c>
      <c r="C204" s="25">
        <f t="shared" si="55"/>
        <v>4807615</v>
      </c>
      <c r="D204" s="720">
        <f t="shared" ref="D204:G223" si="56">IF($I$243&lt;&gt;0,D$243/$I$243*$I204,0)</f>
        <v>278531.87613843352</v>
      </c>
      <c r="E204" s="720">
        <f t="shared" si="56"/>
        <v>20617.00060716454</v>
      </c>
      <c r="F204" s="720">
        <f t="shared" si="56"/>
        <v>239162.11293260474</v>
      </c>
      <c r="G204" s="720">
        <f t="shared" si="56"/>
        <v>223831.20825743777</v>
      </c>
      <c r="H204" s="25">
        <f t="shared" si="52"/>
        <v>5569757.1979356408</v>
      </c>
      <c r="I204" s="720">
        <v>1010</v>
      </c>
      <c r="J204" s="720">
        <f t="shared" si="53"/>
        <v>5514.6110870649909</v>
      </c>
      <c r="K204" s="659"/>
      <c r="L204" s="801" t="s">
        <v>1238</v>
      </c>
      <c r="M204" s="733">
        <f t="shared" si="47"/>
        <v>41509</v>
      </c>
      <c r="N204" s="733">
        <v>41512</v>
      </c>
      <c r="O204" s="734" t="s">
        <v>1082</v>
      </c>
      <c r="P204" s="298">
        <v>215</v>
      </c>
      <c r="Q204" s="765">
        <v>22361</v>
      </c>
      <c r="R204" s="25">
        <f t="shared" si="49"/>
        <v>4807615</v>
      </c>
      <c r="S204" s="442"/>
      <c r="T204" s="735"/>
      <c r="U204" s="765"/>
      <c r="V204" s="765"/>
      <c r="W204" s="25"/>
    </row>
    <row r="205" spans="1:23" ht="13.5" customHeight="1">
      <c r="A205" s="719">
        <f t="shared" si="48"/>
        <v>62</v>
      </c>
      <c r="B205" s="290" t="s">
        <v>1112</v>
      </c>
      <c r="C205" s="25">
        <f t="shared" si="55"/>
        <v>1153916</v>
      </c>
      <c r="D205" s="720">
        <f t="shared" si="56"/>
        <v>28128.961748633883</v>
      </c>
      <c r="E205" s="720">
        <f t="shared" si="56"/>
        <v>2082.1129326047358</v>
      </c>
      <c r="F205" s="720">
        <f t="shared" si="56"/>
        <v>24153.005464480873</v>
      </c>
      <c r="G205" s="720">
        <f t="shared" si="56"/>
        <v>22604.735883424408</v>
      </c>
      <c r="H205" s="25">
        <f t="shared" si="52"/>
        <v>1230884.816029144</v>
      </c>
      <c r="I205" s="720">
        <v>102</v>
      </c>
      <c r="J205" s="720">
        <f t="shared" si="53"/>
        <v>12067.498196364157</v>
      </c>
      <c r="K205" s="659"/>
      <c r="L205" s="189" t="s">
        <v>583</v>
      </c>
      <c r="M205" s="733">
        <f t="shared" si="47"/>
        <v>41509</v>
      </c>
      <c r="N205" s="733">
        <v>41512</v>
      </c>
      <c r="O205" s="734" t="s">
        <v>1082</v>
      </c>
      <c r="P205" s="298">
        <v>106</v>
      </c>
      <c r="Q205" s="765">
        <v>10886</v>
      </c>
      <c r="R205" s="25">
        <f t="shared" si="49"/>
        <v>1153916</v>
      </c>
      <c r="S205" s="442"/>
      <c r="T205" s="735"/>
      <c r="U205" s="765"/>
      <c r="V205" s="765"/>
      <c r="W205" s="25"/>
    </row>
    <row r="206" spans="1:23" ht="13.5" customHeight="1">
      <c r="A206" s="719">
        <f t="shared" si="48"/>
        <v>63</v>
      </c>
      <c r="B206" s="290" t="s">
        <v>977</v>
      </c>
      <c r="C206" s="25">
        <f t="shared" si="55"/>
        <v>4345200</v>
      </c>
      <c r="D206" s="720">
        <f t="shared" si="56"/>
        <v>110309.6539162113</v>
      </c>
      <c r="E206" s="720">
        <f t="shared" si="56"/>
        <v>8165.1487553126899</v>
      </c>
      <c r="F206" s="720">
        <f t="shared" si="56"/>
        <v>94717.668488160285</v>
      </c>
      <c r="G206" s="720">
        <f t="shared" si="56"/>
        <v>88646.023072252574</v>
      </c>
      <c r="H206" s="25">
        <f t="shared" si="52"/>
        <v>4647038.4942319375</v>
      </c>
      <c r="I206" s="720">
        <v>400</v>
      </c>
      <c r="J206" s="720">
        <f t="shared" si="53"/>
        <v>11617.596235579844</v>
      </c>
      <c r="K206" s="659"/>
      <c r="L206" s="801" t="s">
        <v>1248</v>
      </c>
      <c r="M206" s="733">
        <f t="shared" si="47"/>
        <v>41513</v>
      </c>
      <c r="N206" s="733">
        <v>41516</v>
      </c>
      <c r="O206" s="734" t="s">
        <v>1083</v>
      </c>
      <c r="P206" s="298">
        <f>I206</f>
        <v>400</v>
      </c>
      <c r="Q206" s="765">
        <v>10863</v>
      </c>
      <c r="R206" s="25">
        <f t="shared" si="49"/>
        <v>4345200</v>
      </c>
      <c r="S206" s="442"/>
      <c r="T206" s="735"/>
      <c r="U206" s="765"/>
      <c r="V206" s="765"/>
      <c r="W206" s="25"/>
    </row>
    <row r="207" spans="1:23" ht="13.5" customHeight="1">
      <c r="A207" s="719">
        <f t="shared" si="48"/>
        <v>64</v>
      </c>
      <c r="B207" s="290" t="s">
        <v>976</v>
      </c>
      <c r="C207" s="25">
        <f t="shared" si="55"/>
        <v>2756250</v>
      </c>
      <c r="D207" s="720">
        <f t="shared" si="56"/>
        <v>57912.56830601093</v>
      </c>
      <c r="E207" s="720">
        <f t="shared" si="56"/>
        <v>4286.7030965391623</v>
      </c>
      <c r="F207" s="720">
        <f t="shared" si="56"/>
        <v>49726.775956284153</v>
      </c>
      <c r="G207" s="720">
        <f t="shared" si="56"/>
        <v>46539.162112932601</v>
      </c>
      <c r="H207" s="25">
        <f t="shared" si="52"/>
        <v>2914715.2094717673</v>
      </c>
      <c r="I207" s="720">
        <v>210</v>
      </c>
      <c r="J207" s="720">
        <f t="shared" si="53"/>
        <v>13879.596235579844</v>
      </c>
      <c r="K207" s="659"/>
      <c r="L207" s="801" t="s">
        <v>1259</v>
      </c>
      <c r="M207" s="733">
        <f t="shared" si="47"/>
        <v>41513</v>
      </c>
      <c r="N207" s="733">
        <v>41516</v>
      </c>
      <c r="O207" s="734" t="s">
        <v>1083</v>
      </c>
      <c r="P207" s="298">
        <f>I207</f>
        <v>210</v>
      </c>
      <c r="Q207" s="765">
        <v>13125</v>
      </c>
      <c r="R207" s="25">
        <f t="shared" si="49"/>
        <v>2756250</v>
      </c>
      <c r="S207" s="442"/>
      <c r="T207" s="735"/>
      <c r="U207" s="765"/>
      <c r="V207" s="765"/>
      <c r="W207" s="25"/>
    </row>
    <row r="208" spans="1:23" ht="13.5" customHeight="1">
      <c r="A208" s="719">
        <f t="shared" si="48"/>
        <v>65</v>
      </c>
      <c r="B208" s="290" t="s">
        <v>973</v>
      </c>
      <c r="C208" s="25">
        <f t="shared" si="55"/>
        <v>951912</v>
      </c>
      <c r="D208" s="720">
        <f t="shared" si="56"/>
        <v>41366.120218579235</v>
      </c>
      <c r="E208" s="720">
        <f t="shared" si="56"/>
        <v>3061.9307832422587</v>
      </c>
      <c r="F208" s="720">
        <f t="shared" si="56"/>
        <v>35519.125683060112</v>
      </c>
      <c r="G208" s="720">
        <f t="shared" si="56"/>
        <v>33242.258652094715</v>
      </c>
      <c r="H208" s="25">
        <f t="shared" ref="H208:H239" si="57">SUM(C208:G208)</f>
        <v>1065101.4353369763</v>
      </c>
      <c r="I208" s="720">
        <v>150</v>
      </c>
      <c r="J208" s="720">
        <f t="shared" si="53"/>
        <v>7100.6762355798419</v>
      </c>
      <c r="K208" s="659"/>
      <c r="L208" s="801" t="s">
        <v>1202</v>
      </c>
      <c r="M208" s="733">
        <f t="shared" si="47"/>
        <v>41513</v>
      </c>
      <c r="N208" s="733">
        <v>41516</v>
      </c>
      <c r="O208" s="734" t="s">
        <v>1083</v>
      </c>
      <c r="P208" s="298">
        <v>52</v>
      </c>
      <c r="Q208" s="765">
        <v>18306</v>
      </c>
      <c r="R208" s="25">
        <f t="shared" si="49"/>
        <v>951912</v>
      </c>
      <c r="S208" s="442"/>
      <c r="T208" s="735"/>
      <c r="U208" s="765"/>
      <c r="V208" s="765"/>
      <c r="W208" s="25"/>
    </row>
    <row r="209" spans="1:23" ht="13.5" customHeight="1">
      <c r="A209" s="719">
        <f t="shared" si="48"/>
        <v>66</v>
      </c>
      <c r="B209" s="290" t="s">
        <v>907</v>
      </c>
      <c r="C209" s="25">
        <f t="shared" si="55"/>
        <v>10436868</v>
      </c>
      <c r="D209" s="720">
        <f t="shared" si="56"/>
        <v>161327.86885245904</v>
      </c>
      <c r="E209" s="720">
        <f t="shared" si="56"/>
        <v>11941.530054644809</v>
      </c>
      <c r="F209" s="720">
        <f t="shared" si="56"/>
        <v>138524.59016393442</v>
      </c>
      <c r="G209" s="720">
        <f t="shared" si="56"/>
        <v>129644.8087431694</v>
      </c>
      <c r="H209" s="25">
        <f t="shared" si="57"/>
        <v>10878306.797814209</v>
      </c>
      <c r="I209" s="720">
        <v>585</v>
      </c>
      <c r="J209" s="720">
        <f t="shared" si="53"/>
        <v>18595.396235579843</v>
      </c>
      <c r="K209" s="659"/>
      <c r="L209" s="801" t="s">
        <v>1198</v>
      </c>
      <c r="M209" s="733">
        <f t="shared" ref="M209:M241" si="58">N209-3</f>
        <v>41509</v>
      </c>
      <c r="N209" s="733">
        <v>41512</v>
      </c>
      <c r="O209" s="734" t="s">
        <v>1084</v>
      </c>
      <c r="P209" s="298">
        <f>I209*(4/5)</f>
        <v>468</v>
      </c>
      <c r="Q209" s="765">
        <v>22301</v>
      </c>
      <c r="R209" s="25">
        <f t="shared" si="49"/>
        <v>10436868</v>
      </c>
      <c r="S209" s="442"/>
      <c r="T209" s="735"/>
      <c r="U209" s="765"/>
      <c r="V209" s="765"/>
      <c r="W209" s="25"/>
    </row>
    <row r="210" spans="1:23" ht="13.5" customHeight="1">
      <c r="A210" s="719">
        <f t="shared" ref="A210:A241" si="59">IF(B210&lt;&gt;"",A209+1,"")</f>
        <v>67</v>
      </c>
      <c r="B210" s="290" t="s">
        <v>909</v>
      </c>
      <c r="C210" s="25">
        <f t="shared" si="55"/>
        <v>5499648</v>
      </c>
      <c r="D210" s="720">
        <f t="shared" si="56"/>
        <v>102312.20400728598</v>
      </c>
      <c r="E210" s="720">
        <f t="shared" si="56"/>
        <v>7573.17547055252</v>
      </c>
      <c r="F210" s="720">
        <f t="shared" si="56"/>
        <v>87850.637522768666</v>
      </c>
      <c r="G210" s="720">
        <f t="shared" si="56"/>
        <v>82219.186399514263</v>
      </c>
      <c r="H210" s="25">
        <f t="shared" si="57"/>
        <v>5779603.2034001201</v>
      </c>
      <c r="I210" s="720">
        <v>371</v>
      </c>
      <c r="J210" s="720">
        <f t="shared" si="53"/>
        <v>15578.445292183613</v>
      </c>
      <c r="K210" s="659"/>
      <c r="L210" s="189" t="s">
        <v>560</v>
      </c>
      <c r="M210" s="733">
        <f t="shared" si="58"/>
        <v>41509</v>
      </c>
      <c r="N210" s="733">
        <v>41512</v>
      </c>
      <c r="O210" s="734" t="s">
        <v>1084</v>
      </c>
      <c r="P210" s="298">
        <v>186</v>
      </c>
      <c r="Q210" s="765">
        <v>29568</v>
      </c>
      <c r="R210" s="25">
        <f t="shared" si="49"/>
        <v>5499648</v>
      </c>
      <c r="S210" s="442"/>
      <c r="T210" s="735"/>
      <c r="U210" s="765"/>
      <c r="V210" s="765"/>
      <c r="W210" s="25"/>
    </row>
    <row r="211" spans="1:23" ht="13.5" customHeight="1">
      <c r="A211" s="719">
        <f t="shared" si="59"/>
        <v>68</v>
      </c>
      <c r="B211" s="290" t="s">
        <v>1116</v>
      </c>
      <c r="C211" s="25">
        <f t="shared" si="55"/>
        <v>10035450</v>
      </c>
      <c r="D211" s="720">
        <f t="shared" si="56"/>
        <v>744590.16393442627</v>
      </c>
      <c r="E211" s="720">
        <f t="shared" si="56"/>
        <v>55114.75409836066</v>
      </c>
      <c r="F211" s="720">
        <f t="shared" si="56"/>
        <v>639344.26229508198</v>
      </c>
      <c r="G211" s="720">
        <f t="shared" si="56"/>
        <v>598360.65573770495</v>
      </c>
      <c r="H211" s="25">
        <f t="shared" si="57"/>
        <v>12072859.836065575</v>
      </c>
      <c r="I211" s="720">
        <v>2700</v>
      </c>
      <c r="J211" s="720">
        <f t="shared" si="53"/>
        <v>4471.4295689131759</v>
      </c>
      <c r="K211" s="659"/>
      <c r="L211" s="801" t="s">
        <v>1198</v>
      </c>
      <c r="M211" s="733">
        <f t="shared" si="58"/>
        <v>41519</v>
      </c>
      <c r="N211" s="733">
        <v>41522</v>
      </c>
      <c r="O211" s="734" t="s">
        <v>1085</v>
      </c>
      <c r="P211" s="298">
        <v>450</v>
      </c>
      <c r="Q211" s="249">
        <v>22301</v>
      </c>
      <c r="R211" s="25">
        <f t="shared" si="49"/>
        <v>10035450</v>
      </c>
      <c r="S211" s="442"/>
      <c r="T211" s="735"/>
      <c r="U211" s="765"/>
      <c r="V211" s="765"/>
      <c r="W211" s="25"/>
    </row>
    <row r="212" spans="1:23" ht="13.5" customHeight="1">
      <c r="A212" s="719">
        <f t="shared" si="59"/>
        <v>69</v>
      </c>
      <c r="B212" s="290" t="s">
        <v>1087</v>
      </c>
      <c r="C212" s="25">
        <f t="shared" si="55"/>
        <v>6799825</v>
      </c>
      <c r="D212" s="720">
        <f t="shared" si="56"/>
        <v>278531.87613843352</v>
      </c>
      <c r="E212" s="720">
        <f t="shared" si="56"/>
        <v>20617.00060716454</v>
      </c>
      <c r="F212" s="720">
        <f t="shared" si="56"/>
        <v>239162.11293260474</v>
      </c>
      <c r="G212" s="720">
        <f t="shared" si="56"/>
        <v>223831.20825743777</v>
      </c>
      <c r="H212" s="25">
        <f t="shared" si="57"/>
        <v>7561967.1979356408</v>
      </c>
      <c r="I212" s="720">
        <v>1010</v>
      </c>
      <c r="J212" s="720">
        <f t="shared" si="53"/>
        <v>7487.096235579842</v>
      </c>
      <c r="K212" s="659"/>
      <c r="L212" s="189" t="s">
        <v>604</v>
      </c>
      <c r="M212" s="733">
        <f t="shared" si="58"/>
        <v>41520</v>
      </c>
      <c r="N212" s="733">
        <v>41523</v>
      </c>
      <c r="O212" s="734" t="s">
        <v>1086</v>
      </c>
      <c r="P212" s="298">
        <v>505</v>
      </c>
      <c r="Q212" s="765">
        <v>13465</v>
      </c>
      <c r="R212" s="25">
        <f t="shared" si="49"/>
        <v>6799825</v>
      </c>
      <c r="S212" s="442"/>
      <c r="T212" s="735"/>
      <c r="U212" s="765"/>
      <c r="V212" s="765"/>
      <c r="W212" s="25"/>
    </row>
    <row r="213" spans="1:23" ht="13.5" customHeight="1">
      <c r="A213" s="719">
        <f t="shared" si="59"/>
        <v>70</v>
      </c>
      <c r="B213" s="290" t="s">
        <v>1088</v>
      </c>
      <c r="C213" s="25">
        <f t="shared" si="55"/>
        <v>5861000</v>
      </c>
      <c r="D213" s="720">
        <f t="shared" si="56"/>
        <v>275774.13479052827</v>
      </c>
      <c r="E213" s="720">
        <f t="shared" si="56"/>
        <v>20412.871888281723</v>
      </c>
      <c r="F213" s="720">
        <f t="shared" si="56"/>
        <v>236794.17122040072</v>
      </c>
      <c r="G213" s="720">
        <f t="shared" si="56"/>
        <v>221615.05768063146</v>
      </c>
      <c r="H213" s="25">
        <f t="shared" si="57"/>
        <v>6615596.2355798418</v>
      </c>
      <c r="I213" s="720">
        <v>1000</v>
      </c>
      <c r="J213" s="720">
        <f t="shared" si="53"/>
        <v>6615.596235579842</v>
      </c>
      <c r="K213" s="659"/>
      <c r="L213" s="189" t="s">
        <v>646</v>
      </c>
      <c r="M213" s="733">
        <f t="shared" si="58"/>
        <v>41520</v>
      </c>
      <c r="N213" s="733">
        <v>41523</v>
      </c>
      <c r="O213" s="734" t="s">
        <v>1086</v>
      </c>
      <c r="P213" s="298">
        <f>I213/2</f>
        <v>500</v>
      </c>
      <c r="Q213" s="765">
        <v>11722</v>
      </c>
      <c r="R213" s="25">
        <f t="shared" si="49"/>
        <v>5861000</v>
      </c>
      <c r="S213" s="442"/>
      <c r="T213" s="735"/>
      <c r="U213" s="765"/>
      <c r="V213" s="765"/>
      <c r="W213" s="25"/>
    </row>
    <row r="214" spans="1:23" ht="13.5" customHeight="1">
      <c r="A214" s="719">
        <f t="shared" si="59"/>
        <v>71</v>
      </c>
      <c r="B214" s="290" t="s">
        <v>1103</v>
      </c>
      <c r="C214" s="25">
        <f t="shared" si="55"/>
        <v>5571517</v>
      </c>
      <c r="D214" s="720">
        <f t="shared" si="56"/>
        <v>273016.39344262297</v>
      </c>
      <c r="E214" s="720">
        <f t="shared" si="56"/>
        <v>20208.743169398906</v>
      </c>
      <c r="F214" s="720">
        <f t="shared" si="56"/>
        <v>234426.22950819673</v>
      </c>
      <c r="G214" s="720">
        <f t="shared" si="56"/>
        <v>219398.90710382513</v>
      </c>
      <c r="H214" s="25">
        <f t="shared" si="57"/>
        <v>6318567.2732240446</v>
      </c>
      <c r="I214" s="720">
        <v>990</v>
      </c>
      <c r="J214" s="720">
        <f t="shared" si="53"/>
        <v>6382.3911850747927</v>
      </c>
      <c r="K214" s="659"/>
      <c r="L214" s="189" t="s">
        <v>682</v>
      </c>
      <c r="M214" s="733">
        <f t="shared" si="58"/>
        <v>41523</v>
      </c>
      <c r="N214" s="733">
        <v>41526</v>
      </c>
      <c r="O214" s="734" t="s">
        <v>1089</v>
      </c>
      <c r="P214" s="298">
        <v>270</v>
      </c>
      <c r="Q214" s="765">
        <v>20635.247863247863</v>
      </c>
      <c r="R214" s="25">
        <f t="shared" si="49"/>
        <v>5571517</v>
      </c>
      <c r="S214" s="442"/>
      <c r="T214" s="735"/>
      <c r="U214" s="765"/>
      <c r="V214" s="765"/>
      <c r="W214" s="25"/>
    </row>
    <row r="215" spans="1:23" ht="13.5" customHeight="1">
      <c r="A215" s="719">
        <f>IF(B215&lt;&gt;"",A214+1,"")</f>
        <v>72</v>
      </c>
      <c r="B215" s="290" t="s">
        <v>834</v>
      </c>
      <c r="C215" s="25">
        <f t="shared" si="55"/>
        <v>10054580</v>
      </c>
      <c r="D215" s="720">
        <f t="shared" si="56"/>
        <v>139265.93806921676</v>
      </c>
      <c r="E215" s="720">
        <f t="shared" si="56"/>
        <v>10308.50030358227</v>
      </c>
      <c r="F215" s="720">
        <f t="shared" si="56"/>
        <v>119581.05646630237</v>
      </c>
      <c r="G215" s="720">
        <f t="shared" si="56"/>
        <v>111915.60412871889</v>
      </c>
      <c r="H215" s="25">
        <f t="shared" si="57"/>
        <v>10435651.098967819</v>
      </c>
      <c r="I215" s="720">
        <v>505</v>
      </c>
      <c r="J215" s="720">
        <f t="shared" si="53"/>
        <v>20664.655641520432</v>
      </c>
      <c r="K215" s="659"/>
      <c r="L215" s="801" t="s">
        <v>1209</v>
      </c>
      <c r="M215" s="733">
        <f t="shared" si="58"/>
        <v>41523</v>
      </c>
      <c r="N215" s="733">
        <v>41526</v>
      </c>
      <c r="O215" s="734" t="s">
        <v>1090</v>
      </c>
      <c r="P215" s="298">
        <f>I215</f>
        <v>505</v>
      </c>
      <c r="Q215" s="249">
        <v>19910.059393752887</v>
      </c>
      <c r="R215" s="25">
        <f t="shared" si="49"/>
        <v>10054580</v>
      </c>
      <c r="S215" s="442"/>
      <c r="T215" s="735"/>
      <c r="U215" s="765"/>
      <c r="V215" s="765"/>
      <c r="W215" s="25"/>
    </row>
    <row r="216" spans="1:23" ht="13.5" customHeight="1">
      <c r="A216" s="719">
        <f t="shared" si="59"/>
        <v>73</v>
      </c>
      <c r="B216" s="290" t="s">
        <v>907</v>
      </c>
      <c r="C216" s="25">
        <f t="shared" si="55"/>
        <v>10436868</v>
      </c>
      <c r="D216" s="720">
        <f t="shared" si="56"/>
        <v>161327.86885245904</v>
      </c>
      <c r="E216" s="720">
        <f t="shared" si="56"/>
        <v>11941.530054644809</v>
      </c>
      <c r="F216" s="720">
        <f t="shared" si="56"/>
        <v>138524.59016393442</v>
      </c>
      <c r="G216" s="720">
        <f t="shared" si="56"/>
        <v>129644.8087431694</v>
      </c>
      <c r="H216" s="25">
        <f t="shared" si="57"/>
        <v>10878306.797814209</v>
      </c>
      <c r="I216" s="720">
        <v>585</v>
      </c>
      <c r="J216" s="720">
        <f t="shared" si="53"/>
        <v>18595.396235579843</v>
      </c>
      <c r="K216" s="659"/>
      <c r="L216" s="801" t="s">
        <v>1198</v>
      </c>
      <c r="M216" s="733">
        <f t="shared" si="58"/>
        <v>41523</v>
      </c>
      <c r="N216" s="733">
        <v>41526</v>
      </c>
      <c r="O216" s="734" t="s">
        <v>1091</v>
      </c>
      <c r="P216" s="298">
        <f>I216*(4/5)</f>
        <v>468</v>
      </c>
      <c r="Q216" s="765">
        <v>22301</v>
      </c>
      <c r="R216" s="25">
        <f t="shared" si="49"/>
        <v>10436868</v>
      </c>
      <c r="S216" s="442"/>
      <c r="T216" s="735"/>
      <c r="U216" s="765"/>
      <c r="V216" s="765"/>
      <c r="W216" s="25"/>
    </row>
    <row r="217" spans="1:23" ht="13.5" customHeight="1">
      <c r="A217" s="719">
        <f t="shared" si="59"/>
        <v>74</v>
      </c>
      <c r="B217" s="290" t="s">
        <v>909</v>
      </c>
      <c r="C217" s="25">
        <f t="shared" si="55"/>
        <v>4185000</v>
      </c>
      <c r="D217" s="720">
        <f t="shared" si="56"/>
        <v>82732.240437158471</v>
      </c>
      <c r="E217" s="720">
        <f t="shared" si="56"/>
        <v>6123.8615664845174</v>
      </c>
      <c r="F217" s="720">
        <f t="shared" si="56"/>
        <v>71038.251366120225</v>
      </c>
      <c r="G217" s="720">
        <f t="shared" si="56"/>
        <v>66484.51730418943</v>
      </c>
      <c r="H217" s="25">
        <f t="shared" si="57"/>
        <v>4411378.8706739526</v>
      </c>
      <c r="I217" s="720">
        <v>300</v>
      </c>
      <c r="J217" s="720">
        <f t="shared" si="53"/>
        <v>14704.596235579842</v>
      </c>
      <c r="K217" s="659"/>
      <c r="L217" s="801" t="s">
        <v>1217</v>
      </c>
      <c r="M217" s="733">
        <f t="shared" si="58"/>
        <v>41523</v>
      </c>
      <c r="N217" s="733">
        <v>41526</v>
      </c>
      <c r="O217" s="734" t="s">
        <v>1091</v>
      </c>
      <c r="P217" s="298">
        <v>150</v>
      </c>
      <c r="Q217" s="765">
        <v>27900</v>
      </c>
      <c r="R217" s="25">
        <f t="shared" si="49"/>
        <v>4185000</v>
      </c>
      <c r="S217" s="442"/>
      <c r="T217" s="735"/>
      <c r="U217" s="765"/>
      <c r="V217" s="765"/>
      <c r="W217" s="25"/>
    </row>
    <row r="218" spans="1:23" ht="13.5" customHeight="1">
      <c r="A218" s="719">
        <f t="shared" si="59"/>
        <v>75</v>
      </c>
      <c r="B218" s="290" t="s">
        <v>1116</v>
      </c>
      <c r="C218" s="25">
        <f t="shared" si="55"/>
        <v>9812440</v>
      </c>
      <c r="D218" s="720">
        <f t="shared" si="56"/>
        <v>739074.68123861577</v>
      </c>
      <c r="E218" s="720">
        <f t="shared" si="56"/>
        <v>54706.496660595025</v>
      </c>
      <c r="F218" s="720">
        <f t="shared" si="56"/>
        <v>634608.37887067394</v>
      </c>
      <c r="G218" s="720">
        <f t="shared" si="56"/>
        <v>593928.35458409227</v>
      </c>
      <c r="H218" s="25">
        <f t="shared" si="57"/>
        <v>11834757.911353977</v>
      </c>
      <c r="I218" s="720">
        <v>2680</v>
      </c>
      <c r="J218" s="720">
        <f t="shared" si="53"/>
        <v>4415.9544445350666</v>
      </c>
      <c r="K218" s="659"/>
      <c r="L218" s="801" t="s">
        <v>1198</v>
      </c>
      <c r="M218" s="733">
        <f t="shared" si="58"/>
        <v>41523</v>
      </c>
      <c r="N218" s="733">
        <v>41526</v>
      </c>
      <c r="O218" s="734" t="s">
        <v>891</v>
      </c>
      <c r="P218" s="298">
        <v>440</v>
      </c>
      <c r="Q218" s="249">
        <v>22301</v>
      </c>
      <c r="R218" s="25">
        <f t="shared" si="49"/>
        <v>9812440</v>
      </c>
      <c r="S218" s="442"/>
      <c r="T218" s="735"/>
      <c r="U218" s="765"/>
      <c r="V218" s="765"/>
      <c r="W218" s="25"/>
    </row>
    <row r="219" spans="1:23" ht="13.5" customHeight="1">
      <c r="A219" s="719">
        <f t="shared" si="59"/>
        <v>76</v>
      </c>
      <c r="B219" s="290" t="s">
        <v>892</v>
      </c>
      <c r="C219" s="25">
        <f t="shared" si="55"/>
        <v>1086300</v>
      </c>
      <c r="D219" s="720">
        <f t="shared" si="56"/>
        <v>27577.413479052826</v>
      </c>
      <c r="E219" s="720">
        <f t="shared" si="56"/>
        <v>2041.2871888281725</v>
      </c>
      <c r="F219" s="720">
        <f t="shared" si="56"/>
        <v>23679.417122040071</v>
      </c>
      <c r="G219" s="720">
        <f t="shared" si="56"/>
        <v>22161.505768063143</v>
      </c>
      <c r="H219" s="25">
        <f t="shared" si="57"/>
        <v>1161759.6235579844</v>
      </c>
      <c r="I219" s="720">
        <v>100</v>
      </c>
      <c r="J219" s="720">
        <f t="shared" si="53"/>
        <v>11617.596235579844</v>
      </c>
      <c r="K219" s="659"/>
      <c r="L219" s="801" t="s">
        <v>1248</v>
      </c>
      <c r="M219" s="733">
        <f t="shared" si="58"/>
        <v>41525</v>
      </c>
      <c r="N219" s="733">
        <v>41528</v>
      </c>
      <c r="O219" s="734" t="s">
        <v>893</v>
      </c>
      <c r="P219" s="298">
        <f>I219</f>
        <v>100</v>
      </c>
      <c r="Q219" s="765">
        <v>10863</v>
      </c>
      <c r="R219" s="25">
        <f t="shared" si="49"/>
        <v>1086300</v>
      </c>
      <c r="S219" s="442"/>
      <c r="T219" s="735"/>
      <c r="U219" s="765"/>
      <c r="V219" s="765"/>
      <c r="W219" s="25"/>
    </row>
    <row r="220" spans="1:23" ht="13.5" customHeight="1">
      <c r="A220" s="719">
        <f t="shared" si="59"/>
        <v>77</v>
      </c>
      <c r="B220" s="290" t="s">
        <v>895</v>
      </c>
      <c r="C220" s="25">
        <f t="shared" si="55"/>
        <v>1338750</v>
      </c>
      <c r="D220" s="720">
        <f t="shared" si="56"/>
        <v>28128.961748633883</v>
      </c>
      <c r="E220" s="720">
        <f t="shared" si="56"/>
        <v>2082.1129326047358</v>
      </c>
      <c r="F220" s="720">
        <f t="shared" si="56"/>
        <v>24153.005464480873</v>
      </c>
      <c r="G220" s="720">
        <f t="shared" si="56"/>
        <v>22604.735883424408</v>
      </c>
      <c r="H220" s="25">
        <f t="shared" si="57"/>
        <v>1415718.816029144</v>
      </c>
      <c r="I220" s="720">
        <v>102</v>
      </c>
      <c r="J220" s="720">
        <f t="shared" si="53"/>
        <v>13879.596235579844</v>
      </c>
      <c r="K220" s="659"/>
      <c r="L220" s="801" t="s">
        <v>1259</v>
      </c>
      <c r="M220" s="733">
        <f t="shared" si="58"/>
        <v>41525</v>
      </c>
      <c r="N220" s="733">
        <v>41528</v>
      </c>
      <c r="O220" s="734" t="s">
        <v>893</v>
      </c>
      <c r="P220" s="298">
        <f>I220</f>
        <v>102</v>
      </c>
      <c r="Q220" s="765">
        <v>13125</v>
      </c>
      <c r="R220" s="25">
        <f t="shared" si="49"/>
        <v>1338750</v>
      </c>
      <c r="S220" s="442"/>
      <c r="T220" s="735"/>
      <c r="U220" s="765"/>
      <c r="V220" s="765"/>
      <c r="W220" s="25"/>
    </row>
    <row r="221" spans="1:23" ht="13.5" customHeight="1">
      <c r="A221" s="719">
        <f t="shared" si="59"/>
        <v>78</v>
      </c>
      <c r="B221" s="290" t="s">
        <v>805</v>
      </c>
      <c r="C221" s="25">
        <f t="shared" si="55"/>
        <v>8394719</v>
      </c>
      <c r="D221" s="720">
        <f t="shared" si="56"/>
        <v>273567.94171220402</v>
      </c>
      <c r="E221" s="720">
        <f t="shared" si="56"/>
        <v>20249.56891317547</v>
      </c>
      <c r="F221" s="720">
        <f t="shared" si="56"/>
        <v>234899.81785063751</v>
      </c>
      <c r="G221" s="720">
        <f t="shared" si="56"/>
        <v>219842.13721918641</v>
      </c>
      <c r="H221" s="25">
        <f t="shared" si="57"/>
        <v>9143278.4656952042</v>
      </c>
      <c r="I221" s="720">
        <v>992</v>
      </c>
      <c r="J221" s="720">
        <f t="shared" si="53"/>
        <v>9217.014582354037</v>
      </c>
      <c r="K221" s="659"/>
      <c r="L221" s="189" t="s">
        <v>619</v>
      </c>
      <c r="M221" s="733">
        <f t="shared" si="58"/>
        <v>41530</v>
      </c>
      <c r="N221" s="733">
        <v>41533</v>
      </c>
      <c r="O221" s="734" t="s">
        <v>896</v>
      </c>
      <c r="P221" s="298">
        <f>I221</f>
        <v>992</v>
      </c>
      <c r="Q221" s="765">
        <v>8462.418420401089</v>
      </c>
      <c r="R221" s="25">
        <f t="shared" si="49"/>
        <v>8394719</v>
      </c>
      <c r="S221" s="442"/>
      <c r="T221" s="735"/>
      <c r="U221" s="765"/>
      <c r="V221" s="765"/>
      <c r="W221" s="25"/>
    </row>
    <row r="222" spans="1:23" ht="13.5" customHeight="1">
      <c r="A222" s="719">
        <f t="shared" si="59"/>
        <v>79</v>
      </c>
      <c r="B222" s="290" t="s">
        <v>834</v>
      </c>
      <c r="C222" s="25">
        <f t="shared" si="55"/>
        <v>9875389</v>
      </c>
      <c r="D222" s="720">
        <f t="shared" si="56"/>
        <v>136783.97085610201</v>
      </c>
      <c r="E222" s="720">
        <f t="shared" si="56"/>
        <v>10124.784456587735</v>
      </c>
      <c r="F222" s="720">
        <f t="shared" si="56"/>
        <v>117449.90892531876</v>
      </c>
      <c r="G222" s="720">
        <f t="shared" si="56"/>
        <v>109921.0686095932</v>
      </c>
      <c r="H222" s="25">
        <f t="shared" si="57"/>
        <v>10249668.732847603</v>
      </c>
      <c r="I222" s="720">
        <v>496</v>
      </c>
      <c r="J222" s="720">
        <f t="shared" si="53"/>
        <v>20664.654703321779</v>
      </c>
      <c r="K222" s="659"/>
      <c r="L222" s="801" t="s">
        <v>1209</v>
      </c>
      <c r="M222" s="733">
        <f t="shared" si="58"/>
        <v>41532</v>
      </c>
      <c r="N222" s="733">
        <v>41535</v>
      </c>
      <c r="O222" s="734" t="s">
        <v>897</v>
      </c>
      <c r="P222" s="298">
        <f>I222</f>
        <v>496</v>
      </c>
      <c r="Q222" s="249">
        <v>19910.059393752887</v>
      </c>
      <c r="R222" s="25">
        <f t="shared" si="49"/>
        <v>9875389</v>
      </c>
      <c r="S222" s="442"/>
      <c r="T222" s="735"/>
      <c r="U222" s="765"/>
      <c r="V222" s="765"/>
      <c r="W222" s="25"/>
    </row>
    <row r="223" spans="1:23" ht="13.5" customHeight="1">
      <c r="A223" s="719">
        <f t="shared" si="59"/>
        <v>80</v>
      </c>
      <c r="B223" s="290" t="s">
        <v>898</v>
      </c>
      <c r="C223" s="25">
        <f t="shared" si="55"/>
        <v>589000</v>
      </c>
      <c r="D223" s="720">
        <f t="shared" si="56"/>
        <v>81077.595628415307</v>
      </c>
      <c r="E223" s="720">
        <f t="shared" si="56"/>
        <v>6001.3843351548267</v>
      </c>
      <c r="F223" s="720">
        <f t="shared" si="56"/>
        <v>69617.486338797811</v>
      </c>
      <c r="G223" s="720">
        <f t="shared" si="56"/>
        <v>65154.826958105645</v>
      </c>
      <c r="H223" s="25">
        <f t="shared" si="57"/>
        <v>810851.29326047364</v>
      </c>
      <c r="I223" s="720">
        <v>294</v>
      </c>
      <c r="J223" s="720">
        <f t="shared" si="53"/>
        <v>2757.9975961240598</v>
      </c>
      <c r="K223" s="659"/>
      <c r="L223" s="801" t="s">
        <v>1135</v>
      </c>
      <c r="M223" s="733">
        <f t="shared" si="58"/>
        <v>41533</v>
      </c>
      <c r="N223" s="733">
        <v>41536</v>
      </c>
      <c r="O223" s="734" t="s">
        <v>899</v>
      </c>
      <c r="P223" s="298">
        <v>50</v>
      </c>
      <c r="Q223" s="781">
        <v>11780</v>
      </c>
      <c r="R223" s="25">
        <f t="shared" si="49"/>
        <v>589000</v>
      </c>
      <c r="S223" s="442"/>
      <c r="T223" s="735"/>
      <c r="U223" s="765"/>
      <c r="V223" s="765"/>
      <c r="W223" s="25"/>
    </row>
    <row r="224" spans="1:23" ht="13.5" customHeight="1">
      <c r="A224" s="719">
        <f t="shared" si="59"/>
        <v>81</v>
      </c>
      <c r="B224" s="290" t="s">
        <v>854</v>
      </c>
      <c r="C224" s="25">
        <f t="shared" si="55"/>
        <v>3420000</v>
      </c>
      <c r="D224" s="720">
        <f t="shared" ref="D224:G241" si="60">IF($I$243&lt;&gt;0,D$243/$I$243*$I224,0)</f>
        <v>140644.80874316941</v>
      </c>
      <c r="E224" s="720">
        <f t="shared" si="60"/>
        <v>10410.564663023679</v>
      </c>
      <c r="F224" s="720">
        <f t="shared" si="60"/>
        <v>120765.02732240438</v>
      </c>
      <c r="G224" s="720">
        <f t="shared" si="60"/>
        <v>113023.67941712204</v>
      </c>
      <c r="H224" s="25">
        <f t="shared" si="57"/>
        <v>3804844.0801457199</v>
      </c>
      <c r="I224" s="720">
        <v>510</v>
      </c>
      <c r="J224" s="720">
        <f t="shared" si="53"/>
        <v>7460.4785885210194</v>
      </c>
      <c r="K224" s="659"/>
      <c r="L224" s="801" t="s">
        <v>1205</v>
      </c>
      <c r="M224" s="733">
        <f t="shared" si="58"/>
        <v>41534</v>
      </c>
      <c r="N224" s="733">
        <v>41537</v>
      </c>
      <c r="O224" s="734" t="s">
        <v>900</v>
      </c>
      <c r="P224" s="298">
        <v>150</v>
      </c>
      <c r="Q224" s="765">
        <v>22800</v>
      </c>
      <c r="R224" s="25">
        <f t="shared" si="49"/>
        <v>3420000</v>
      </c>
      <c r="S224" s="442"/>
      <c r="T224" s="735"/>
      <c r="U224" s="765"/>
      <c r="V224" s="765"/>
      <c r="W224" s="25"/>
    </row>
    <row r="225" spans="1:23" ht="13.5" customHeight="1">
      <c r="A225" s="719">
        <f>IF(B225&lt;&gt;"",A224+1,"")</f>
        <v>82</v>
      </c>
      <c r="B225" s="290" t="s">
        <v>711</v>
      </c>
      <c r="C225" s="25">
        <f t="shared" si="55"/>
        <v>6590230</v>
      </c>
      <c r="D225" s="720">
        <f t="shared" si="60"/>
        <v>91281.238615664857</v>
      </c>
      <c r="E225" s="720">
        <f t="shared" si="60"/>
        <v>6756.6605950212506</v>
      </c>
      <c r="F225" s="720">
        <f t="shared" si="60"/>
        <v>78378.870673952639</v>
      </c>
      <c r="G225" s="720">
        <f t="shared" si="60"/>
        <v>73354.584092289006</v>
      </c>
      <c r="H225" s="25">
        <f t="shared" si="57"/>
        <v>6840001.3539769277</v>
      </c>
      <c r="I225" s="720">
        <v>331</v>
      </c>
      <c r="J225" s="720">
        <f t="shared" si="53"/>
        <v>20664.656658540567</v>
      </c>
      <c r="K225" s="659"/>
      <c r="L225" s="801" t="s">
        <v>1209</v>
      </c>
      <c r="M225" s="733">
        <f t="shared" si="58"/>
        <v>41535</v>
      </c>
      <c r="N225" s="733">
        <v>41538</v>
      </c>
      <c r="O225" s="734" t="s">
        <v>901</v>
      </c>
      <c r="P225" s="298">
        <f>I225</f>
        <v>331</v>
      </c>
      <c r="Q225" s="249">
        <v>19910.059393752887</v>
      </c>
      <c r="R225" s="25">
        <f t="shared" si="49"/>
        <v>6590230</v>
      </c>
      <c r="S225" s="442"/>
      <c r="T225" s="735"/>
      <c r="U225" s="765"/>
      <c r="V225" s="765"/>
      <c r="W225" s="25"/>
    </row>
    <row r="226" spans="1:23" ht="13.5" customHeight="1">
      <c r="A226" s="719">
        <f t="shared" si="59"/>
        <v>83</v>
      </c>
      <c r="B226" s="290" t="s">
        <v>852</v>
      </c>
      <c r="C226" s="25">
        <f t="shared" si="55"/>
        <v>3028800</v>
      </c>
      <c r="D226" s="720">
        <f t="shared" si="60"/>
        <v>118582.87795992715</v>
      </c>
      <c r="E226" s="720">
        <f t="shared" si="60"/>
        <v>8777.5349119611419</v>
      </c>
      <c r="F226" s="720">
        <f t="shared" si="60"/>
        <v>101821.49362477231</v>
      </c>
      <c r="G226" s="720">
        <f t="shared" si="60"/>
        <v>95294.474802671524</v>
      </c>
      <c r="H226" s="25">
        <f t="shared" si="57"/>
        <v>3353276.3812993322</v>
      </c>
      <c r="I226" s="720">
        <v>430</v>
      </c>
      <c r="J226" s="720">
        <f t="shared" si="53"/>
        <v>7798.3171658124002</v>
      </c>
      <c r="K226" s="659"/>
      <c r="L226" s="801" t="s">
        <v>1203</v>
      </c>
      <c r="M226" s="733">
        <f t="shared" si="58"/>
        <v>41537</v>
      </c>
      <c r="N226" s="733">
        <v>41540</v>
      </c>
      <c r="O226" s="734" t="s">
        <v>1092</v>
      </c>
      <c r="P226" s="298">
        <v>240</v>
      </c>
      <c r="Q226" s="249">
        <v>12620</v>
      </c>
      <c r="R226" s="25">
        <f t="shared" si="49"/>
        <v>3028800</v>
      </c>
      <c r="S226" s="442"/>
      <c r="T226" s="735"/>
      <c r="U226" s="765"/>
      <c r="V226" s="765"/>
      <c r="W226" s="25"/>
    </row>
    <row r="227" spans="1:23" ht="13.5" customHeight="1">
      <c r="A227" s="719">
        <f t="shared" si="59"/>
        <v>84</v>
      </c>
      <c r="B227" s="290" t="s">
        <v>1100</v>
      </c>
      <c r="C227" s="25">
        <f t="shared" si="55"/>
        <v>2342970</v>
      </c>
      <c r="D227" s="720">
        <f t="shared" si="60"/>
        <v>55154.826958105652</v>
      </c>
      <c r="E227" s="720">
        <f t="shared" si="60"/>
        <v>4082.574377656345</v>
      </c>
      <c r="F227" s="720">
        <f t="shared" si="60"/>
        <v>47358.834244080143</v>
      </c>
      <c r="G227" s="720">
        <f t="shared" si="60"/>
        <v>44323.011536126287</v>
      </c>
      <c r="H227" s="25">
        <f t="shared" si="57"/>
        <v>2493889.2471159687</v>
      </c>
      <c r="I227" s="720">
        <v>200</v>
      </c>
      <c r="J227" s="720">
        <f t="shared" si="53"/>
        <v>12469.446235579844</v>
      </c>
      <c r="K227" s="659"/>
      <c r="L227" s="801" t="s">
        <v>1163</v>
      </c>
      <c r="M227" s="733">
        <f t="shared" si="58"/>
        <v>41537</v>
      </c>
      <c r="N227" s="733">
        <v>41540</v>
      </c>
      <c r="O227" s="734" t="s">
        <v>1092</v>
      </c>
      <c r="P227" s="298">
        <v>210</v>
      </c>
      <c r="Q227" s="765">
        <v>11157</v>
      </c>
      <c r="R227" s="25">
        <f t="shared" si="49"/>
        <v>2342970</v>
      </c>
      <c r="S227" s="442"/>
      <c r="T227" s="735"/>
      <c r="U227" s="765"/>
      <c r="V227" s="765"/>
      <c r="W227" s="25"/>
    </row>
    <row r="228" spans="1:23" ht="13.5" customHeight="1">
      <c r="A228" s="719">
        <f t="shared" si="59"/>
        <v>85</v>
      </c>
      <c r="B228" s="290" t="s">
        <v>1098</v>
      </c>
      <c r="C228" s="25">
        <f t="shared" si="55"/>
        <v>1294157</v>
      </c>
      <c r="D228" s="720">
        <f t="shared" si="60"/>
        <v>29783.60655737705</v>
      </c>
      <c r="E228" s="720">
        <f t="shared" si="60"/>
        <v>2204.5901639344261</v>
      </c>
      <c r="F228" s="720">
        <f t="shared" si="60"/>
        <v>25573.77049180328</v>
      </c>
      <c r="G228" s="720">
        <f t="shared" si="60"/>
        <v>23934.426229508197</v>
      </c>
      <c r="H228" s="25">
        <f t="shared" si="57"/>
        <v>1375653.3934426231</v>
      </c>
      <c r="I228" s="720">
        <v>108</v>
      </c>
      <c r="J228" s="720">
        <f t="shared" si="53"/>
        <v>12737.531420765028</v>
      </c>
      <c r="K228" s="659"/>
      <c r="L228" s="801" t="s">
        <v>1197</v>
      </c>
      <c r="M228" s="733">
        <f t="shared" si="58"/>
        <v>41537</v>
      </c>
      <c r="N228" s="733">
        <v>41540</v>
      </c>
      <c r="O228" s="734" t="s">
        <v>1092</v>
      </c>
      <c r="P228" s="298">
        <v>109</v>
      </c>
      <c r="Q228" s="765">
        <v>11873</v>
      </c>
      <c r="R228" s="25">
        <f t="shared" si="49"/>
        <v>1294157</v>
      </c>
      <c r="S228" s="442"/>
      <c r="T228" s="735"/>
      <c r="U228" s="765"/>
      <c r="V228" s="765"/>
      <c r="W228" s="25"/>
    </row>
    <row r="229" spans="1:23" ht="13.5" customHeight="1">
      <c r="A229" s="719">
        <f t="shared" si="59"/>
        <v>86</v>
      </c>
      <c r="B229" s="290" t="s">
        <v>1101</v>
      </c>
      <c r="C229" s="25">
        <f t="shared" si="55"/>
        <v>1570740</v>
      </c>
      <c r="D229" s="720">
        <f t="shared" si="60"/>
        <v>70873.952641165757</v>
      </c>
      <c r="E229" s="720">
        <f t="shared" si="60"/>
        <v>5246.1080752884036</v>
      </c>
      <c r="F229" s="720">
        <f t="shared" si="60"/>
        <v>60856.102003642984</v>
      </c>
      <c r="G229" s="720">
        <f t="shared" si="60"/>
        <v>56955.069823922284</v>
      </c>
      <c r="H229" s="25">
        <f t="shared" si="57"/>
        <v>1764671.2325440196</v>
      </c>
      <c r="I229" s="720">
        <v>257</v>
      </c>
      <c r="J229" s="720">
        <f t="shared" si="53"/>
        <v>6866.4250293541618</v>
      </c>
      <c r="K229" s="659"/>
      <c r="L229" s="801" t="s">
        <v>1144</v>
      </c>
      <c r="M229" s="733">
        <f t="shared" si="58"/>
        <v>41537</v>
      </c>
      <c r="N229" s="733">
        <v>41540</v>
      </c>
      <c r="O229" s="734" t="s">
        <v>1092</v>
      </c>
      <c r="P229" s="298">
        <v>60</v>
      </c>
      <c r="Q229" s="765">
        <v>26179</v>
      </c>
      <c r="R229" s="25">
        <f t="shared" si="49"/>
        <v>1570740</v>
      </c>
      <c r="S229" s="442"/>
      <c r="T229" s="735"/>
      <c r="U229" s="765"/>
      <c r="V229" s="765"/>
      <c r="W229" s="25"/>
    </row>
    <row r="230" spans="1:23" ht="13.5" customHeight="1">
      <c r="A230" s="719">
        <f t="shared" si="59"/>
        <v>87</v>
      </c>
      <c r="B230" s="290" t="s">
        <v>784</v>
      </c>
      <c r="C230" s="25">
        <f t="shared" si="55"/>
        <v>6784000</v>
      </c>
      <c r="D230" s="720">
        <f t="shared" si="60"/>
        <v>116928.23315118397</v>
      </c>
      <c r="E230" s="720">
        <f t="shared" si="60"/>
        <v>8655.0576806314511</v>
      </c>
      <c r="F230" s="720">
        <f t="shared" si="60"/>
        <v>100400.72859744991</v>
      </c>
      <c r="G230" s="720">
        <f t="shared" si="60"/>
        <v>93964.784456587731</v>
      </c>
      <c r="H230" s="25">
        <f t="shared" si="57"/>
        <v>7103948.8038858529</v>
      </c>
      <c r="I230" s="720">
        <v>424</v>
      </c>
      <c r="J230" s="720">
        <f t="shared" si="53"/>
        <v>16754.59623557984</v>
      </c>
      <c r="K230" s="659"/>
      <c r="L230" s="189" t="s">
        <v>657</v>
      </c>
      <c r="M230" s="733">
        <f t="shared" si="58"/>
        <v>41537</v>
      </c>
      <c r="N230" s="733">
        <v>41540</v>
      </c>
      <c r="O230" s="734" t="s">
        <v>902</v>
      </c>
      <c r="P230" s="298">
        <f>I230</f>
        <v>424</v>
      </c>
      <c r="Q230" s="765">
        <v>16000</v>
      </c>
      <c r="R230" s="25">
        <f t="shared" si="49"/>
        <v>6784000</v>
      </c>
      <c r="S230" s="442"/>
      <c r="T230" s="735"/>
      <c r="U230" s="765"/>
      <c r="V230" s="765"/>
      <c r="W230" s="25"/>
    </row>
    <row r="231" spans="1:23" ht="13.5" customHeight="1">
      <c r="A231" s="719">
        <f t="shared" si="59"/>
        <v>88</v>
      </c>
      <c r="B231" s="290" t="s">
        <v>856</v>
      </c>
      <c r="C231" s="25">
        <f t="shared" si="55"/>
        <v>5802390</v>
      </c>
      <c r="D231" s="720">
        <f t="shared" si="60"/>
        <v>270258.65209471766</v>
      </c>
      <c r="E231" s="720">
        <f t="shared" si="60"/>
        <v>20004.614450516092</v>
      </c>
      <c r="F231" s="720">
        <f t="shared" si="60"/>
        <v>232058.28779599271</v>
      </c>
      <c r="G231" s="720">
        <f t="shared" si="60"/>
        <v>217182.75652701882</v>
      </c>
      <c r="H231" s="25">
        <f t="shared" si="57"/>
        <v>6541894.3108682455</v>
      </c>
      <c r="I231" s="720">
        <v>980</v>
      </c>
      <c r="J231" s="720">
        <f t="shared" si="53"/>
        <v>6675.4023580288222</v>
      </c>
      <c r="K231" s="659"/>
      <c r="L231" s="189" t="s">
        <v>646</v>
      </c>
      <c r="M231" s="733">
        <f t="shared" si="58"/>
        <v>41537</v>
      </c>
      <c r="N231" s="733">
        <v>41540</v>
      </c>
      <c r="O231" s="734" t="s">
        <v>903</v>
      </c>
      <c r="P231" s="298">
        <v>495</v>
      </c>
      <c r="Q231" s="765">
        <v>11722</v>
      </c>
      <c r="R231" s="25">
        <f t="shared" si="49"/>
        <v>5802390</v>
      </c>
      <c r="S231" s="442"/>
      <c r="T231" s="735"/>
      <c r="U231" s="765"/>
      <c r="V231" s="765"/>
      <c r="W231" s="25"/>
    </row>
    <row r="232" spans="1:23" ht="13.5" customHeight="1">
      <c r="A232" s="719">
        <f t="shared" si="59"/>
        <v>89</v>
      </c>
      <c r="B232" s="290" t="s">
        <v>1116</v>
      </c>
      <c r="C232" s="25">
        <f t="shared" si="55"/>
        <v>8959527</v>
      </c>
      <c r="D232" s="720">
        <f t="shared" si="60"/>
        <v>744590.16393442627</v>
      </c>
      <c r="E232" s="720">
        <f t="shared" si="60"/>
        <v>55114.75409836066</v>
      </c>
      <c r="F232" s="720">
        <f t="shared" si="60"/>
        <v>639344.26229508198</v>
      </c>
      <c r="G232" s="720">
        <f t="shared" si="60"/>
        <v>598360.65573770495</v>
      </c>
      <c r="H232" s="25">
        <f t="shared" si="57"/>
        <v>10996936.836065575</v>
      </c>
      <c r="I232" s="720">
        <v>2700</v>
      </c>
      <c r="J232" s="720">
        <f t="shared" si="53"/>
        <v>4072.9395689131761</v>
      </c>
      <c r="K232" s="659"/>
      <c r="L232" s="801" t="s">
        <v>1209</v>
      </c>
      <c r="M232" s="733">
        <f t="shared" si="58"/>
        <v>41539</v>
      </c>
      <c r="N232" s="733">
        <v>41542</v>
      </c>
      <c r="O232" s="734" t="s">
        <v>904</v>
      </c>
      <c r="P232" s="298">
        <f>I232/6</f>
        <v>450</v>
      </c>
      <c r="Q232" s="765">
        <v>19910.059351276741</v>
      </c>
      <c r="R232" s="25">
        <f t="shared" si="49"/>
        <v>8959527</v>
      </c>
      <c r="S232" s="442"/>
      <c r="T232" s="735"/>
      <c r="U232" s="765"/>
      <c r="V232" s="765"/>
      <c r="W232" s="25"/>
    </row>
    <row r="233" spans="1:23" ht="13.5" customHeight="1">
      <c r="A233" s="719">
        <f t="shared" si="59"/>
        <v>90</v>
      </c>
      <c r="B233" s="290" t="s">
        <v>1119</v>
      </c>
      <c r="C233" s="25">
        <f t="shared" si="55"/>
        <v>9284352</v>
      </c>
      <c r="D233" s="720">
        <f t="shared" si="60"/>
        <v>965209.47176684893</v>
      </c>
      <c r="E233" s="720">
        <f t="shared" si="60"/>
        <v>71445.051608986032</v>
      </c>
      <c r="F233" s="720">
        <f t="shared" si="60"/>
        <v>828779.59927140258</v>
      </c>
      <c r="G233" s="720">
        <f t="shared" si="60"/>
        <v>775652.70188221009</v>
      </c>
      <c r="H233" s="25">
        <f t="shared" si="57"/>
        <v>11925438.824529445</v>
      </c>
      <c r="I233" s="720">
        <v>3500</v>
      </c>
      <c r="J233" s="720">
        <f t="shared" si="53"/>
        <v>3407.2682355798415</v>
      </c>
      <c r="K233" s="659"/>
      <c r="L233" s="189" t="s">
        <v>560</v>
      </c>
      <c r="M233" s="733">
        <f t="shared" si="58"/>
        <v>41540</v>
      </c>
      <c r="N233" s="733">
        <v>41543</v>
      </c>
      <c r="O233" s="734" t="s">
        <v>905</v>
      </c>
      <c r="P233" s="298">
        <v>314</v>
      </c>
      <c r="Q233" s="765">
        <v>29568</v>
      </c>
      <c r="R233" s="25">
        <f t="shared" si="49"/>
        <v>9284352</v>
      </c>
      <c r="S233" s="442"/>
      <c r="T233" s="735"/>
      <c r="U233" s="765"/>
      <c r="V233" s="765"/>
      <c r="W233" s="25"/>
    </row>
    <row r="234" spans="1:23" ht="13.5" customHeight="1">
      <c r="A234" s="719">
        <f t="shared" si="59"/>
        <v>91</v>
      </c>
      <c r="B234" s="290" t="s">
        <v>805</v>
      </c>
      <c r="C234" s="25">
        <f t="shared" si="55"/>
        <v>8496268</v>
      </c>
      <c r="D234" s="720">
        <f t="shared" si="60"/>
        <v>276877.23132969037</v>
      </c>
      <c r="E234" s="720">
        <f t="shared" si="60"/>
        <v>20494.523375834851</v>
      </c>
      <c r="F234" s="720">
        <f t="shared" si="60"/>
        <v>237741.34790528234</v>
      </c>
      <c r="G234" s="720">
        <f t="shared" si="60"/>
        <v>222501.51791135396</v>
      </c>
      <c r="H234" s="25">
        <f t="shared" si="57"/>
        <v>9253882.6205221619</v>
      </c>
      <c r="I234" s="720">
        <v>1004</v>
      </c>
      <c r="J234" s="720">
        <f t="shared" si="53"/>
        <v>9217.0145622730688</v>
      </c>
      <c r="K234" s="659"/>
      <c r="L234" s="189" t="s">
        <v>619</v>
      </c>
      <c r="M234" s="733">
        <f t="shared" si="58"/>
        <v>41544</v>
      </c>
      <c r="N234" s="733">
        <v>41547</v>
      </c>
      <c r="O234" s="734" t="s">
        <v>906</v>
      </c>
      <c r="P234" s="298">
        <f>I234</f>
        <v>1004</v>
      </c>
      <c r="Q234" s="765">
        <v>8462.418420401089</v>
      </c>
      <c r="R234" s="25">
        <f t="shared" si="49"/>
        <v>8496268</v>
      </c>
      <c r="S234" s="442"/>
      <c r="T234" s="735"/>
      <c r="U234" s="765"/>
      <c r="V234" s="765"/>
      <c r="W234" s="25"/>
    </row>
    <row r="235" spans="1:23" ht="13.5" customHeight="1">
      <c r="A235" s="719">
        <f t="shared" si="59"/>
        <v>92</v>
      </c>
      <c r="B235" s="290" t="s">
        <v>907</v>
      </c>
      <c r="C235" s="25">
        <f t="shared" si="55"/>
        <v>9366420</v>
      </c>
      <c r="D235" s="720">
        <f t="shared" si="60"/>
        <v>144781.42076502735</v>
      </c>
      <c r="E235" s="720">
        <f t="shared" si="60"/>
        <v>10716.757741347905</v>
      </c>
      <c r="F235" s="720">
        <f t="shared" si="60"/>
        <v>124316.93989071038</v>
      </c>
      <c r="G235" s="720">
        <f t="shared" si="60"/>
        <v>116347.90528233151</v>
      </c>
      <c r="H235" s="25">
        <f t="shared" si="57"/>
        <v>9762583.0236794185</v>
      </c>
      <c r="I235" s="720">
        <v>525</v>
      </c>
      <c r="J235" s="720">
        <f t="shared" si="53"/>
        <v>18595.396235579843</v>
      </c>
      <c r="K235" s="659"/>
      <c r="L235" s="801" t="s">
        <v>1198</v>
      </c>
      <c r="M235" s="733">
        <f t="shared" si="58"/>
        <v>41544</v>
      </c>
      <c r="N235" s="733">
        <v>41547</v>
      </c>
      <c r="O235" s="734" t="s">
        <v>908</v>
      </c>
      <c r="P235" s="298">
        <f>I235*(4/5)</f>
        <v>420</v>
      </c>
      <c r="Q235" s="765">
        <v>22301</v>
      </c>
      <c r="R235" s="25">
        <f t="shared" si="49"/>
        <v>9366420</v>
      </c>
      <c r="S235" s="442"/>
      <c r="T235" s="735"/>
      <c r="U235" s="765"/>
      <c r="V235" s="765"/>
      <c r="W235" s="25"/>
    </row>
    <row r="236" spans="1:23" ht="13.5" customHeight="1">
      <c r="A236" s="719">
        <f t="shared" si="59"/>
        <v>93</v>
      </c>
      <c r="B236" s="290" t="s">
        <v>909</v>
      </c>
      <c r="C236" s="25">
        <f t="shared" si="55"/>
        <v>5085696</v>
      </c>
      <c r="D236" s="720">
        <f t="shared" si="60"/>
        <v>94866.302367941724</v>
      </c>
      <c r="E236" s="720">
        <f t="shared" si="60"/>
        <v>7022.0279295689134</v>
      </c>
      <c r="F236" s="720">
        <f t="shared" si="60"/>
        <v>81457.194899817856</v>
      </c>
      <c r="G236" s="720">
        <f t="shared" si="60"/>
        <v>76235.579842137216</v>
      </c>
      <c r="H236" s="25">
        <f t="shared" si="57"/>
        <v>5345277.1050394652</v>
      </c>
      <c r="I236" s="720">
        <v>344</v>
      </c>
      <c r="J236" s="720">
        <f t="shared" si="53"/>
        <v>15538.59623557984</v>
      </c>
      <c r="K236" s="659"/>
      <c r="L236" s="189" t="s">
        <v>560</v>
      </c>
      <c r="M236" s="733">
        <f t="shared" si="58"/>
        <v>41544</v>
      </c>
      <c r="N236" s="733">
        <v>41547</v>
      </c>
      <c r="O236" s="734" t="s">
        <v>908</v>
      </c>
      <c r="P236" s="298">
        <f>I236/2</f>
        <v>172</v>
      </c>
      <c r="Q236" s="765">
        <v>29568</v>
      </c>
      <c r="R236" s="25">
        <f t="shared" si="49"/>
        <v>5085696</v>
      </c>
      <c r="S236" s="442"/>
      <c r="T236" s="735"/>
      <c r="U236" s="765"/>
      <c r="V236" s="765"/>
      <c r="W236" s="25"/>
    </row>
    <row r="237" spans="1:23" ht="13.5" customHeight="1">
      <c r="A237" s="719">
        <f t="shared" si="59"/>
        <v>94</v>
      </c>
      <c r="B237" s="290" t="s">
        <v>910</v>
      </c>
      <c r="C237" s="25">
        <f t="shared" si="55"/>
        <v>3881136</v>
      </c>
      <c r="D237" s="720">
        <f t="shared" si="60"/>
        <v>137611.29326047358</v>
      </c>
      <c r="E237" s="720">
        <f t="shared" si="60"/>
        <v>10186.023072252581</v>
      </c>
      <c r="F237" s="720">
        <f t="shared" si="60"/>
        <v>118160.29143897997</v>
      </c>
      <c r="G237" s="720">
        <f t="shared" si="60"/>
        <v>110585.91378263509</v>
      </c>
      <c r="H237" s="25">
        <f t="shared" si="57"/>
        <v>4257679.5215543415</v>
      </c>
      <c r="I237" s="720">
        <v>499</v>
      </c>
      <c r="J237" s="720">
        <f t="shared" si="53"/>
        <v>8532.4238908904645</v>
      </c>
      <c r="K237" s="659"/>
      <c r="L237" s="801" t="s">
        <v>1221</v>
      </c>
      <c r="M237" s="733">
        <f t="shared" si="58"/>
        <v>41544</v>
      </c>
      <c r="N237" s="733">
        <v>41547</v>
      </c>
      <c r="O237" s="734" t="s">
        <v>911</v>
      </c>
      <c r="P237" s="298">
        <v>168</v>
      </c>
      <c r="Q237" s="765">
        <v>23102</v>
      </c>
      <c r="R237" s="25">
        <f t="shared" si="49"/>
        <v>3881136</v>
      </c>
      <c r="S237" s="442"/>
      <c r="T237" s="735"/>
      <c r="U237" s="765"/>
      <c r="V237" s="765"/>
      <c r="W237" s="25"/>
    </row>
    <row r="238" spans="1:23" ht="13.5" customHeight="1">
      <c r="A238" s="719">
        <f t="shared" si="59"/>
        <v>95</v>
      </c>
      <c r="B238" s="290" t="s">
        <v>912</v>
      </c>
      <c r="C238" s="25">
        <f t="shared" si="55"/>
        <v>1764000</v>
      </c>
      <c r="D238" s="720">
        <f t="shared" si="60"/>
        <v>138714.38979963571</v>
      </c>
      <c r="E238" s="720">
        <f t="shared" si="60"/>
        <v>10267.674559805708</v>
      </c>
      <c r="F238" s="720">
        <f t="shared" si="60"/>
        <v>119107.46812386156</v>
      </c>
      <c r="G238" s="720">
        <f t="shared" si="60"/>
        <v>111472.37401335762</v>
      </c>
      <c r="H238" s="25">
        <f t="shared" si="57"/>
        <v>2143561.9064966608</v>
      </c>
      <c r="I238" s="720">
        <v>503</v>
      </c>
      <c r="J238" s="720">
        <f t="shared" si="53"/>
        <v>4261.5544860768605</v>
      </c>
      <c r="K238" s="659"/>
      <c r="L238" s="189" t="s">
        <v>671</v>
      </c>
      <c r="M238" s="733">
        <f t="shared" si="58"/>
        <v>41544</v>
      </c>
      <c r="N238" s="733">
        <v>41547</v>
      </c>
      <c r="O238" s="734" t="s">
        <v>911</v>
      </c>
      <c r="P238" s="298">
        <v>125</v>
      </c>
      <c r="Q238" s="781">
        <v>14112</v>
      </c>
      <c r="R238" s="25">
        <f t="shared" si="49"/>
        <v>1764000</v>
      </c>
      <c r="S238" s="442"/>
      <c r="T238" s="735"/>
      <c r="U238" s="765"/>
      <c r="V238" s="765"/>
      <c r="W238" s="25"/>
    </row>
    <row r="239" spans="1:23" ht="13.5" customHeight="1">
      <c r="A239" s="719">
        <f t="shared" si="59"/>
        <v>96</v>
      </c>
      <c r="B239" s="290" t="s">
        <v>912</v>
      </c>
      <c r="C239" s="25">
        <f t="shared" si="55"/>
        <v>1764000</v>
      </c>
      <c r="D239" s="720">
        <f t="shared" si="60"/>
        <v>138714.38979963571</v>
      </c>
      <c r="E239" s="720">
        <f t="shared" si="60"/>
        <v>10267.674559805708</v>
      </c>
      <c r="F239" s="720">
        <f t="shared" si="60"/>
        <v>119107.46812386156</v>
      </c>
      <c r="G239" s="720">
        <f t="shared" si="60"/>
        <v>111472.37401335762</v>
      </c>
      <c r="H239" s="25">
        <f t="shared" si="57"/>
        <v>2143561.9064966608</v>
      </c>
      <c r="I239" s="720">
        <v>503</v>
      </c>
      <c r="J239" s="720">
        <f t="shared" si="53"/>
        <v>4261.5544860768605</v>
      </c>
      <c r="K239" s="659"/>
      <c r="L239" s="189" t="s">
        <v>671</v>
      </c>
      <c r="M239" s="733">
        <f t="shared" si="58"/>
        <v>41544</v>
      </c>
      <c r="N239" s="733">
        <v>41547</v>
      </c>
      <c r="O239" s="734" t="s">
        <v>911</v>
      </c>
      <c r="P239" s="298">
        <v>125</v>
      </c>
      <c r="Q239" s="781">
        <v>14112</v>
      </c>
      <c r="R239" s="25">
        <f t="shared" si="49"/>
        <v>1764000</v>
      </c>
      <c r="S239" s="442"/>
      <c r="T239" s="735"/>
      <c r="U239" s="765"/>
      <c r="V239" s="765"/>
      <c r="W239" s="25"/>
    </row>
    <row r="240" spans="1:23" ht="13.5" customHeight="1">
      <c r="A240" s="719">
        <f t="shared" si="59"/>
        <v>97</v>
      </c>
      <c r="B240" s="290" t="s">
        <v>913</v>
      </c>
      <c r="C240" s="25">
        <f t="shared" ref="C240:C241" si="61">R240</f>
        <v>1812195</v>
      </c>
      <c r="D240" s="720">
        <f t="shared" si="60"/>
        <v>140644.80874316941</v>
      </c>
      <c r="E240" s="720">
        <f t="shared" si="60"/>
        <v>10410.564663023679</v>
      </c>
      <c r="F240" s="720">
        <f t="shared" si="60"/>
        <v>120765.02732240438</v>
      </c>
      <c r="G240" s="720">
        <f t="shared" si="60"/>
        <v>113023.67941712204</v>
      </c>
      <c r="H240" s="25">
        <f t="shared" ref="H240:H241" si="62">SUM(C240:G240)</f>
        <v>2197039.0801457195</v>
      </c>
      <c r="I240" s="720">
        <v>510</v>
      </c>
      <c r="J240" s="720">
        <f t="shared" ref="J240:J241" si="63">IF(I240&lt;&gt;"",H240/I240,"")</f>
        <v>4307.9197649916068</v>
      </c>
      <c r="K240" s="659"/>
      <c r="L240" s="801" t="s">
        <v>1164</v>
      </c>
      <c r="M240" s="733">
        <f t="shared" si="58"/>
        <v>41544</v>
      </c>
      <c r="N240" s="733">
        <v>41547</v>
      </c>
      <c r="O240" s="734" t="s">
        <v>911</v>
      </c>
      <c r="P240" s="298">
        <v>105</v>
      </c>
      <c r="Q240" s="765">
        <v>17259</v>
      </c>
      <c r="R240" s="25">
        <f t="shared" si="49"/>
        <v>1812195</v>
      </c>
      <c r="S240" s="442"/>
      <c r="T240" s="735"/>
      <c r="U240" s="765"/>
      <c r="V240" s="765"/>
      <c r="W240" s="25"/>
    </row>
    <row r="241" spans="1:23" ht="13.5" customHeight="1">
      <c r="A241" s="719">
        <f t="shared" si="59"/>
        <v>98</v>
      </c>
      <c r="B241" s="290" t="s">
        <v>1103</v>
      </c>
      <c r="C241" s="25">
        <f t="shared" si="61"/>
        <v>14547850</v>
      </c>
      <c r="D241" s="720">
        <f t="shared" si="60"/>
        <v>744590.16393442627</v>
      </c>
      <c r="E241" s="720">
        <f t="shared" si="60"/>
        <v>55114.75409836066</v>
      </c>
      <c r="F241" s="720">
        <f t="shared" si="60"/>
        <v>639344.26229508198</v>
      </c>
      <c r="G241" s="720">
        <f t="shared" si="60"/>
        <v>598360.65573770495</v>
      </c>
      <c r="H241" s="25">
        <f t="shared" si="62"/>
        <v>16585259.836065575</v>
      </c>
      <c r="I241" s="720">
        <v>2700</v>
      </c>
      <c r="J241" s="720">
        <f t="shared" si="63"/>
        <v>6142.688828172435</v>
      </c>
      <c r="K241" s="659"/>
      <c r="L241" s="189" t="s">
        <v>682</v>
      </c>
      <c r="M241" s="733">
        <f t="shared" si="58"/>
        <v>41544</v>
      </c>
      <c r="N241" s="733">
        <v>41547</v>
      </c>
      <c r="O241" s="734" t="s">
        <v>914</v>
      </c>
      <c r="P241" s="298">
        <v>705</v>
      </c>
      <c r="Q241" s="765">
        <v>20635.247863247863</v>
      </c>
      <c r="R241" s="25">
        <f t="shared" si="49"/>
        <v>14547850</v>
      </c>
      <c r="S241" s="442"/>
      <c r="T241" s="735"/>
      <c r="U241" s="765"/>
      <c r="V241" s="765"/>
      <c r="W241" s="25"/>
    </row>
    <row r="242" spans="1:23" s="739" customFormat="1" ht="13.5" customHeight="1">
      <c r="A242" s="719" t="str">
        <f>IF(B242&lt;&gt;"",#REF!+1,"")</f>
        <v/>
      </c>
      <c r="B242" s="751"/>
      <c r="C242" s="25"/>
      <c r="D242" s="720"/>
      <c r="E242" s="720"/>
      <c r="F242" s="720"/>
      <c r="G242" s="720"/>
      <c r="H242" s="25"/>
      <c r="I242" s="250"/>
      <c r="J242" s="720"/>
      <c r="K242" s="659"/>
      <c r="L242" s="442"/>
      <c r="M242" s="735"/>
      <c r="N242" s="733"/>
      <c r="O242" s="734"/>
      <c r="P242" s="298"/>
      <c r="Q242" s="765"/>
      <c r="R242" s="25">
        <f t="shared" si="49"/>
        <v>0</v>
      </c>
      <c r="S242" s="442"/>
      <c r="T242" s="735"/>
      <c r="U242" s="765"/>
      <c r="V242" s="765"/>
      <c r="W242" s="25">
        <f t="shared" si="44"/>
        <v>0</v>
      </c>
    </row>
    <row r="243" spans="1:23" s="717" customFormat="1" ht="13.5" customHeight="1">
      <c r="A243" s="721"/>
      <c r="B243" s="722" t="s">
        <v>246</v>
      </c>
      <c r="C243" s="528">
        <f>SUM(C144:C242)</f>
        <v>490749554</v>
      </c>
      <c r="D243" s="528">
        <v>22710000</v>
      </c>
      <c r="E243" s="528">
        <f>W243</f>
        <v>1681000</v>
      </c>
      <c r="F243" s="528">
        <v>19500000</v>
      </c>
      <c r="G243" s="528">
        <v>18250000</v>
      </c>
      <c r="H243" s="528">
        <f>SUM(H144:H242)</f>
        <v>552890554.00000024</v>
      </c>
      <c r="I243" s="528">
        <f>ROUND(SUM(I144:I242),0)</f>
        <v>82350</v>
      </c>
      <c r="J243" s="528"/>
      <c r="K243" s="730"/>
      <c r="L243" s="740"/>
      <c r="M243" s="741"/>
      <c r="N243" s="741"/>
      <c r="O243" s="742"/>
      <c r="P243" s="780"/>
      <c r="Q243" s="27"/>
      <c r="R243" s="47">
        <f>SUM(R144:R242)</f>
        <v>490749554</v>
      </c>
      <c r="S243" s="740"/>
      <c r="T243" s="741"/>
      <c r="U243" s="754"/>
      <c r="V243" s="27"/>
      <c r="W243" s="47">
        <f>SUM(W144:W242)</f>
        <v>1681000</v>
      </c>
    </row>
    <row r="244" spans="1:23" s="717" customFormat="1" ht="13.5" customHeight="1">
      <c r="A244" s="723"/>
      <c r="B244" s="724"/>
      <c r="C244" s="718"/>
      <c r="D244" s="718"/>
      <c r="E244" s="718"/>
      <c r="F244" s="718"/>
      <c r="G244" s="718"/>
      <c r="H244" s="718">
        <v>584933650</v>
      </c>
      <c r="I244" s="718"/>
      <c r="J244" s="718"/>
      <c r="K244" s="730"/>
      <c r="L244" s="755"/>
      <c r="M244" s="755"/>
      <c r="N244" s="755"/>
      <c r="O244" s="844"/>
      <c r="P244" s="845"/>
      <c r="Q244" s="732"/>
      <c r="R244" s="755"/>
      <c r="S244" s="755"/>
      <c r="T244" s="755"/>
      <c r="U244" s="755"/>
      <c r="V244" s="732"/>
      <c r="W244" s="755"/>
    </row>
    <row r="245" spans="1:23" s="717" customFormat="1">
      <c r="A245" s="723"/>
      <c r="B245" s="724"/>
      <c r="C245" s="718"/>
      <c r="D245" s="718"/>
      <c r="E245" s="718"/>
      <c r="F245" s="718"/>
      <c r="G245" s="718"/>
      <c r="H245" s="718">
        <f>H244-H243</f>
        <v>32043095.999999762</v>
      </c>
      <c r="I245" s="718"/>
      <c r="J245" s="718"/>
      <c r="K245" s="730"/>
      <c r="L245" s="286"/>
      <c r="M245" s="711"/>
      <c r="N245" s="711"/>
      <c r="O245" s="729"/>
      <c r="P245" s="773"/>
      <c r="Q245" s="286"/>
      <c r="R245" s="716"/>
      <c r="S245" s="286"/>
      <c r="T245" s="711"/>
      <c r="U245" s="286"/>
      <c r="V245" s="286"/>
      <c r="W245" s="716"/>
    </row>
    <row r="246" spans="1:23" ht="18" customHeight="1">
      <c r="A246" s="565" t="str">
        <f>TH!$A$1</f>
        <v>Đơn vị: CÔNG TY TNHH SX TM KIM DUNG PHÁT</v>
      </c>
      <c r="B246" s="717"/>
      <c r="C246" s="286"/>
      <c r="D246" s="286"/>
      <c r="E246" s="286"/>
      <c r="F246" s="286"/>
      <c r="G246" s="286"/>
      <c r="H246" s="286"/>
      <c r="I246" s="593"/>
      <c r="J246" s="286"/>
      <c r="K246" s="730"/>
      <c r="L246" s="286"/>
      <c r="M246" s="711"/>
      <c r="N246" s="711"/>
      <c r="S246" s="286"/>
      <c r="T246" s="711"/>
    </row>
    <row r="247" spans="1:23" ht="18.75" customHeight="1">
      <c r="A247" s="718" t="s">
        <v>1134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30"/>
      <c r="L247" s="286"/>
      <c r="M247" s="711"/>
      <c r="N247" s="711"/>
      <c r="S247" s="286"/>
      <c r="T247" s="711"/>
    </row>
    <row r="248" spans="1:23" ht="12.75" customHeight="1">
      <c r="A248" s="766"/>
      <c r="B248" s="761"/>
      <c r="C248" s="761"/>
      <c r="D248" s="761"/>
      <c r="E248" s="761"/>
      <c r="F248" s="761"/>
      <c r="G248" s="761"/>
      <c r="H248" s="761"/>
      <c r="I248" s="731"/>
      <c r="J248" s="761"/>
      <c r="K248" s="730"/>
      <c r="L248" s="286"/>
      <c r="M248" s="711"/>
      <c r="N248" s="711"/>
      <c r="S248" s="286"/>
      <c r="T248" s="711"/>
    </row>
    <row r="249" spans="1:23" s="440" customFormat="1" ht="30.75" customHeight="1">
      <c r="A249" s="784" t="s">
        <v>35</v>
      </c>
      <c r="B249" s="435" t="s">
        <v>237</v>
      </c>
      <c r="C249" s="436" t="s">
        <v>240</v>
      </c>
      <c r="D249" s="436" t="s">
        <v>435</v>
      </c>
      <c r="E249" s="436" t="s">
        <v>241</v>
      </c>
      <c r="F249" s="436" t="s">
        <v>428</v>
      </c>
      <c r="G249" s="437" t="s">
        <v>242</v>
      </c>
      <c r="H249" s="436" t="s">
        <v>243</v>
      </c>
      <c r="I249" s="438" t="s">
        <v>238</v>
      </c>
      <c r="J249" s="436" t="s">
        <v>244</v>
      </c>
      <c r="K249" s="439"/>
      <c r="L249" s="435" t="s">
        <v>237</v>
      </c>
      <c r="M249" s="436" t="s">
        <v>231</v>
      </c>
      <c r="N249" s="436"/>
      <c r="O249" s="712"/>
      <c r="P249" s="775" t="s">
        <v>196</v>
      </c>
      <c r="Q249" s="436" t="s">
        <v>239</v>
      </c>
      <c r="R249" s="436" t="s">
        <v>245</v>
      </c>
      <c r="S249" s="435" t="s">
        <v>237</v>
      </c>
      <c r="T249" s="436" t="s">
        <v>231</v>
      </c>
      <c r="U249" s="436" t="s">
        <v>196</v>
      </c>
      <c r="V249" s="436" t="s">
        <v>239</v>
      </c>
      <c r="W249" s="435" t="s">
        <v>245</v>
      </c>
    </row>
    <row r="250" spans="1:23" ht="16.5" customHeight="1">
      <c r="A250" s="719">
        <v>1</v>
      </c>
      <c r="B250" s="290" t="s">
        <v>907</v>
      </c>
      <c r="C250" s="25">
        <f>R250</f>
        <v>1024000</v>
      </c>
      <c r="D250" s="720">
        <f t="shared" ref="D250:G269" si="64">IF($I$367&lt;&gt;0,D$367/$I$367*$I250,0)</f>
        <v>19823.443148984363</v>
      </c>
      <c r="E250" s="720">
        <f t="shared" si="64"/>
        <v>1464.4345389339799</v>
      </c>
      <c r="F250" s="720">
        <f t="shared" si="64"/>
        <v>19422.705559508078</v>
      </c>
      <c r="G250" s="720">
        <f t="shared" si="64"/>
        <v>15898.828278135119</v>
      </c>
      <c r="H250" s="25">
        <f>SUM(C250:G250)-1</f>
        <v>1080608.4115255615</v>
      </c>
      <c r="I250" s="720">
        <v>60</v>
      </c>
      <c r="J250" s="720">
        <f>IF(I250&lt;&gt;"",H250/I250,"")</f>
        <v>18010.140192092691</v>
      </c>
      <c r="K250" s="659"/>
      <c r="L250" s="189" t="s">
        <v>657</v>
      </c>
      <c r="M250" s="733">
        <f>N250-3</f>
        <v>41545</v>
      </c>
      <c r="N250" s="733">
        <v>41548</v>
      </c>
      <c r="O250" s="734" t="s">
        <v>915</v>
      </c>
      <c r="P250" s="298">
        <v>64</v>
      </c>
      <c r="Q250" s="756">
        <v>16000</v>
      </c>
      <c r="R250" s="25">
        <f t="shared" ref="R250:R366" si="65">ROUND(P250*Q250,0)</f>
        <v>1024000</v>
      </c>
      <c r="S250" s="441" t="s">
        <v>369</v>
      </c>
      <c r="T250" s="733">
        <v>41548</v>
      </c>
      <c r="U250" s="765">
        <v>25</v>
      </c>
      <c r="V250" s="765">
        <v>25000</v>
      </c>
      <c r="W250" s="25">
        <f t="shared" ref="W250:W366" si="66">ROUND(U250*V250,0)</f>
        <v>625000</v>
      </c>
    </row>
    <row r="251" spans="1:23" ht="16.5" customHeight="1">
      <c r="A251" s="719">
        <f t="shared" ref="A251:A313" si="67">IF(B251&lt;&gt;"",A250+1,"")</f>
        <v>2</v>
      </c>
      <c r="B251" s="290" t="s">
        <v>909</v>
      </c>
      <c r="C251" s="25">
        <f t="shared" ref="C251:C314" si="68">R251</f>
        <v>1448832</v>
      </c>
      <c r="D251" s="720">
        <f t="shared" si="64"/>
        <v>32378.290476674458</v>
      </c>
      <c r="E251" s="720">
        <f t="shared" si="64"/>
        <v>2391.9097469255007</v>
      </c>
      <c r="F251" s="720">
        <f t="shared" si="64"/>
        <v>31723.752413863196</v>
      </c>
      <c r="G251" s="720">
        <f t="shared" si="64"/>
        <v>25968.086187620695</v>
      </c>
      <c r="H251" s="25">
        <f t="shared" ref="H251:H252" si="69">SUM(C251:G251)-1</f>
        <v>1541293.0388250838</v>
      </c>
      <c r="I251" s="720">
        <v>98</v>
      </c>
      <c r="J251" s="720">
        <f t="shared" ref="J251" si="70">IF(I251&lt;&gt;"",H251/I251,"")</f>
        <v>15727.479988011059</v>
      </c>
      <c r="K251" s="659"/>
      <c r="L251" s="189" t="s">
        <v>599</v>
      </c>
      <c r="M251" s="733">
        <f t="shared" ref="M251:M314" si="71">N251-3</f>
        <v>41545</v>
      </c>
      <c r="N251" s="733">
        <v>41548</v>
      </c>
      <c r="O251" s="734" t="s">
        <v>915</v>
      </c>
      <c r="P251" s="298">
        <f>I251</f>
        <v>98</v>
      </c>
      <c r="Q251" s="763">
        <v>14784</v>
      </c>
      <c r="R251" s="25">
        <f t="shared" si="65"/>
        <v>1448832</v>
      </c>
      <c r="S251" s="442" t="s">
        <v>342</v>
      </c>
      <c r="T251" s="733">
        <v>41548</v>
      </c>
      <c r="U251" s="763">
        <v>24</v>
      </c>
      <c r="V251" s="763">
        <v>44000</v>
      </c>
      <c r="W251" s="25">
        <f t="shared" si="66"/>
        <v>1056000</v>
      </c>
    </row>
    <row r="252" spans="1:23" ht="16.5" customHeight="1">
      <c r="A252" s="719">
        <f t="shared" si="67"/>
        <v>3</v>
      </c>
      <c r="B252" s="290" t="s">
        <v>1122</v>
      </c>
      <c r="C252" s="25">
        <f t="shared" si="68"/>
        <v>5770402</v>
      </c>
      <c r="D252" s="720">
        <f t="shared" si="64"/>
        <v>513427.17755869497</v>
      </c>
      <c r="E252" s="720">
        <f t="shared" si="64"/>
        <v>37928.854558390078</v>
      </c>
      <c r="F252" s="720">
        <f t="shared" si="64"/>
        <v>503048.07399125927</v>
      </c>
      <c r="G252" s="720">
        <f t="shared" si="64"/>
        <v>411779.65240369958</v>
      </c>
      <c r="H252" s="25">
        <f t="shared" si="69"/>
        <v>7236584.7585120434</v>
      </c>
      <c r="I252" s="720">
        <v>1554</v>
      </c>
      <c r="J252" s="720">
        <f t="shared" ref="J252:J315" si="72">IF(I252&lt;&gt;"",H252/I252,"")</f>
        <v>4656.7469488494489</v>
      </c>
      <c r="K252" s="659"/>
      <c r="L252" s="189" t="s">
        <v>580</v>
      </c>
      <c r="M252" s="733">
        <f t="shared" si="71"/>
        <v>41545</v>
      </c>
      <c r="N252" s="733">
        <v>41548</v>
      </c>
      <c r="O252" s="734" t="s">
        <v>916</v>
      </c>
      <c r="P252" s="298">
        <v>682</v>
      </c>
      <c r="Q252" s="763">
        <v>8461</v>
      </c>
      <c r="R252" s="25">
        <f t="shared" ref="R252:R315" si="73">ROUND(P252*Q252,0)</f>
        <v>5770402</v>
      </c>
      <c r="S252" s="442"/>
      <c r="T252" s="733"/>
      <c r="U252" s="763"/>
      <c r="V252" s="763"/>
      <c r="W252" s="25">
        <f t="shared" ref="W252:W315" si="74">ROUND(U252*V252,0)</f>
        <v>0</v>
      </c>
    </row>
    <row r="253" spans="1:23" ht="16.5" customHeight="1">
      <c r="A253" s="719">
        <f t="shared" si="67"/>
        <v>4</v>
      </c>
      <c r="B253" s="290" t="s">
        <v>843</v>
      </c>
      <c r="C253" s="25">
        <f t="shared" si="68"/>
        <v>5506775</v>
      </c>
      <c r="D253" s="720">
        <f t="shared" si="64"/>
        <v>173455.12755361316</v>
      </c>
      <c r="E253" s="720">
        <f t="shared" si="64"/>
        <v>12813.802215672324</v>
      </c>
      <c r="F253" s="720">
        <f t="shared" si="64"/>
        <v>169948.6736456957</v>
      </c>
      <c r="G253" s="720">
        <f t="shared" si="64"/>
        <v>139114.74743368229</v>
      </c>
      <c r="H253" s="25">
        <f t="shared" ref="H253:H281" si="75">SUM(C253:G253)</f>
        <v>6002107.3508486627</v>
      </c>
      <c r="I253" s="720">
        <v>525</v>
      </c>
      <c r="J253" s="720">
        <f t="shared" si="72"/>
        <v>11432.585430187928</v>
      </c>
      <c r="K253" s="659"/>
      <c r="L253" s="189" t="s">
        <v>643</v>
      </c>
      <c r="M253" s="733">
        <f t="shared" si="71"/>
        <v>41545</v>
      </c>
      <c r="N253" s="733">
        <v>41548</v>
      </c>
      <c r="O253" s="734" t="s">
        <v>916</v>
      </c>
      <c r="P253" s="298">
        <v>575</v>
      </c>
      <c r="Q253" s="763">
        <v>9577</v>
      </c>
      <c r="R253" s="25">
        <f t="shared" si="73"/>
        <v>5506775</v>
      </c>
      <c r="S253" s="442"/>
      <c r="T253" s="733"/>
      <c r="U253" s="715"/>
      <c r="V253" s="249"/>
      <c r="W253" s="25">
        <f t="shared" si="74"/>
        <v>0</v>
      </c>
    </row>
    <row r="254" spans="1:23" ht="16.5" customHeight="1">
      <c r="A254" s="719">
        <f t="shared" si="67"/>
        <v>5</v>
      </c>
      <c r="B254" s="290" t="s">
        <v>814</v>
      </c>
      <c r="C254" s="25">
        <f t="shared" si="68"/>
        <v>3840000</v>
      </c>
      <c r="D254" s="720">
        <f t="shared" si="64"/>
        <v>72685.958212942656</v>
      </c>
      <c r="E254" s="720">
        <f t="shared" si="64"/>
        <v>5369.5933094245929</v>
      </c>
      <c r="F254" s="720">
        <f t="shared" si="64"/>
        <v>71216.587051529626</v>
      </c>
      <c r="G254" s="720">
        <f t="shared" si="64"/>
        <v>58295.703686495443</v>
      </c>
      <c r="H254" s="25">
        <f t="shared" si="75"/>
        <v>4047567.8422603924</v>
      </c>
      <c r="I254" s="720">
        <v>220</v>
      </c>
      <c r="J254" s="720">
        <f t="shared" si="72"/>
        <v>18398.035646638145</v>
      </c>
      <c r="K254" s="659"/>
      <c r="L254" s="189" t="s">
        <v>657</v>
      </c>
      <c r="M254" s="733">
        <f t="shared" si="71"/>
        <v>41545</v>
      </c>
      <c r="N254" s="733">
        <v>41548</v>
      </c>
      <c r="O254" s="734" t="s">
        <v>917</v>
      </c>
      <c r="P254" s="298">
        <v>240</v>
      </c>
      <c r="Q254" s="763">
        <v>16000</v>
      </c>
      <c r="R254" s="25">
        <f t="shared" si="73"/>
        <v>3840000</v>
      </c>
      <c r="S254" s="442"/>
      <c r="T254" s="733"/>
      <c r="U254" s="765"/>
      <c r="V254" s="763"/>
      <c r="W254" s="25">
        <f t="shared" si="74"/>
        <v>0</v>
      </c>
    </row>
    <row r="255" spans="1:23" ht="16.5" customHeight="1">
      <c r="A255" s="719">
        <f t="shared" si="67"/>
        <v>6</v>
      </c>
      <c r="B255" s="290" t="s">
        <v>1119</v>
      </c>
      <c r="C255" s="25">
        <f t="shared" si="68"/>
        <v>9656000</v>
      </c>
      <c r="D255" s="720">
        <f t="shared" si="64"/>
        <v>1122337.2729516646</v>
      </c>
      <c r="E255" s="720">
        <f t="shared" si="64"/>
        <v>82911.402145978835</v>
      </c>
      <c r="F255" s="720">
        <f t="shared" si="64"/>
        <v>1099648.8464274826</v>
      </c>
      <c r="G255" s="720">
        <f t="shared" si="64"/>
        <v>900138.66101375001</v>
      </c>
      <c r="H255" s="25">
        <f t="shared" si="75"/>
        <v>12861036.182538876</v>
      </c>
      <c r="I255" s="720">
        <v>3397</v>
      </c>
      <c r="J255" s="720">
        <f t="shared" si="72"/>
        <v>3785.9982874709676</v>
      </c>
      <c r="K255" s="659"/>
      <c r="L255" s="189" t="s">
        <v>613</v>
      </c>
      <c r="M255" s="733">
        <f t="shared" si="71"/>
        <v>41546</v>
      </c>
      <c r="N255" s="733">
        <v>41549</v>
      </c>
      <c r="O255" s="734" t="s">
        <v>918</v>
      </c>
      <c r="P255" s="298">
        <v>500</v>
      </c>
      <c r="Q255" s="763">
        <v>19312</v>
      </c>
      <c r="R255" s="25">
        <f t="shared" si="73"/>
        <v>9656000</v>
      </c>
      <c r="S255" s="442"/>
      <c r="T255" s="733"/>
      <c r="U255" s="765"/>
      <c r="V255" s="763"/>
      <c r="W255" s="25">
        <f t="shared" si="74"/>
        <v>0</v>
      </c>
    </row>
    <row r="256" spans="1:23" ht="16.5" customHeight="1">
      <c r="A256" s="719">
        <f t="shared" si="67"/>
        <v>7</v>
      </c>
      <c r="B256" s="290" t="s">
        <v>913</v>
      </c>
      <c r="C256" s="25">
        <f t="shared" si="68"/>
        <v>1787600</v>
      </c>
      <c r="D256" s="720">
        <f t="shared" si="64"/>
        <v>163213.01525997126</v>
      </c>
      <c r="E256" s="720">
        <f t="shared" si="64"/>
        <v>12057.177703889769</v>
      </c>
      <c r="F256" s="720">
        <f t="shared" si="64"/>
        <v>159913.60910661652</v>
      </c>
      <c r="G256" s="720">
        <f t="shared" si="64"/>
        <v>130900.35282331248</v>
      </c>
      <c r="H256" s="25">
        <f t="shared" si="75"/>
        <v>2253684.1548937899</v>
      </c>
      <c r="I256" s="720">
        <v>494</v>
      </c>
      <c r="J256" s="720">
        <f t="shared" si="72"/>
        <v>4562.1136738740688</v>
      </c>
      <c r="K256" s="659"/>
      <c r="L256" s="801" t="s">
        <v>1172</v>
      </c>
      <c r="M256" s="733">
        <f t="shared" si="71"/>
        <v>41547</v>
      </c>
      <c r="N256" s="733">
        <v>41550</v>
      </c>
      <c r="O256" s="734" t="s">
        <v>920</v>
      </c>
      <c r="P256" s="298">
        <v>100</v>
      </c>
      <c r="Q256" s="763">
        <v>17876</v>
      </c>
      <c r="R256" s="25">
        <f t="shared" si="73"/>
        <v>1787600</v>
      </c>
      <c r="S256" s="442"/>
      <c r="T256" s="733"/>
      <c r="U256" s="765"/>
      <c r="V256" s="763"/>
      <c r="W256" s="25">
        <f t="shared" si="74"/>
        <v>0</v>
      </c>
    </row>
    <row r="257" spans="1:23" ht="16.5" customHeight="1">
      <c r="A257" s="719">
        <f t="shared" si="67"/>
        <v>8</v>
      </c>
      <c r="B257" s="290" t="s">
        <v>921</v>
      </c>
      <c r="C257" s="25">
        <f t="shared" si="68"/>
        <v>1895250</v>
      </c>
      <c r="D257" s="720">
        <f t="shared" si="64"/>
        <v>168168.87604721735</v>
      </c>
      <c r="E257" s="720">
        <f t="shared" si="64"/>
        <v>12423.286338623264</v>
      </c>
      <c r="F257" s="720">
        <f t="shared" si="64"/>
        <v>164769.28549649354</v>
      </c>
      <c r="G257" s="720">
        <f t="shared" si="64"/>
        <v>134875.05989284627</v>
      </c>
      <c r="H257" s="25">
        <f t="shared" si="75"/>
        <v>2375486.50777518</v>
      </c>
      <c r="I257" s="720">
        <v>509</v>
      </c>
      <c r="J257" s="720">
        <f t="shared" si="72"/>
        <v>4666.9675987724559</v>
      </c>
      <c r="K257" s="659"/>
      <c r="L257" s="801" t="s">
        <v>1200</v>
      </c>
      <c r="M257" s="733">
        <f t="shared" si="71"/>
        <v>41547</v>
      </c>
      <c r="N257" s="733">
        <v>41550</v>
      </c>
      <c r="O257" s="734" t="s">
        <v>920</v>
      </c>
      <c r="P257" s="298">
        <v>150</v>
      </c>
      <c r="Q257" s="763">
        <v>12635</v>
      </c>
      <c r="R257" s="25">
        <f t="shared" si="73"/>
        <v>1895250</v>
      </c>
      <c r="S257" s="442"/>
      <c r="T257" s="733"/>
      <c r="U257" s="765"/>
      <c r="V257" s="763"/>
      <c r="W257" s="25">
        <f t="shared" si="74"/>
        <v>0</v>
      </c>
    </row>
    <row r="258" spans="1:23" ht="16.5" customHeight="1">
      <c r="A258" s="719">
        <f t="shared" si="67"/>
        <v>9</v>
      </c>
      <c r="B258" s="290" t="s">
        <v>1119</v>
      </c>
      <c r="C258" s="25">
        <f t="shared" si="68"/>
        <v>310245</v>
      </c>
      <c r="D258" s="720">
        <f t="shared" si="64"/>
        <v>34030.244072423156</v>
      </c>
      <c r="E258" s="720">
        <f t="shared" si="64"/>
        <v>2513.9459585033323</v>
      </c>
      <c r="F258" s="720">
        <f t="shared" si="64"/>
        <v>33342.311210488871</v>
      </c>
      <c r="G258" s="720">
        <f t="shared" si="64"/>
        <v>27292.988544131957</v>
      </c>
      <c r="H258" s="25">
        <f t="shared" si="75"/>
        <v>407424.48978554737</v>
      </c>
      <c r="I258" s="720">
        <v>103</v>
      </c>
      <c r="J258" s="720">
        <f t="shared" si="72"/>
        <v>3955.5775707334697</v>
      </c>
      <c r="K258" s="659"/>
      <c r="L258" s="189" t="s">
        <v>597</v>
      </c>
      <c r="M258" s="733">
        <f t="shared" si="71"/>
        <v>41549</v>
      </c>
      <c r="N258" s="733">
        <v>41552</v>
      </c>
      <c r="O258" s="734" t="s">
        <v>922</v>
      </c>
      <c r="P258" s="298">
        <v>37</v>
      </c>
      <c r="Q258" s="763">
        <v>8385</v>
      </c>
      <c r="R258" s="25">
        <f t="shared" si="73"/>
        <v>310245</v>
      </c>
      <c r="S258" s="442"/>
      <c r="T258" s="733"/>
      <c r="U258" s="765"/>
      <c r="V258" s="763"/>
      <c r="W258" s="25">
        <f t="shared" si="74"/>
        <v>0</v>
      </c>
    </row>
    <row r="259" spans="1:23" ht="16.5" customHeight="1">
      <c r="A259" s="719">
        <f t="shared" si="67"/>
        <v>10</v>
      </c>
      <c r="B259" s="290" t="s">
        <v>1116</v>
      </c>
      <c r="C259" s="25">
        <f t="shared" si="68"/>
        <v>8982052</v>
      </c>
      <c r="D259" s="720">
        <f t="shared" si="64"/>
        <v>878178.53150000726</v>
      </c>
      <c r="E259" s="720">
        <f t="shared" si="64"/>
        <v>64874.450074775312</v>
      </c>
      <c r="F259" s="720">
        <f t="shared" si="64"/>
        <v>860425.85628620791</v>
      </c>
      <c r="G259" s="720">
        <f t="shared" si="64"/>
        <v>704318.09272138576</v>
      </c>
      <c r="H259" s="25">
        <f t="shared" si="75"/>
        <v>11489848.930582376</v>
      </c>
      <c r="I259" s="720">
        <v>2658</v>
      </c>
      <c r="J259" s="720">
        <f t="shared" si="72"/>
        <v>4322.7422613176732</v>
      </c>
      <c r="K259" s="659"/>
      <c r="L259" s="189" t="s">
        <v>685</v>
      </c>
      <c r="M259" s="733">
        <f t="shared" si="71"/>
        <v>41549</v>
      </c>
      <c r="N259" s="733">
        <v>41552</v>
      </c>
      <c r="O259" s="734" t="s">
        <v>922</v>
      </c>
      <c r="P259" s="298">
        <v>410</v>
      </c>
      <c r="Q259" s="763">
        <v>21907.443037974685</v>
      </c>
      <c r="R259" s="25">
        <f t="shared" si="73"/>
        <v>8982052</v>
      </c>
      <c r="S259" s="442"/>
      <c r="T259" s="733"/>
      <c r="U259" s="765"/>
      <c r="V259" s="763"/>
      <c r="W259" s="25">
        <f t="shared" si="74"/>
        <v>0</v>
      </c>
    </row>
    <row r="260" spans="1:23" ht="16.5" customHeight="1">
      <c r="A260" s="719">
        <f t="shared" si="67"/>
        <v>11</v>
      </c>
      <c r="B260" s="290" t="s">
        <v>1103</v>
      </c>
      <c r="C260" s="25">
        <f t="shared" si="68"/>
        <v>12598370</v>
      </c>
      <c r="D260" s="720">
        <f t="shared" si="64"/>
        <v>746683.02527841099</v>
      </c>
      <c r="E260" s="720">
        <f t="shared" si="64"/>
        <v>55160.367633179914</v>
      </c>
      <c r="F260" s="720">
        <f t="shared" si="64"/>
        <v>731588.5760748043</v>
      </c>
      <c r="G260" s="720">
        <f t="shared" si="64"/>
        <v>598855.86514308956</v>
      </c>
      <c r="H260" s="25">
        <f t="shared" si="75"/>
        <v>14730657.834129486</v>
      </c>
      <c r="I260" s="720">
        <v>2260</v>
      </c>
      <c r="J260" s="720">
        <f t="shared" si="72"/>
        <v>6517.9901920926932</v>
      </c>
      <c r="K260" s="659"/>
      <c r="L260" s="189" t="s">
        <v>688</v>
      </c>
      <c r="M260" s="733">
        <f t="shared" si="71"/>
        <v>41549</v>
      </c>
      <c r="N260" s="733">
        <v>41552</v>
      </c>
      <c r="O260" s="734" t="s">
        <v>923</v>
      </c>
      <c r="P260" s="298">
        <f>I260/2</f>
        <v>1130</v>
      </c>
      <c r="Q260" s="763">
        <v>11149</v>
      </c>
      <c r="R260" s="25">
        <f t="shared" si="73"/>
        <v>12598370</v>
      </c>
      <c r="S260" s="442"/>
      <c r="T260" s="733"/>
      <c r="U260" s="765"/>
      <c r="V260" s="763"/>
      <c r="W260" s="25">
        <f t="shared" si="74"/>
        <v>0</v>
      </c>
    </row>
    <row r="261" spans="1:23" ht="16.5" customHeight="1">
      <c r="A261" s="719">
        <f t="shared" si="67"/>
        <v>12</v>
      </c>
      <c r="B261" s="290" t="s">
        <v>834</v>
      </c>
      <c r="C261" s="25">
        <f t="shared" si="68"/>
        <v>9728680</v>
      </c>
      <c r="D261" s="720">
        <f t="shared" si="64"/>
        <v>170481.61108126552</v>
      </c>
      <c r="E261" s="720">
        <f t="shared" si="64"/>
        <v>12594.137034832227</v>
      </c>
      <c r="F261" s="720">
        <f t="shared" si="64"/>
        <v>167035.26781176947</v>
      </c>
      <c r="G261" s="720">
        <f t="shared" si="64"/>
        <v>136729.92319196204</v>
      </c>
      <c r="H261" s="25">
        <f t="shared" si="75"/>
        <v>10215520.939119829</v>
      </c>
      <c r="I261" s="720">
        <v>516</v>
      </c>
      <c r="J261" s="720">
        <f t="shared" si="72"/>
        <v>19797.521199844628</v>
      </c>
      <c r="K261" s="659"/>
      <c r="L261" s="189" t="s">
        <v>648</v>
      </c>
      <c r="M261" s="733">
        <f t="shared" si="71"/>
        <v>41552</v>
      </c>
      <c r="N261" s="733">
        <v>41555</v>
      </c>
      <c r="O261" s="734" t="s">
        <v>924</v>
      </c>
      <c r="P261" s="298">
        <v>520</v>
      </c>
      <c r="Q261" s="763">
        <v>18709</v>
      </c>
      <c r="R261" s="25">
        <f t="shared" si="73"/>
        <v>9728680</v>
      </c>
      <c r="S261" s="442"/>
      <c r="T261" s="733"/>
      <c r="U261" s="765"/>
      <c r="V261" s="763"/>
      <c r="W261" s="25">
        <f t="shared" si="74"/>
        <v>0</v>
      </c>
    </row>
    <row r="262" spans="1:23" ht="16.5" customHeight="1">
      <c r="A262" s="719">
        <f t="shared" si="67"/>
        <v>13</v>
      </c>
      <c r="B262" s="290" t="s">
        <v>1097</v>
      </c>
      <c r="C262" s="25">
        <f t="shared" si="68"/>
        <v>1691152</v>
      </c>
      <c r="D262" s="720">
        <f t="shared" si="64"/>
        <v>100438.77862152077</v>
      </c>
      <c r="E262" s="720">
        <f t="shared" si="64"/>
        <v>7419.801663932165</v>
      </c>
      <c r="F262" s="720">
        <f t="shared" si="64"/>
        <v>98408.374834840943</v>
      </c>
      <c r="G262" s="720">
        <f t="shared" si="64"/>
        <v>80554.063275884604</v>
      </c>
      <c r="H262" s="25">
        <f t="shared" si="75"/>
        <v>1977973.0183961785</v>
      </c>
      <c r="I262" s="720">
        <v>304</v>
      </c>
      <c r="J262" s="720">
        <f t="shared" si="72"/>
        <v>6506.4901920926923</v>
      </c>
      <c r="K262" s="659"/>
      <c r="L262" s="189" t="s">
        <v>603</v>
      </c>
      <c r="M262" s="733">
        <f t="shared" si="71"/>
        <v>41554</v>
      </c>
      <c r="N262" s="733">
        <v>41557</v>
      </c>
      <c r="O262" s="734" t="s">
        <v>925</v>
      </c>
      <c r="P262" s="298">
        <f>I262/2</f>
        <v>152</v>
      </c>
      <c r="Q262" s="763">
        <v>11126</v>
      </c>
      <c r="R262" s="25">
        <f t="shared" si="73"/>
        <v>1691152</v>
      </c>
      <c r="S262" s="442"/>
      <c r="T262" s="733"/>
      <c r="U262" s="765"/>
      <c r="V262" s="763"/>
      <c r="W262" s="25">
        <f t="shared" si="74"/>
        <v>0</v>
      </c>
    </row>
    <row r="263" spans="1:23" ht="16.5" customHeight="1">
      <c r="A263" s="719">
        <f t="shared" si="67"/>
        <v>14</v>
      </c>
      <c r="B263" s="290" t="s">
        <v>805</v>
      </c>
      <c r="C263" s="25">
        <f t="shared" si="68"/>
        <v>8500000</v>
      </c>
      <c r="D263" s="720">
        <f t="shared" si="64"/>
        <v>329069.1562731404</v>
      </c>
      <c r="E263" s="720">
        <f t="shared" si="64"/>
        <v>24309.613346304068</v>
      </c>
      <c r="F263" s="720">
        <f t="shared" si="64"/>
        <v>322416.9122878341</v>
      </c>
      <c r="G263" s="720">
        <f t="shared" si="64"/>
        <v>263920.54941704299</v>
      </c>
      <c r="H263" s="25">
        <f t="shared" si="75"/>
        <v>9439716.2313243207</v>
      </c>
      <c r="I263" s="720">
        <v>996</v>
      </c>
      <c r="J263" s="720">
        <f t="shared" si="72"/>
        <v>9477.6267382774313</v>
      </c>
      <c r="K263" s="659"/>
      <c r="L263" s="189" t="s">
        <v>654</v>
      </c>
      <c r="M263" s="733">
        <f t="shared" si="71"/>
        <v>41560</v>
      </c>
      <c r="N263" s="733">
        <v>41563</v>
      </c>
      <c r="O263" s="734" t="s">
        <v>926</v>
      </c>
      <c r="P263" s="298">
        <v>1000</v>
      </c>
      <c r="Q263" s="763">
        <v>8500</v>
      </c>
      <c r="R263" s="25">
        <f t="shared" si="73"/>
        <v>8500000</v>
      </c>
      <c r="S263" s="442"/>
      <c r="T263" s="733"/>
      <c r="U263" s="765"/>
      <c r="V263" s="763"/>
      <c r="W263" s="25">
        <f t="shared" si="74"/>
        <v>0</v>
      </c>
    </row>
    <row r="264" spans="1:23" ht="16.5" customHeight="1">
      <c r="A264" s="719">
        <f t="shared" si="67"/>
        <v>15</v>
      </c>
      <c r="B264" s="290" t="s">
        <v>1126</v>
      </c>
      <c r="C264" s="25">
        <f t="shared" si="68"/>
        <v>5463010</v>
      </c>
      <c r="D264" s="720">
        <f t="shared" si="64"/>
        <v>462547.00680963509</v>
      </c>
      <c r="E264" s="720">
        <f t="shared" si="64"/>
        <v>34170.139241792866</v>
      </c>
      <c r="F264" s="720">
        <f t="shared" si="64"/>
        <v>453196.46305518853</v>
      </c>
      <c r="G264" s="720">
        <f t="shared" si="64"/>
        <v>370972.65982315282</v>
      </c>
      <c r="H264" s="25">
        <f t="shared" si="75"/>
        <v>6783896.2689297702</v>
      </c>
      <c r="I264" s="720">
        <v>1400</v>
      </c>
      <c r="J264" s="720">
        <f t="shared" si="72"/>
        <v>4845.6401920926928</v>
      </c>
      <c r="K264" s="659"/>
      <c r="L264" s="189" t="s">
        <v>688</v>
      </c>
      <c r="M264" s="733">
        <f t="shared" si="71"/>
        <v>41560</v>
      </c>
      <c r="N264" s="733">
        <v>41563</v>
      </c>
      <c r="O264" s="734" t="s">
        <v>927</v>
      </c>
      <c r="P264" s="298">
        <v>490</v>
      </c>
      <c r="Q264" s="763">
        <v>11149</v>
      </c>
      <c r="R264" s="25">
        <f t="shared" si="73"/>
        <v>5463010</v>
      </c>
      <c r="S264" s="442"/>
      <c r="T264" s="733"/>
      <c r="U264" s="765"/>
      <c r="V264" s="763"/>
      <c r="W264" s="25">
        <f t="shared" si="74"/>
        <v>0</v>
      </c>
    </row>
    <row r="265" spans="1:23" ht="16.5" customHeight="1">
      <c r="A265" s="719">
        <f t="shared" si="67"/>
        <v>16</v>
      </c>
      <c r="B265" s="290" t="s">
        <v>1116</v>
      </c>
      <c r="C265" s="25">
        <f t="shared" si="68"/>
        <v>16800000</v>
      </c>
      <c r="D265" s="720">
        <f t="shared" si="64"/>
        <v>1781136.366936245</v>
      </c>
      <c r="E265" s="720">
        <f t="shared" si="64"/>
        <v>131579.44332321809</v>
      </c>
      <c r="F265" s="720">
        <f t="shared" si="64"/>
        <v>1745130.094521801</v>
      </c>
      <c r="G265" s="720">
        <f t="shared" si="64"/>
        <v>1428509.7207904404</v>
      </c>
      <c r="H265" s="25">
        <f t="shared" si="75"/>
        <v>21886355.625571705</v>
      </c>
      <c r="I265" s="720">
        <v>5391</v>
      </c>
      <c r="J265" s="720">
        <f t="shared" si="72"/>
        <v>4059.7951447916353</v>
      </c>
      <c r="K265" s="659"/>
      <c r="L265" s="189" t="s">
        <v>672</v>
      </c>
      <c r="M265" s="733">
        <f t="shared" si="71"/>
        <v>41560</v>
      </c>
      <c r="N265" s="733">
        <v>41563</v>
      </c>
      <c r="O265" s="734" t="s">
        <v>928</v>
      </c>
      <c r="P265" s="298">
        <v>1000</v>
      </c>
      <c r="Q265" s="763">
        <v>16800</v>
      </c>
      <c r="R265" s="25">
        <f t="shared" si="73"/>
        <v>16800000</v>
      </c>
      <c r="S265" s="442"/>
      <c r="T265" s="733"/>
      <c r="U265" s="765"/>
      <c r="V265" s="763"/>
      <c r="W265" s="25">
        <f t="shared" si="74"/>
        <v>0</v>
      </c>
    </row>
    <row r="266" spans="1:23" ht="16.5" customHeight="1">
      <c r="A266" s="719">
        <f t="shared" si="67"/>
        <v>17</v>
      </c>
      <c r="B266" s="290" t="s">
        <v>907</v>
      </c>
      <c r="C266" s="25">
        <f t="shared" si="68"/>
        <v>1696000</v>
      </c>
      <c r="D266" s="720">
        <f t="shared" si="64"/>
        <v>33039.071914973938</v>
      </c>
      <c r="E266" s="720">
        <f t="shared" si="64"/>
        <v>2440.7242315566332</v>
      </c>
      <c r="F266" s="720">
        <f t="shared" si="64"/>
        <v>32371.175932513466</v>
      </c>
      <c r="G266" s="720">
        <f t="shared" si="64"/>
        <v>26498.047130225201</v>
      </c>
      <c r="H266" s="25">
        <f t="shared" si="75"/>
        <v>1790349.0192092692</v>
      </c>
      <c r="I266" s="720">
        <v>100</v>
      </c>
      <c r="J266" s="720">
        <f t="shared" si="72"/>
        <v>17903.490192092693</v>
      </c>
      <c r="K266" s="659"/>
      <c r="L266" s="189" t="s">
        <v>657</v>
      </c>
      <c r="M266" s="733">
        <f t="shared" si="71"/>
        <v>41562</v>
      </c>
      <c r="N266" s="733">
        <v>41565</v>
      </c>
      <c r="O266" s="734" t="s">
        <v>929</v>
      </c>
      <c r="P266" s="298">
        <v>106</v>
      </c>
      <c r="Q266" s="756">
        <v>16000</v>
      </c>
      <c r="R266" s="25">
        <f t="shared" si="73"/>
        <v>1696000</v>
      </c>
      <c r="S266" s="442"/>
      <c r="T266" s="733"/>
      <c r="U266" s="765"/>
      <c r="V266" s="763"/>
      <c r="W266" s="25">
        <f t="shared" si="74"/>
        <v>0</v>
      </c>
    </row>
    <row r="267" spans="1:23" ht="16.5" customHeight="1">
      <c r="A267" s="719">
        <f t="shared" si="67"/>
        <v>18</v>
      </c>
      <c r="B267" s="290" t="s">
        <v>1108</v>
      </c>
      <c r="C267" s="25">
        <f t="shared" si="68"/>
        <v>4324168</v>
      </c>
      <c r="D267" s="720">
        <f t="shared" si="64"/>
        <v>382262.06205624843</v>
      </c>
      <c r="E267" s="720">
        <f t="shared" si="64"/>
        <v>28239.179359110247</v>
      </c>
      <c r="F267" s="720">
        <f t="shared" si="64"/>
        <v>374534.50553918083</v>
      </c>
      <c r="G267" s="720">
        <f t="shared" si="64"/>
        <v>306582.40529670555</v>
      </c>
      <c r="H267" s="25">
        <f t="shared" si="75"/>
        <v>5415786.1522512445</v>
      </c>
      <c r="I267" s="720">
        <v>1157</v>
      </c>
      <c r="J267" s="720">
        <f t="shared" si="72"/>
        <v>4680.8869077365989</v>
      </c>
      <c r="K267" s="659"/>
      <c r="L267" s="189" t="s">
        <v>567</v>
      </c>
      <c r="M267" s="733">
        <f t="shared" si="71"/>
        <v>41563</v>
      </c>
      <c r="N267" s="733">
        <v>41566</v>
      </c>
      <c r="O267" s="734" t="s">
        <v>930</v>
      </c>
      <c r="P267" s="298">
        <v>244</v>
      </c>
      <c r="Q267" s="763">
        <v>17722</v>
      </c>
      <c r="R267" s="25">
        <f t="shared" si="73"/>
        <v>4324168</v>
      </c>
      <c r="S267" s="442"/>
      <c r="T267" s="733"/>
      <c r="U267" s="765"/>
      <c r="V267" s="763"/>
      <c r="W267" s="25">
        <f t="shared" si="74"/>
        <v>0</v>
      </c>
    </row>
    <row r="268" spans="1:23" ht="16.5" customHeight="1">
      <c r="A268" s="719">
        <f t="shared" si="67"/>
        <v>19</v>
      </c>
      <c r="B268" s="290" t="s">
        <v>931</v>
      </c>
      <c r="C268" s="25">
        <f t="shared" si="68"/>
        <v>1530880</v>
      </c>
      <c r="D268" s="720">
        <f t="shared" si="64"/>
        <v>72685.958212942656</v>
      </c>
      <c r="E268" s="720">
        <f t="shared" si="64"/>
        <v>5369.5933094245929</v>
      </c>
      <c r="F268" s="720">
        <f t="shared" si="64"/>
        <v>71216.587051529626</v>
      </c>
      <c r="G268" s="720">
        <f t="shared" si="64"/>
        <v>58295.703686495443</v>
      </c>
      <c r="H268" s="25">
        <f t="shared" si="75"/>
        <v>1738447.8422603924</v>
      </c>
      <c r="I268" s="720">
        <v>220</v>
      </c>
      <c r="J268" s="720">
        <f t="shared" si="72"/>
        <v>7902.0356466381472</v>
      </c>
      <c r="K268" s="659"/>
      <c r="L268" s="801" t="s">
        <v>663</v>
      </c>
      <c r="M268" s="733">
        <f t="shared" si="71"/>
        <v>41563</v>
      </c>
      <c r="N268" s="733">
        <v>41566</v>
      </c>
      <c r="O268" s="734" t="s">
        <v>930</v>
      </c>
      <c r="P268" s="8">
        <v>230</v>
      </c>
      <c r="Q268" s="286">
        <v>6656</v>
      </c>
      <c r="R268" s="25">
        <f t="shared" si="73"/>
        <v>1530880</v>
      </c>
      <c r="S268" s="442"/>
      <c r="T268" s="733"/>
      <c r="U268" s="765"/>
      <c r="V268" s="763"/>
      <c r="W268" s="25">
        <f t="shared" si="74"/>
        <v>0</v>
      </c>
    </row>
    <row r="269" spans="1:23" ht="16.5" customHeight="1">
      <c r="A269" s="719">
        <f t="shared" si="67"/>
        <v>20</v>
      </c>
      <c r="B269" s="290" t="s">
        <v>698</v>
      </c>
      <c r="C269" s="25">
        <f t="shared" si="68"/>
        <v>3922000</v>
      </c>
      <c r="D269" s="720">
        <f t="shared" si="64"/>
        <v>174776.69043021213</v>
      </c>
      <c r="E269" s="720">
        <f t="shared" si="64"/>
        <v>12911.43118493459</v>
      </c>
      <c r="F269" s="720">
        <f t="shared" si="64"/>
        <v>171243.52068299623</v>
      </c>
      <c r="G269" s="720">
        <f t="shared" si="64"/>
        <v>140174.66931889131</v>
      </c>
      <c r="H269" s="25">
        <f t="shared" si="75"/>
        <v>4421106.3116170345</v>
      </c>
      <c r="I269" s="720">
        <v>529</v>
      </c>
      <c r="J269" s="720">
        <f t="shared" si="72"/>
        <v>8357.4788499376828</v>
      </c>
      <c r="K269" s="659"/>
      <c r="L269" s="189" t="s">
        <v>615</v>
      </c>
      <c r="M269" s="733">
        <f t="shared" si="71"/>
        <v>41565</v>
      </c>
      <c r="N269" s="733">
        <v>41568</v>
      </c>
      <c r="O269" s="734" t="s">
        <v>932</v>
      </c>
      <c r="P269" s="298">
        <v>530</v>
      </c>
      <c r="Q269" s="763">
        <v>7400</v>
      </c>
      <c r="R269" s="25">
        <f t="shared" si="73"/>
        <v>3922000</v>
      </c>
      <c r="S269" s="442"/>
      <c r="T269" s="733"/>
      <c r="U269" s="765"/>
      <c r="V269" s="763"/>
      <c r="W269" s="25">
        <f t="shared" si="74"/>
        <v>0</v>
      </c>
    </row>
    <row r="270" spans="1:23" ht="16.5" customHeight="1">
      <c r="A270" s="719">
        <f t="shared" si="67"/>
        <v>21</v>
      </c>
      <c r="B270" s="290" t="s">
        <v>933</v>
      </c>
      <c r="C270" s="25">
        <f t="shared" si="68"/>
        <v>196398</v>
      </c>
      <c r="D270" s="720">
        <f t="shared" ref="D270:G289" si="76">IF($I$367&lt;&gt;0,D$367/$I$367*$I270,0)</f>
        <v>26431.25753197915</v>
      </c>
      <c r="E270" s="720">
        <f t="shared" si="76"/>
        <v>1952.5793852453066</v>
      </c>
      <c r="F270" s="720">
        <f t="shared" si="76"/>
        <v>25896.940746010772</v>
      </c>
      <c r="G270" s="720">
        <f t="shared" si="76"/>
        <v>21198.43770418016</v>
      </c>
      <c r="H270" s="25">
        <f t="shared" si="75"/>
        <v>271877.2153674154</v>
      </c>
      <c r="I270" s="720">
        <v>80</v>
      </c>
      <c r="J270" s="720">
        <f t="shared" si="72"/>
        <v>3398.4651920926926</v>
      </c>
      <c r="K270" s="659"/>
      <c r="L270" s="189" t="s">
        <v>581</v>
      </c>
      <c r="M270" s="733">
        <f t="shared" si="71"/>
        <v>41565</v>
      </c>
      <c r="N270" s="733">
        <v>41568</v>
      </c>
      <c r="O270" s="734" t="s">
        <v>934</v>
      </c>
      <c r="P270" s="298">
        <v>27</v>
      </c>
      <c r="Q270" s="763">
        <v>7274</v>
      </c>
      <c r="R270" s="25">
        <f t="shared" si="73"/>
        <v>196398</v>
      </c>
      <c r="S270" s="442"/>
      <c r="T270" s="733"/>
      <c r="U270" s="765"/>
      <c r="V270" s="763"/>
      <c r="W270" s="25">
        <f t="shared" si="74"/>
        <v>0</v>
      </c>
    </row>
    <row r="271" spans="1:23" ht="16.5" customHeight="1">
      <c r="A271" s="719">
        <f t="shared" si="67"/>
        <v>22</v>
      </c>
      <c r="B271" s="290" t="s">
        <v>935</v>
      </c>
      <c r="C271" s="25">
        <f t="shared" si="68"/>
        <v>237460</v>
      </c>
      <c r="D271" s="720">
        <f t="shared" si="76"/>
        <v>26431.25753197915</v>
      </c>
      <c r="E271" s="720">
        <f t="shared" si="76"/>
        <v>1952.5793852453066</v>
      </c>
      <c r="F271" s="720">
        <f t="shared" si="76"/>
        <v>25896.940746010772</v>
      </c>
      <c r="G271" s="720">
        <f t="shared" si="76"/>
        <v>21198.43770418016</v>
      </c>
      <c r="H271" s="25">
        <f t="shared" si="75"/>
        <v>312939.21536741534</v>
      </c>
      <c r="I271" s="720">
        <v>80</v>
      </c>
      <c r="J271" s="720">
        <f t="shared" si="72"/>
        <v>3911.7401920926918</v>
      </c>
      <c r="K271" s="659"/>
      <c r="L271" s="801" t="s">
        <v>1197</v>
      </c>
      <c r="M271" s="733">
        <f t="shared" si="71"/>
        <v>41565</v>
      </c>
      <c r="N271" s="733">
        <v>41568</v>
      </c>
      <c r="O271" s="734" t="s">
        <v>934</v>
      </c>
      <c r="P271" s="298">
        <v>20</v>
      </c>
      <c r="Q271" s="763">
        <v>11873</v>
      </c>
      <c r="R271" s="25">
        <f t="shared" si="73"/>
        <v>237460</v>
      </c>
      <c r="S271" s="442"/>
      <c r="T271" s="733"/>
      <c r="U271" s="765"/>
      <c r="V271" s="763"/>
      <c r="W271" s="25">
        <f t="shared" si="74"/>
        <v>0</v>
      </c>
    </row>
    <row r="272" spans="1:23" ht="16.5" customHeight="1">
      <c r="A272" s="719">
        <f t="shared" si="67"/>
        <v>23</v>
      </c>
      <c r="B272" s="290" t="s">
        <v>1130</v>
      </c>
      <c r="C272" s="25">
        <f t="shared" si="68"/>
        <v>290960</v>
      </c>
      <c r="D272" s="720">
        <f t="shared" si="76"/>
        <v>26100.866812829408</v>
      </c>
      <c r="E272" s="720">
        <f t="shared" si="76"/>
        <v>1928.1721429297402</v>
      </c>
      <c r="F272" s="720">
        <f t="shared" si="76"/>
        <v>25573.228986685637</v>
      </c>
      <c r="G272" s="720">
        <f t="shared" si="76"/>
        <v>20933.457232877907</v>
      </c>
      <c r="H272" s="25">
        <f t="shared" si="75"/>
        <v>365495.72517532267</v>
      </c>
      <c r="I272" s="720">
        <v>79</v>
      </c>
      <c r="J272" s="720">
        <f t="shared" si="72"/>
        <v>4626.5281667762365</v>
      </c>
      <c r="K272" s="659"/>
      <c r="L272" s="189" t="s">
        <v>581</v>
      </c>
      <c r="M272" s="733">
        <f t="shared" si="71"/>
        <v>41565</v>
      </c>
      <c r="N272" s="733">
        <v>41568</v>
      </c>
      <c r="O272" s="734" t="s">
        <v>934</v>
      </c>
      <c r="P272" s="298">
        <v>40</v>
      </c>
      <c r="Q272" s="763">
        <v>7274</v>
      </c>
      <c r="R272" s="25">
        <f t="shared" si="73"/>
        <v>290960</v>
      </c>
      <c r="S272" s="442"/>
      <c r="T272" s="733"/>
      <c r="U272" s="765"/>
      <c r="V272" s="763"/>
      <c r="W272" s="25">
        <f t="shared" si="74"/>
        <v>0</v>
      </c>
    </row>
    <row r="273" spans="1:23" ht="16.5" customHeight="1">
      <c r="A273" s="719">
        <f t="shared" si="67"/>
        <v>24</v>
      </c>
      <c r="B273" s="290" t="s">
        <v>1127</v>
      </c>
      <c r="C273" s="25">
        <f t="shared" si="68"/>
        <v>253830</v>
      </c>
      <c r="D273" s="720">
        <f t="shared" si="76"/>
        <v>27092.038970278627</v>
      </c>
      <c r="E273" s="720">
        <f t="shared" si="76"/>
        <v>2001.3938698764393</v>
      </c>
      <c r="F273" s="720">
        <f t="shared" si="76"/>
        <v>26544.364264661042</v>
      </c>
      <c r="G273" s="720">
        <f t="shared" si="76"/>
        <v>21728.398646784663</v>
      </c>
      <c r="H273" s="25">
        <f t="shared" si="75"/>
        <v>331196.19575160078</v>
      </c>
      <c r="I273" s="720">
        <v>82</v>
      </c>
      <c r="J273" s="720">
        <f t="shared" si="72"/>
        <v>4038.9779969707411</v>
      </c>
      <c r="K273" s="659"/>
      <c r="L273" s="189" t="s">
        <v>580</v>
      </c>
      <c r="M273" s="733">
        <f t="shared" si="71"/>
        <v>41565</v>
      </c>
      <c r="N273" s="733">
        <v>41568</v>
      </c>
      <c r="O273" s="734" t="s">
        <v>934</v>
      </c>
      <c r="P273" s="298">
        <v>30</v>
      </c>
      <c r="Q273" s="763">
        <v>8461</v>
      </c>
      <c r="R273" s="25">
        <f t="shared" si="73"/>
        <v>253830</v>
      </c>
      <c r="S273" s="442"/>
      <c r="T273" s="733"/>
      <c r="U273" s="765"/>
      <c r="V273" s="763"/>
      <c r="W273" s="25">
        <f t="shared" si="74"/>
        <v>0</v>
      </c>
    </row>
    <row r="274" spans="1:23" ht="16.5" customHeight="1">
      <c r="A274" s="719">
        <f t="shared" si="67"/>
        <v>25</v>
      </c>
      <c r="B274" s="290" t="s">
        <v>936</v>
      </c>
      <c r="C274" s="25">
        <f t="shared" si="68"/>
        <v>445040</v>
      </c>
      <c r="D274" s="720">
        <f t="shared" si="76"/>
        <v>26761.648251128889</v>
      </c>
      <c r="E274" s="720">
        <f t="shared" si="76"/>
        <v>1976.9866275608729</v>
      </c>
      <c r="F274" s="720">
        <f t="shared" si="76"/>
        <v>26220.652505335907</v>
      </c>
      <c r="G274" s="720">
        <f t="shared" si="76"/>
        <v>21463.418175482413</v>
      </c>
      <c r="H274" s="25">
        <f t="shared" si="75"/>
        <v>521462.70555950812</v>
      </c>
      <c r="I274" s="720">
        <v>81</v>
      </c>
      <c r="J274" s="720">
        <f t="shared" si="72"/>
        <v>6437.8111797470137</v>
      </c>
      <c r="K274" s="659"/>
      <c r="L274" s="189" t="s">
        <v>603</v>
      </c>
      <c r="M274" s="733">
        <f t="shared" si="71"/>
        <v>41565</v>
      </c>
      <c r="N274" s="733">
        <v>41568</v>
      </c>
      <c r="O274" s="734" t="s">
        <v>934</v>
      </c>
      <c r="P274" s="298">
        <v>40</v>
      </c>
      <c r="Q274" s="763">
        <v>11126</v>
      </c>
      <c r="R274" s="25">
        <f t="shared" si="73"/>
        <v>445040</v>
      </c>
      <c r="S274" s="442"/>
      <c r="T274" s="733"/>
      <c r="U274" s="765"/>
      <c r="V274" s="763"/>
      <c r="W274" s="25">
        <f t="shared" si="74"/>
        <v>0</v>
      </c>
    </row>
    <row r="275" spans="1:23" ht="16.5" customHeight="1">
      <c r="A275" s="719">
        <f>IF(B275&lt;&gt;"",A274+1,"")</f>
        <v>26</v>
      </c>
      <c r="B275" s="290" t="s">
        <v>937</v>
      </c>
      <c r="C275" s="25">
        <f t="shared" si="68"/>
        <v>442900</v>
      </c>
      <c r="D275" s="720">
        <f t="shared" si="76"/>
        <v>26761.648251128889</v>
      </c>
      <c r="E275" s="720">
        <f t="shared" si="76"/>
        <v>1976.9866275608729</v>
      </c>
      <c r="F275" s="720">
        <f t="shared" si="76"/>
        <v>26220.652505335907</v>
      </c>
      <c r="G275" s="720">
        <f t="shared" si="76"/>
        <v>21463.418175482413</v>
      </c>
      <c r="H275" s="25">
        <f t="shared" si="75"/>
        <v>519322.70555950812</v>
      </c>
      <c r="I275" s="720">
        <v>81</v>
      </c>
      <c r="J275" s="720">
        <f t="shared" si="72"/>
        <v>6411.3914266605943</v>
      </c>
      <c r="K275" s="659"/>
      <c r="L275" s="801" t="s">
        <v>1186</v>
      </c>
      <c r="M275" s="733">
        <f t="shared" si="71"/>
        <v>41565</v>
      </c>
      <c r="N275" s="733">
        <v>41568</v>
      </c>
      <c r="O275" s="734" t="s">
        <v>934</v>
      </c>
      <c r="P275" s="298">
        <v>100</v>
      </c>
      <c r="Q275" s="763">
        <v>4429</v>
      </c>
      <c r="R275" s="25">
        <f t="shared" si="73"/>
        <v>442900</v>
      </c>
      <c r="S275" s="442"/>
      <c r="T275" s="733"/>
      <c r="U275" s="765"/>
      <c r="V275" s="763"/>
      <c r="W275" s="25">
        <f t="shared" si="74"/>
        <v>0</v>
      </c>
    </row>
    <row r="276" spans="1:23" ht="16.5" customHeight="1">
      <c r="A276" s="719">
        <f t="shared" si="67"/>
        <v>27</v>
      </c>
      <c r="B276" s="290" t="s">
        <v>938</v>
      </c>
      <c r="C276" s="25">
        <f t="shared" si="68"/>
        <v>298651</v>
      </c>
      <c r="D276" s="720">
        <f t="shared" si="76"/>
        <v>26431.25753197915</v>
      </c>
      <c r="E276" s="720">
        <f t="shared" si="76"/>
        <v>1952.5793852453066</v>
      </c>
      <c r="F276" s="720">
        <f t="shared" si="76"/>
        <v>25896.940746010772</v>
      </c>
      <c r="G276" s="720">
        <f t="shared" si="76"/>
        <v>21198.43770418016</v>
      </c>
      <c r="H276" s="25">
        <f t="shared" si="75"/>
        <v>374130.21536741534</v>
      </c>
      <c r="I276" s="720">
        <v>80</v>
      </c>
      <c r="J276" s="720">
        <f t="shared" si="72"/>
        <v>4676.6276920926921</v>
      </c>
      <c r="K276" s="659"/>
      <c r="L276" s="801" t="s">
        <v>1209</v>
      </c>
      <c r="M276" s="733">
        <f t="shared" si="71"/>
        <v>41565</v>
      </c>
      <c r="N276" s="733">
        <v>41568</v>
      </c>
      <c r="O276" s="734" t="s">
        <v>939</v>
      </c>
      <c r="P276" s="298">
        <v>15</v>
      </c>
      <c r="Q276" s="763">
        <v>19910.04</v>
      </c>
      <c r="R276" s="25">
        <f t="shared" si="73"/>
        <v>298651</v>
      </c>
      <c r="S276" s="442"/>
      <c r="T276" s="733"/>
      <c r="U276" s="765"/>
      <c r="V276" s="763"/>
      <c r="W276" s="25">
        <f t="shared" si="74"/>
        <v>0</v>
      </c>
    </row>
    <row r="277" spans="1:23" ht="16.5" customHeight="1">
      <c r="A277" s="719">
        <f t="shared" si="67"/>
        <v>28</v>
      </c>
      <c r="B277" s="290" t="s">
        <v>940</v>
      </c>
      <c r="C277" s="25">
        <f t="shared" si="68"/>
        <v>218220</v>
      </c>
      <c r="D277" s="720">
        <f t="shared" si="76"/>
        <v>19493.052429834624</v>
      </c>
      <c r="E277" s="720">
        <f t="shared" si="76"/>
        <v>1440.0272966184136</v>
      </c>
      <c r="F277" s="720">
        <f t="shared" si="76"/>
        <v>19098.993800182947</v>
      </c>
      <c r="G277" s="720">
        <f t="shared" si="76"/>
        <v>15633.847806832868</v>
      </c>
      <c r="H277" s="25">
        <f t="shared" si="75"/>
        <v>273885.92133346881</v>
      </c>
      <c r="I277" s="720">
        <v>59</v>
      </c>
      <c r="J277" s="720">
        <f t="shared" si="72"/>
        <v>4642.1342598893016</v>
      </c>
      <c r="K277" s="659"/>
      <c r="L277" s="189" t="s">
        <v>581</v>
      </c>
      <c r="M277" s="733">
        <f t="shared" si="71"/>
        <v>41565</v>
      </c>
      <c r="N277" s="733">
        <v>41568</v>
      </c>
      <c r="O277" s="734" t="s">
        <v>939</v>
      </c>
      <c r="P277" s="298">
        <v>30</v>
      </c>
      <c r="Q277" s="763">
        <v>7274</v>
      </c>
      <c r="R277" s="25">
        <f t="shared" si="73"/>
        <v>218220</v>
      </c>
      <c r="S277" s="442"/>
      <c r="T277" s="733"/>
      <c r="U277" s="765"/>
      <c r="V277" s="763"/>
      <c r="W277" s="25">
        <f t="shared" si="74"/>
        <v>0</v>
      </c>
    </row>
    <row r="278" spans="1:23" ht="16.5" customHeight="1">
      <c r="A278" s="719">
        <f t="shared" si="67"/>
        <v>29</v>
      </c>
      <c r="B278" s="290" t="s">
        <v>941</v>
      </c>
      <c r="C278" s="25">
        <f t="shared" si="68"/>
        <v>442900</v>
      </c>
      <c r="D278" s="720">
        <f t="shared" si="76"/>
        <v>26431.25753197915</v>
      </c>
      <c r="E278" s="720">
        <f t="shared" si="76"/>
        <v>1952.5793852453066</v>
      </c>
      <c r="F278" s="720">
        <f t="shared" si="76"/>
        <v>25896.940746010772</v>
      </c>
      <c r="G278" s="720">
        <f t="shared" si="76"/>
        <v>21198.43770418016</v>
      </c>
      <c r="H278" s="25">
        <f t="shared" si="75"/>
        <v>518379.21536741534</v>
      </c>
      <c r="I278" s="720">
        <v>80</v>
      </c>
      <c r="J278" s="720">
        <f t="shared" si="72"/>
        <v>6479.7401920926914</v>
      </c>
      <c r="K278" s="659"/>
      <c r="L278" s="801" t="s">
        <v>1186</v>
      </c>
      <c r="M278" s="733">
        <f t="shared" si="71"/>
        <v>41565</v>
      </c>
      <c r="N278" s="733">
        <v>41568</v>
      </c>
      <c r="O278" s="734" t="s">
        <v>939</v>
      </c>
      <c r="P278" s="298">
        <v>100</v>
      </c>
      <c r="Q278" s="763">
        <v>4429</v>
      </c>
      <c r="R278" s="25">
        <f t="shared" si="73"/>
        <v>442900</v>
      </c>
      <c r="S278" s="442"/>
      <c r="T278" s="733"/>
      <c r="U278" s="765"/>
      <c r="V278" s="763"/>
      <c r="W278" s="25">
        <f t="shared" si="74"/>
        <v>0</v>
      </c>
    </row>
    <row r="279" spans="1:23" ht="16.5" customHeight="1">
      <c r="A279" s="719">
        <f t="shared" si="67"/>
        <v>30</v>
      </c>
      <c r="B279" s="290" t="s">
        <v>942</v>
      </c>
      <c r="C279" s="25">
        <f t="shared" si="68"/>
        <v>125775</v>
      </c>
      <c r="D279" s="720">
        <f t="shared" si="76"/>
        <v>4955.8607872460907</v>
      </c>
      <c r="E279" s="720">
        <f t="shared" si="76"/>
        <v>366.10863473349497</v>
      </c>
      <c r="F279" s="720">
        <f t="shared" si="76"/>
        <v>4855.6763898770196</v>
      </c>
      <c r="G279" s="720">
        <f t="shared" si="76"/>
        <v>3974.7070695337798</v>
      </c>
      <c r="H279" s="25">
        <f t="shared" si="75"/>
        <v>139927.3528813904</v>
      </c>
      <c r="I279" s="720">
        <v>15</v>
      </c>
      <c r="J279" s="720">
        <f t="shared" si="72"/>
        <v>9328.4901920926932</v>
      </c>
      <c r="K279" s="659"/>
      <c r="L279" s="189" t="s">
        <v>597</v>
      </c>
      <c r="M279" s="733">
        <f t="shared" si="71"/>
        <v>41565</v>
      </c>
      <c r="N279" s="733">
        <v>41568</v>
      </c>
      <c r="O279" s="734" t="s">
        <v>939</v>
      </c>
      <c r="P279" s="298">
        <f>I279</f>
        <v>15</v>
      </c>
      <c r="Q279" s="763">
        <v>8385</v>
      </c>
      <c r="R279" s="25">
        <f t="shared" si="73"/>
        <v>125775</v>
      </c>
      <c r="S279" s="442"/>
      <c r="T279" s="733"/>
      <c r="U279" s="765"/>
      <c r="V279" s="763"/>
      <c r="W279" s="25">
        <f t="shared" si="74"/>
        <v>0</v>
      </c>
    </row>
    <row r="280" spans="1:23" ht="16.5" customHeight="1">
      <c r="A280" s="719">
        <f t="shared" si="67"/>
        <v>31</v>
      </c>
      <c r="B280" s="290" t="s">
        <v>943</v>
      </c>
      <c r="C280" s="25">
        <f t="shared" si="68"/>
        <v>207480</v>
      </c>
      <c r="D280" s="720">
        <f t="shared" si="76"/>
        <v>6938.2051021445268</v>
      </c>
      <c r="E280" s="720">
        <f t="shared" si="76"/>
        <v>512.55208862689301</v>
      </c>
      <c r="F280" s="720">
        <f t="shared" si="76"/>
        <v>6797.9469458278281</v>
      </c>
      <c r="G280" s="720">
        <f t="shared" si="76"/>
        <v>5564.5898973472922</v>
      </c>
      <c r="H280" s="25">
        <f t="shared" si="75"/>
        <v>227293.29403394656</v>
      </c>
      <c r="I280" s="720">
        <v>21</v>
      </c>
      <c r="J280" s="720">
        <f t="shared" si="72"/>
        <v>10823.490192092693</v>
      </c>
      <c r="K280" s="659"/>
      <c r="L280" s="189" t="s">
        <v>625</v>
      </c>
      <c r="M280" s="733">
        <f t="shared" si="71"/>
        <v>41565</v>
      </c>
      <c r="N280" s="733">
        <v>41568</v>
      </c>
      <c r="O280" s="734" t="s">
        <v>939</v>
      </c>
      <c r="P280" s="298">
        <v>15</v>
      </c>
      <c r="Q280" s="763">
        <v>13832</v>
      </c>
      <c r="R280" s="25">
        <f t="shared" si="73"/>
        <v>207480</v>
      </c>
      <c r="S280" s="442"/>
      <c r="T280" s="733"/>
      <c r="U280" s="765"/>
      <c r="V280" s="763"/>
      <c r="W280" s="25">
        <f t="shared" si="74"/>
        <v>0</v>
      </c>
    </row>
    <row r="281" spans="1:23" ht="16.5" customHeight="1">
      <c r="A281" s="719">
        <f t="shared" si="67"/>
        <v>32</v>
      </c>
      <c r="B281" s="290" t="s">
        <v>944</v>
      </c>
      <c r="C281" s="25">
        <f t="shared" si="68"/>
        <v>67080</v>
      </c>
      <c r="D281" s="720">
        <f t="shared" si="76"/>
        <v>2643.1257531979149</v>
      </c>
      <c r="E281" s="720">
        <f t="shared" si="76"/>
        <v>195.25793852453066</v>
      </c>
      <c r="F281" s="720">
        <f t="shared" si="76"/>
        <v>2589.6940746010773</v>
      </c>
      <c r="G281" s="720">
        <f t="shared" si="76"/>
        <v>2119.843770418016</v>
      </c>
      <c r="H281" s="25">
        <f t="shared" si="75"/>
        <v>74627.921536741545</v>
      </c>
      <c r="I281" s="720">
        <v>8</v>
      </c>
      <c r="J281" s="720">
        <f t="shared" si="72"/>
        <v>9328.4901920926932</v>
      </c>
      <c r="K281" s="659"/>
      <c r="L281" s="189" t="s">
        <v>597</v>
      </c>
      <c r="M281" s="733">
        <f t="shared" si="71"/>
        <v>41565</v>
      </c>
      <c r="N281" s="733">
        <v>41568</v>
      </c>
      <c r="O281" s="734" t="s">
        <v>939</v>
      </c>
      <c r="P281" s="298">
        <f>I281</f>
        <v>8</v>
      </c>
      <c r="Q281" s="763">
        <v>8385</v>
      </c>
      <c r="R281" s="25">
        <f t="shared" si="73"/>
        <v>67080</v>
      </c>
      <c r="S281" s="442"/>
      <c r="T281" s="733"/>
      <c r="U281" s="765"/>
      <c r="V281" s="763"/>
      <c r="W281" s="25">
        <f t="shared" si="74"/>
        <v>0</v>
      </c>
    </row>
    <row r="282" spans="1:23" ht="16.5" customHeight="1">
      <c r="A282" s="719">
        <f t="shared" si="67"/>
        <v>33</v>
      </c>
      <c r="B282" s="290" t="s">
        <v>945</v>
      </c>
      <c r="C282" s="25">
        <f t="shared" si="68"/>
        <v>99550</v>
      </c>
      <c r="D282" s="720">
        <f t="shared" si="76"/>
        <v>3303.9071914973938</v>
      </c>
      <c r="E282" s="720">
        <f t="shared" si="76"/>
        <v>244.07242315566333</v>
      </c>
      <c r="F282" s="720">
        <f t="shared" si="76"/>
        <v>3237.1175932513465</v>
      </c>
      <c r="G282" s="720">
        <f t="shared" si="76"/>
        <v>2649.80471302252</v>
      </c>
      <c r="H282" s="25">
        <f t="shared" ref="H282:H313" si="77">SUM(C282:G282)</f>
        <v>108984.90192092692</v>
      </c>
      <c r="I282" s="720">
        <v>10</v>
      </c>
      <c r="J282" s="720">
        <f t="shared" si="72"/>
        <v>10898.490192092691</v>
      </c>
      <c r="K282" s="659"/>
      <c r="L282" s="801" t="s">
        <v>1209</v>
      </c>
      <c r="M282" s="733">
        <f t="shared" si="71"/>
        <v>41565</v>
      </c>
      <c r="N282" s="733">
        <v>41568</v>
      </c>
      <c r="O282" s="734" t="s">
        <v>939</v>
      </c>
      <c r="P282" s="298">
        <f>I282/2</f>
        <v>5</v>
      </c>
      <c r="Q282" s="763">
        <v>19910.05909888824</v>
      </c>
      <c r="R282" s="25">
        <f t="shared" si="73"/>
        <v>99550</v>
      </c>
      <c r="S282" s="442"/>
      <c r="T282" s="733"/>
      <c r="U282" s="765"/>
      <c r="V282" s="763"/>
      <c r="W282" s="25">
        <f t="shared" si="74"/>
        <v>0</v>
      </c>
    </row>
    <row r="283" spans="1:23" ht="16.5" customHeight="1">
      <c r="A283" s="719">
        <f t="shared" si="67"/>
        <v>34</v>
      </c>
      <c r="B283" s="290" t="s">
        <v>946</v>
      </c>
      <c r="C283" s="25">
        <f t="shared" si="68"/>
        <v>143655</v>
      </c>
      <c r="D283" s="720">
        <f t="shared" si="76"/>
        <v>3303.9071914973938</v>
      </c>
      <c r="E283" s="720">
        <f t="shared" si="76"/>
        <v>244.07242315566333</v>
      </c>
      <c r="F283" s="720">
        <f t="shared" si="76"/>
        <v>3237.1175932513465</v>
      </c>
      <c r="G283" s="720">
        <f t="shared" si="76"/>
        <v>2649.80471302252</v>
      </c>
      <c r="H283" s="25">
        <f t="shared" si="77"/>
        <v>153089.9019209269</v>
      </c>
      <c r="I283" s="720">
        <v>10</v>
      </c>
      <c r="J283" s="720">
        <f t="shared" si="72"/>
        <v>15308.99019209269</v>
      </c>
      <c r="K283" s="659"/>
      <c r="L283" s="189" t="s">
        <v>643</v>
      </c>
      <c r="M283" s="733">
        <f t="shared" si="71"/>
        <v>41565</v>
      </c>
      <c r="N283" s="733">
        <v>41568</v>
      </c>
      <c r="O283" s="734" t="s">
        <v>939</v>
      </c>
      <c r="P283" s="298">
        <v>15</v>
      </c>
      <c r="Q283" s="763">
        <v>9577</v>
      </c>
      <c r="R283" s="25">
        <f t="shared" si="73"/>
        <v>143655</v>
      </c>
      <c r="S283" s="442"/>
      <c r="T283" s="733"/>
      <c r="U283" s="765"/>
      <c r="V283" s="763"/>
      <c r="W283" s="25">
        <f t="shared" si="74"/>
        <v>0</v>
      </c>
    </row>
    <row r="284" spans="1:23" ht="16.5" customHeight="1">
      <c r="A284" s="719">
        <f t="shared" si="67"/>
        <v>35</v>
      </c>
      <c r="B284" s="290" t="s">
        <v>947</v>
      </c>
      <c r="C284" s="25">
        <f t="shared" si="68"/>
        <v>374180</v>
      </c>
      <c r="D284" s="720">
        <f t="shared" si="76"/>
        <v>20484.224587283839</v>
      </c>
      <c r="E284" s="720">
        <f t="shared" si="76"/>
        <v>1513.2490235651126</v>
      </c>
      <c r="F284" s="720">
        <f t="shared" si="76"/>
        <v>20070.129078158348</v>
      </c>
      <c r="G284" s="720">
        <f t="shared" si="76"/>
        <v>16428.789220739625</v>
      </c>
      <c r="H284" s="25">
        <f t="shared" si="77"/>
        <v>432676.39190974692</v>
      </c>
      <c r="I284" s="720">
        <v>62</v>
      </c>
      <c r="J284" s="720">
        <f t="shared" si="72"/>
        <v>6978.6514824152728</v>
      </c>
      <c r="K284" s="659"/>
      <c r="L284" s="189" t="s">
        <v>648</v>
      </c>
      <c r="M284" s="733">
        <f t="shared" si="71"/>
        <v>41565</v>
      </c>
      <c r="N284" s="733">
        <v>41568</v>
      </c>
      <c r="O284" s="734" t="s">
        <v>948</v>
      </c>
      <c r="P284" s="8">
        <v>20</v>
      </c>
      <c r="Q284" s="286">
        <v>18709</v>
      </c>
      <c r="R284" s="25">
        <f t="shared" si="73"/>
        <v>374180</v>
      </c>
      <c r="S284" s="442"/>
      <c r="T284" s="733"/>
      <c r="U284" s="765"/>
      <c r="V284" s="763"/>
      <c r="W284" s="25">
        <f t="shared" si="74"/>
        <v>0</v>
      </c>
    </row>
    <row r="285" spans="1:23" ht="16.5" customHeight="1">
      <c r="A285" s="719">
        <f t="shared" si="67"/>
        <v>36</v>
      </c>
      <c r="B285" s="290" t="s">
        <v>949</v>
      </c>
      <c r="C285" s="25">
        <f t="shared" si="68"/>
        <v>574620</v>
      </c>
      <c r="D285" s="720">
        <f t="shared" si="76"/>
        <v>16519.535957486969</v>
      </c>
      <c r="E285" s="720">
        <f t="shared" si="76"/>
        <v>1220.3621157783166</v>
      </c>
      <c r="F285" s="720">
        <f t="shared" si="76"/>
        <v>16185.587966256733</v>
      </c>
      <c r="G285" s="720">
        <f t="shared" si="76"/>
        <v>13249.0235651126</v>
      </c>
      <c r="H285" s="25">
        <f t="shared" si="77"/>
        <v>621794.5096046346</v>
      </c>
      <c r="I285" s="720">
        <v>50</v>
      </c>
      <c r="J285" s="720">
        <f t="shared" si="72"/>
        <v>12435.890192092693</v>
      </c>
      <c r="K285" s="659"/>
      <c r="L285" s="189" t="s">
        <v>643</v>
      </c>
      <c r="M285" s="733">
        <f t="shared" si="71"/>
        <v>41565</v>
      </c>
      <c r="N285" s="733">
        <v>41568</v>
      </c>
      <c r="O285" s="734" t="s">
        <v>950</v>
      </c>
      <c r="P285" s="298">
        <v>60</v>
      </c>
      <c r="Q285" s="763">
        <v>9577</v>
      </c>
      <c r="R285" s="25">
        <f t="shared" si="73"/>
        <v>574620</v>
      </c>
      <c r="S285" s="442"/>
      <c r="T285" s="733"/>
      <c r="U285" s="765"/>
      <c r="V285" s="763"/>
      <c r="W285" s="25">
        <f t="shared" si="74"/>
        <v>0</v>
      </c>
    </row>
    <row r="286" spans="1:23" ht="16.5" customHeight="1">
      <c r="A286" s="719">
        <f t="shared" si="67"/>
        <v>37</v>
      </c>
      <c r="B286" s="290" t="s">
        <v>951</v>
      </c>
      <c r="C286" s="25">
        <f t="shared" si="68"/>
        <v>550851</v>
      </c>
      <c r="D286" s="720">
        <f t="shared" si="76"/>
        <v>16849.926676636707</v>
      </c>
      <c r="E286" s="720">
        <f t="shared" si="76"/>
        <v>1244.7693580938831</v>
      </c>
      <c r="F286" s="720">
        <f t="shared" si="76"/>
        <v>16509.299725581866</v>
      </c>
      <c r="G286" s="720">
        <f t="shared" si="76"/>
        <v>13514.004036414852</v>
      </c>
      <c r="H286" s="25">
        <f t="shared" si="77"/>
        <v>598968.99979672732</v>
      </c>
      <c r="I286" s="720">
        <v>51</v>
      </c>
      <c r="J286" s="720">
        <f t="shared" si="72"/>
        <v>11744.490192092693</v>
      </c>
      <c r="K286" s="659"/>
      <c r="L286" s="189" t="s">
        <v>639</v>
      </c>
      <c r="M286" s="733">
        <f t="shared" si="71"/>
        <v>41565</v>
      </c>
      <c r="N286" s="733">
        <v>41568</v>
      </c>
      <c r="O286" s="734" t="s">
        <v>952</v>
      </c>
      <c r="P286" s="298">
        <f>I286</f>
        <v>51</v>
      </c>
      <c r="Q286" s="763">
        <v>10801</v>
      </c>
      <c r="R286" s="25">
        <f t="shared" si="73"/>
        <v>550851</v>
      </c>
      <c r="S286" s="442"/>
      <c r="T286" s="733"/>
      <c r="U286" s="765"/>
      <c r="V286" s="763"/>
      <c r="W286" s="25">
        <f t="shared" si="74"/>
        <v>0</v>
      </c>
    </row>
    <row r="287" spans="1:23" ht="16.5" customHeight="1">
      <c r="A287" s="719">
        <f t="shared" si="67"/>
        <v>38</v>
      </c>
      <c r="B287" s="290" t="s">
        <v>1124</v>
      </c>
      <c r="C287" s="25">
        <f t="shared" si="68"/>
        <v>240042</v>
      </c>
      <c r="D287" s="720">
        <f t="shared" si="76"/>
        <v>21805.7874638828</v>
      </c>
      <c r="E287" s="720">
        <f t="shared" si="76"/>
        <v>1610.877992827378</v>
      </c>
      <c r="F287" s="720">
        <f t="shared" si="76"/>
        <v>21364.976115458889</v>
      </c>
      <c r="G287" s="720">
        <f t="shared" si="76"/>
        <v>17488.711105948631</v>
      </c>
      <c r="H287" s="25">
        <f t="shared" si="77"/>
        <v>302312.35267811763</v>
      </c>
      <c r="I287" s="720">
        <v>66</v>
      </c>
      <c r="J287" s="720">
        <f t="shared" si="72"/>
        <v>4580.4901920926914</v>
      </c>
      <c r="K287" s="659"/>
      <c r="L287" s="189" t="s">
        <v>581</v>
      </c>
      <c r="M287" s="733">
        <f t="shared" si="71"/>
        <v>41565</v>
      </c>
      <c r="N287" s="733">
        <v>41568</v>
      </c>
      <c r="O287" s="734" t="s">
        <v>953</v>
      </c>
      <c r="P287" s="298">
        <f>I287/2</f>
        <v>33</v>
      </c>
      <c r="Q287" s="763">
        <v>7274</v>
      </c>
      <c r="R287" s="25">
        <f t="shared" si="73"/>
        <v>240042</v>
      </c>
      <c r="S287" s="442"/>
      <c r="T287" s="733"/>
      <c r="U287" s="765"/>
      <c r="V287" s="763"/>
      <c r="W287" s="25">
        <f t="shared" si="74"/>
        <v>0</v>
      </c>
    </row>
    <row r="288" spans="1:23" ht="16.5" customHeight="1">
      <c r="A288" s="719">
        <f t="shared" si="67"/>
        <v>39</v>
      </c>
      <c r="B288" s="290" t="s">
        <v>1125</v>
      </c>
      <c r="C288" s="25">
        <f t="shared" si="68"/>
        <v>245040</v>
      </c>
      <c r="D288" s="720">
        <f t="shared" si="76"/>
        <v>20484.224587283839</v>
      </c>
      <c r="E288" s="720">
        <f t="shared" si="76"/>
        <v>1513.2490235651126</v>
      </c>
      <c r="F288" s="720">
        <f t="shared" si="76"/>
        <v>20070.129078158348</v>
      </c>
      <c r="G288" s="720">
        <f t="shared" si="76"/>
        <v>16428.789220739625</v>
      </c>
      <c r="H288" s="25">
        <f t="shared" si="77"/>
        <v>303536.39190974692</v>
      </c>
      <c r="I288" s="720">
        <v>62</v>
      </c>
      <c r="J288" s="720">
        <f t="shared" si="72"/>
        <v>4895.7482566088211</v>
      </c>
      <c r="K288" s="659"/>
      <c r="L288" s="290" t="s">
        <v>608</v>
      </c>
      <c r="M288" s="733">
        <f t="shared" si="71"/>
        <v>41565</v>
      </c>
      <c r="N288" s="733">
        <v>41568</v>
      </c>
      <c r="O288" s="734" t="s">
        <v>611</v>
      </c>
      <c r="P288" s="298">
        <v>12</v>
      </c>
      <c r="Q288" s="763">
        <v>20420</v>
      </c>
      <c r="R288" s="25">
        <f t="shared" si="73"/>
        <v>245040</v>
      </c>
      <c r="S288" s="442"/>
      <c r="T288" s="733"/>
      <c r="U288" s="765"/>
      <c r="V288" s="763"/>
      <c r="W288" s="25">
        <f t="shared" si="74"/>
        <v>0</v>
      </c>
    </row>
    <row r="289" spans="1:23" ht="16.5" customHeight="1">
      <c r="A289" s="719">
        <f t="shared" si="67"/>
        <v>40</v>
      </c>
      <c r="B289" s="290" t="s">
        <v>954</v>
      </c>
      <c r="C289" s="25">
        <f t="shared" si="68"/>
        <v>240000</v>
      </c>
      <c r="D289" s="720">
        <f t="shared" si="76"/>
        <v>5286.2515063958299</v>
      </c>
      <c r="E289" s="720">
        <f t="shared" si="76"/>
        <v>390.51587704906132</v>
      </c>
      <c r="F289" s="720">
        <f t="shared" si="76"/>
        <v>5179.3881492021546</v>
      </c>
      <c r="G289" s="720">
        <f t="shared" si="76"/>
        <v>4239.687540836032</v>
      </c>
      <c r="H289" s="25">
        <f t="shared" si="77"/>
        <v>255095.84307348309</v>
      </c>
      <c r="I289" s="720">
        <v>16</v>
      </c>
      <c r="J289" s="720">
        <f t="shared" si="72"/>
        <v>15943.490192092693</v>
      </c>
      <c r="K289" s="659"/>
      <c r="L289" s="189" t="s">
        <v>678</v>
      </c>
      <c r="M289" s="733">
        <f t="shared" si="71"/>
        <v>41565</v>
      </c>
      <c r="N289" s="733">
        <v>41568</v>
      </c>
      <c r="O289" s="734" t="s">
        <v>955</v>
      </c>
      <c r="P289" s="298">
        <f>I289</f>
        <v>16</v>
      </c>
      <c r="Q289" s="763">
        <v>15000</v>
      </c>
      <c r="R289" s="25">
        <f t="shared" si="73"/>
        <v>240000</v>
      </c>
      <c r="S289" s="442"/>
      <c r="T289" s="733"/>
      <c r="U289" s="765"/>
      <c r="V289" s="763"/>
      <c r="W289" s="25">
        <f t="shared" si="74"/>
        <v>0</v>
      </c>
    </row>
    <row r="290" spans="1:23" ht="16.5" customHeight="1">
      <c r="A290" s="719">
        <f t="shared" si="67"/>
        <v>41</v>
      </c>
      <c r="B290" s="290" t="s">
        <v>956</v>
      </c>
      <c r="C290" s="25">
        <f t="shared" si="68"/>
        <v>195000</v>
      </c>
      <c r="D290" s="720">
        <f t="shared" ref="D290:G309" si="78">IF($I$367&lt;&gt;0,D$367/$I$367*$I290,0)</f>
        <v>4295.0793489466114</v>
      </c>
      <c r="E290" s="720">
        <f t="shared" si="78"/>
        <v>317.29415010236232</v>
      </c>
      <c r="F290" s="720">
        <f t="shared" si="78"/>
        <v>4208.2528712267504</v>
      </c>
      <c r="G290" s="720">
        <f t="shared" si="78"/>
        <v>3444.7461269292762</v>
      </c>
      <c r="H290" s="25">
        <f t="shared" si="77"/>
        <v>207265.37249720498</v>
      </c>
      <c r="I290" s="720">
        <v>13</v>
      </c>
      <c r="J290" s="720">
        <f t="shared" si="72"/>
        <v>15943.490192092691</v>
      </c>
      <c r="K290" s="659"/>
      <c r="L290" s="189" t="s">
        <v>678</v>
      </c>
      <c r="M290" s="733">
        <f t="shared" si="71"/>
        <v>41565</v>
      </c>
      <c r="N290" s="733">
        <v>41568</v>
      </c>
      <c r="O290" s="734" t="s">
        <v>957</v>
      </c>
      <c r="P290" s="298">
        <f>I290</f>
        <v>13</v>
      </c>
      <c r="Q290" s="763">
        <v>15000</v>
      </c>
      <c r="R290" s="25">
        <f t="shared" si="73"/>
        <v>195000</v>
      </c>
      <c r="S290" s="442"/>
      <c r="T290" s="733"/>
      <c r="U290" s="765"/>
      <c r="V290" s="763"/>
      <c r="W290" s="25">
        <f t="shared" si="74"/>
        <v>0</v>
      </c>
    </row>
    <row r="291" spans="1:23" ht="16.5" customHeight="1">
      <c r="A291" s="719">
        <f>IF(B291&lt;&gt;"",A290+1,"")</f>
        <v>42</v>
      </c>
      <c r="B291" s="290" t="s">
        <v>958</v>
      </c>
      <c r="C291" s="25">
        <f t="shared" si="68"/>
        <v>299364</v>
      </c>
      <c r="D291" s="720">
        <f t="shared" si="78"/>
        <v>4295.0793489466114</v>
      </c>
      <c r="E291" s="720">
        <f t="shared" si="78"/>
        <v>317.29415010236232</v>
      </c>
      <c r="F291" s="720">
        <f t="shared" si="78"/>
        <v>4208.2528712267504</v>
      </c>
      <c r="G291" s="720">
        <f t="shared" si="78"/>
        <v>3444.7461269292762</v>
      </c>
      <c r="H291" s="25">
        <f t="shared" si="77"/>
        <v>311629.37249720504</v>
      </c>
      <c r="I291" s="720">
        <v>13</v>
      </c>
      <c r="J291" s="720">
        <f t="shared" si="72"/>
        <v>23971.490192092697</v>
      </c>
      <c r="K291" s="659"/>
      <c r="L291" s="801" t="s">
        <v>1219</v>
      </c>
      <c r="M291" s="733">
        <f t="shared" si="71"/>
        <v>41565</v>
      </c>
      <c r="N291" s="733">
        <v>41568</v>
      </c>
      <c r="O291" s="734" t="s">
        <v>959</v>
      </c>
      <c r="P291" s="298">
        <v>13</v>
      </c>
      <c r="Q291" s="763">
        <v>23028</v>
      </c>
      <c r="R291" s="25">
        <f t="shared" si="73"/>
        <v>299364</v>
      </c>
      <c r="S291" s="442"/>
      <c r="T291" s="733"/>
      <c r="U291" s="765"/>
      <c r="V291" s="763"/>
      <c r="W291" s="25">
        <f t="shared" si="74"/>
        <v>0</v>
      </c>
    </row>
    <row r="292" spans="1:23" ht="16.5" customHeight="1">
      <c r="A292" s="719">
        <f t="shared" si="67"/>
        <v>43</v>
      </c>
      <c r="B292" s="290" t="s">
        <v>1121</v>
      </c>
      <c r="C292" s="25">
        <f t="shared" si="68"/>
        <v>693000</v>
      </c>
      <c r="D292" s="720">
        <f t="shared" si="78"/>
        <v>66078.143829947876</v>
      </c>
      <c r="E292" s="720">
        <f t="shared" si="78"/>
        <v>4881.4484631132664</v>
      </c>
      <c r="F292" s="720">
        <f t="shared" si="78"/>
        <v>64742.351865026933</v>
      </c>
      <c r="G292" s="720">
        <f t="shared" si="78"/>
        <v>52996.094260450402</v>
      </c>
      <c r="H292" s="25">
        <f t="shared" si="77"/>
        <v>881698.03841853864</v>
      </c>
      <c r="I292" s="720">
        <v>200</v>
      </c>
      <c r="J292" s="720">
        <f t="shared" si="72"/>
        <v>4408.4901920926932</v>
      </c>
      <c r="K292" s="659"/>
      <c r="L292" s="189" t="s">
        <v>617</v>
      </c>
      <c r="M292" s="733">
        <f t="shared" si="71"/>
        <v>41565</v>
      </c>
      <c r="N292" s="733">
        <v>41568</v>
      </c>
      <c r="O292" s="734" t="s">
        <v>950</v>
      </c>
      <c r="P292" s="298">
        <v>105</v>
      </c>
      <c r="Q292" s="763">
        <v>6600</v>
      </c>
      <c r="R292" s="25">
        <f t="shared" si="73"/>
        <v>693000</v>
      </c>
      <c r="S292" s="442"/>
      <c r="T292" s="733"/>
      <c r="U292" s="765"/>
      <c r="V292" s="763"/>
      <c r="W292" s="25">
        <f t="shared" si="74"/>
        <v>0</v>
      </c>
    </row>
    <row r="293" spans="1:23" ht="16.5" customHeight="1">
      <c r="A293" s="719">
        <f t="shared" si="67"/>
        <v>44</v>
      </c>
      <c r="B293" s="290" t="s">
        <v>960</v>
      </c>
      <c r="C293" s="25">
        <f t="shared" si="68"/>
        <v>1641600</v>
      </c>
      <c r="D293" s="720">
        <f t="shared" si="78"/>
        <v>16519.535957486969</v>
      </c>
      <c r="E293" s="720">
        <f t="shared" si="78"/>
        <v>1220.3621157783166</v>
      </c>
      <c r="F293" s="720">
        <f t="shared" si="78"/>
        <v>16185.587966256733</v>
      </c>
      <c r="G293" s="720">
        <f t="shared" si="78"/>
        <v>13249.0235651126</v>
      </c>
      <c r="H293" s="25">
        <f t="shared" si="77"/>
        <v>1688774.5096046347</v>
      </c>
      <c r="I293" s="720">
        <v>50</v>
      </c>
      <c r="J293" s="720">
        <f t="shared" si="72"/>
        <v>33775.490192092693</v>
      </c>
      <c r="K293" s="659"/>
      <c r="L293" s="801" t="s">
        <v>1145</v>
      </c>
      <c r="M293" s="733">
        <f t="shared" si="71"/>
        <v>41565</v>
      </c>
      <c r="N293" s="733">
        <v>41568</v>
      </c>
      <c r="O293" s="734" t="s">
        <v>955</v>
      </c>
      <c r="P293" s="298">
        <v>50</v>
      </c>
      <c r="Q293" s="763">
        <v>32832</v>
      </c>
      <c r="R293" s="25">
        <f t="shared" si="73"/>
        <v>1641600</v>
      </c>
      <c r="S293" s="442"/>
      <c r="T293" s="733"/>
      <c r="U293" s="765"/>
      <c r="V293" s="763"/>
      <c r="W293" s="25">
        <f t="shared" si="74"/>
        <v>0</v>
      </c>
    </row>
    <row r="294" spans="1:23" ht="16.5" customHeight="1">
      <c r="A294" s="719">
        <f t="shared" si="67"/>
        <v>45</v>
      </c>
      <c r="B294" s="290" t="s">
        <v>961</v>
      </c>
      <c r="C294" s="25">
        <f t="shared" si="68"/>
        <v>3079890</v>
      </c>
      <c r="D294" s="720">
        <f t="shared" si="78"/>
        <v>16519.535957486969</v>
      </c>
      <c r="E294" s="720">
        <f t="shared" si="78"/>
        <v>1220.3621157783166</v>
      </c>
      <c r="F294" s="720">
        <f t="shared" si="78"/>
        <v>16185.587966256733</v>
      </c>
      <c r="G294" s="720">
        <f t="shared" si="78"/>
        <v>13249.0235651126</v>
      </c>
      <c r="H294" s="25">
        <f t="shared" si="77"/>
        <v>3127064.5096046347</v>
      </c>
      <c r="I294" s="720">
        <v>50</v>
      </c>
      <c r="J294" s="720">
        <f t="shared" si="72"/>
        <v>62541.290192092696</v>
      </c>
      <c r="K294" s="659"/>
      <c r="L294" s="801" t="s">
        <v>605</v>
      </c>
      <c r="M294" s="733">
        <f t="shared" si="71"/>
        <v>41565</v>
      </c>
      <c r="N294" s="733">
        <v>41568</v>
      </c>
      <c r="O294" s="734" t="s">
        <v>955</v>
      </c>
      <c r="P294" s="298">
        <v>85</v>
      </c>
      <c r="Q294" s="763">
        <v>36234</v>
      </c>
      <c r="R294" s="25">
        <f t="shared" si="73"/>
        <v>3079890</v>
      </c>
      <c r="S294" s="442"/>
      <c r="T294" s="733"/>
      <c r="U294" s="765"/>
      <c r="V294" s="763"/>
      <c r="W294" s="25">
        <f t="shared" si="74"/>
        <v>0</v>
      </c>
    </row>
    <row r="295" spans="1:23" ht="16.5" customHeight="1">
      <c r="A295" s="719">
        <f t="shared" si="67"/>
        <v>46</v>
      </c>
      <c r="B295" s="290" t="s">
        <v>1120</v>
      </c>
      <c r="C295" s="25">
        <f t="shared" si="68"/>
        <v>6905808</v>
      </c>
      <c r="D295" s="720">
        <f t="shared" si="78"/>
        <v>654173.62391648395</v>
      </c>
      <c r="E295" s="720">
        <f t="shared" si="78"/>
        <v>48326.339784821335</v>
      </c>
      <c r="F295" s="720">
        <f t="shared" si="78"/>
        <v>640949.28346376668</v>
      </c>
      <c r="G295" s="720">
        <f t="shared" si="78"/>
        <v>524661.33317845897</v>
      </c>
      <c r="H295" s="25">
        <f t="shared" si="77"/>
        <v>8773918.5803435314</v>
      </c>
      <c r="I295" s="720">
        <v>1980</v>
      </c>
      <c r="J295" s="720">
        <f t="shared" si="72"/>
        <v>4431.2720102745106</v>
      </c>
      <c r="K295" s="659"/>
      <c r="L295" s="189" t="s">
        <v>572</v>
      </c>
      <c r="M295" s="733">
        <f t="shared" si="71"/>
        <v>41566</v>
      </c>
      <c r="N295" s="733">
        <v>41569</v>
      </c>
      <c r="O295" s="734" t="s">
        <v>957</v>
      </c>
      <c r="P295" s="298">
        <v>336</v>
      </c>
      <c r="Q295" s="763">
        <v>20553</v>
      </c>
      <c r="R295" s="25">
        <f t="shared" si="73"/>
        <v>6905808</v>
      </c>
      <c r="S295" s="442"/>
      <c r="T295" s="733"/>
      <c r="U295" s="765"/>
      <c r="V295" s="763"/>
      <c r="W295" s="25">
        <f t="shared" si="74"/>
        <v>0</v>
      </c>
    </row>
    <row r="296" spans="1:23" ht="16.5" customHeight="1">
      <c r="A296" s="719">
        <f t="shared" si="67"/>
        <v>47</v>
      </c>
      <c r="B296" s="290" t="s">
        <v>1097</v>
      </c>
      <c r="C296" s="25">
        <f t="shared" si="68"/>
        <v>497751</v>
      </c>
      <c r="D296" s="720">
        <f t="shared" si="78"/>
        <v>33039.071914973938</v>
      </c>
      <c r="E296" s="720">
        <f t="shared" si="78"/>
        <v>2440.7242315566332</v>
      </c>
      <c r="F296" s="720">
        <f t="shared" si="78"/>
        <v>32371.175932513466</v>
      </c>
      <c r="G296" s="720">
        <f t="shared" si="78"/>
        <v>26498.047130225201</v>
      </c>
      <c r="H296" s="25">
        <f t="shared" si="77"/>
        <v>592100.0192092692</v>
      </c>
      <c r="I296" s="720">
        <v>100</v>
      </c>
      <c r="J296" s="720">
        <f t="shared" si="72"/>
        <v>5921.0001920926916</v>
      </c>
      <c r="K296" s="659"/>
      <c r="L296" s="801" t="s">
        <v>1209</v>
      </c>
      <c r="M296" s="733">
        <f t="shared" si="71"/>
        <v>41568</v>
      </c>
      <c r="N296" s="733">
        <v>41571</v>
      </c>
      <c r="O296" s="734" t="s">
        <v>959</v>
      </c>
      <c r="P296" s="298">
        <v>25</v>
      </c>
      <c r="Q296" s="763">
        <v>19910.04</v>
      </c>
      <c r="R296" s="25">
        <f t="shared" si="73"/>
        <v>497751</v>
      </c>
      <c r="S296" s="442"/>
      <c r="T296" s="733"/>
      <c r="U296" s="765"/>
      <c r="V296" s="763"/>
      <c r="W296" s="25">
        <f t="shared" si="74"/>
        <v>0</v>
      </c>
    </row>
    <row r="297" spans="1:23" ht="16.5" customHeight="1">
      <c r="A297" s="719">
        <f t="shared" si="67"/>
        <v>48</v>
      </c>
      <c r="B297" s="290" t="s">
        <v>781</v>
      </c>
      <c r="C297" s="25">
        <f t="shared" si="68"/>
        <v>1633000</v>
      </c>
      <c r="D297" s="720">
        <f t="shared" si="78"/>
        <v>66078.143829947876</v>
      </c>
      <c r="E297" s="720">
        <f t="shared" si="78"/>
        <v>4881.4484631132664</v>
      </c>
      <c r="F297" s="720">
        <f t="shared" si="78"/>
        <v>64742.351865026933</v>
      </c>
      <c r="G297" s="720">
        <f t="shared" si="78"/>
        <v>52996.094260450402</v>
      </c>
      <c r="H297" s="25">
        <f t="shared" si="77"/>
        <v>1821698.0384185384</v>
      </c>
      <c r="I297" s="720">
        <v>200</v>
      </c>
      <c r="J297" s="720">
        <f t="shared" si="72"/>
        <v>9108.4901920926914</v>
      </c>
      <c r="K297" s="659"/>
      <c r="L297" s="801" t="s">
        <v>1166</v>
      </c>
      <c r="M297" s="733">
        <f t="shared" si="71"/>
        <v>41568</v>
      </c>
      <c r="N297" s="733">
        <v>41571</v>
      </c>
      <c r="O297" s="734" t="s">
        <v>959</v>
      </c>
      <c r="P297" s="298">
        <v>200</v>
      </c>
      <c r="Q297" s="763">
        <v>8165</v>
      </c>
      <c r="R297" s="25">
        <f t="shared" si="73"/>
        <v>1633000</v>
      </c>
      <c r="S297" s="442"/>
      <c r="T297" s="733"/>
      <c r="U297" s="765"/>
      <c r="V297" s="763"/>
      <c r="W297" s="25">
        <f t="shared" si="74"/>
        <v>0</v>
      </c>
    </row>
    <row r="298" spans="1:23" ht="16.5" customHeight="1">
      <c r="A298" s="719">
        <f t="shared" si="67"/>
        <v>49</v>
      </c>
      <c r="B298" s="290" t="s">
        <v>1097</v>
      </c>
      <c r="C298" s="25">
        <f t="shared" si="68"/>
        <v>1123800</v>
      </c>
      <c r="D298" s="720">
        <f t="shared" si="78"/>
        <v>66078.143829947876</v>
      </c>
      <c r="E298" s="720">
        <f t="shared" si="78"/>
        <v>4881.4484631132664</v>
      </c>
      <c r="F298" s="720">
        <f t="shared" si="78"/>
        <v>64742.351865026933</v>
      </c>
      <c r="G298" s="720">
        <f t="shared" si="78"/>
        <v>52996.094260450402</v>
      </c>
      <c r="H298" s="25">
        <f t="shared" si="77"/>
        <v>1312498.0384185384</v>
      </c>
      <c r="I298" s="720">
        <v>200</v>
      </c>
      <c r="J298" s="720">
        <f t="shared" si="72"/>
        <v>6562.4901920926923</v>
      </c>
      <c r="K298" s="659"/>
      <c r="L298" s="189" t="s">
        <v>632</v>
      </c>
      <c r="M298" s="733">
        <f t="shared" si="71"/>
        <v>41568</v>
      </c>
      <c r="N298" s="733">
        <v>41571</v>
      </c>
      <c r="O298" s="734" t="s">
        <v>959</v>
      </c>
      <c r="P298" s="298">
        <v>100</v>
      </c>
      <c r="Q298" s="763">
        <v>11238</v>
      </c>
      <c r="R298" s="25">
        <f t="shared" si="73"/>
        <v>1123800</v>
      </c>
      <c r="S298" s="442"/>
      <c r="T298" s="733"/>
      <c r="U298" s="765"/>
      <c r="V298" s="763"/>
      <c r="W298" s="25">
        <f t="shared" si="74"/>
        <v>0</v>
      </c>
    </row>
    <row r="299" spans="1:23" ht="16.5" customHeight="1">
      <c r="A299" s="719">
        <f t="shared" si="67"/>
        <v>50</v>
      </c>
      <c r="B299" s="290" t="s">
        <v>907</v>
      </c>
      <c r="C299" s="25">
        <f t="shared" si="68"/>
        <v>9600000</v>
      </c>
      <c r="D299" s="720">
        <f t="shared" si="78"/>
        <v>193278.57070259753</v>
      </c>
      <c r="E299" s="720">
        <f t="shared" si="78"/>
        <v>14278.236754606305</v>
      </c>
      <c r="F299" s="720">
        <f t="shared" si="78"/>
        <v>189371.37920520379</v>
      </c>
      <c r="G299" s="720">
        <f t="shared" si="78"/>
        <v>155013.57571181742</v>
      </c>
      <c r="H299" s="25">
        <f t="shared" si="77"/>
        <v>10151941.762374224</v>
      </c>
      <c r="I299" s="720">
        <v>585</v>
      </c>
      <c r="J299" s="720">
        <f t="shared" si="72"/>
        <v>17353.7466023491</v>
      </c>
      <c r="K299" s="659"/>
      <c r="L299" s="189" t="s">
        <v>657</v>
      </c>
      <c r="M299" s="733">
        <f t="shared" si="71"/>
        <v>41568</v>
      </c>
      <c r="N299" s="733">
        <v>41571</v>
      </c>
      <c r="O299" s="734" t="s">
        <v>962</v>
      </c>
      <c r="P299" s="298">
        <v>600</v>
      </c>
      <c r="Q299" s="756">
        <v>16000</v>
      </c>
      <c r="R299" s="25">
        <f t="shared" si="73"/>
        <v>9600000</v>
      </c>
      <c r="S299" s="442"/>
      <c r="T299" s="733"/>
      <c r="U299" s="765"/>
      <c r="V299" s="763"/>
      <c r="W299" s="25">
        <f t="shared" si="74"/>
        <v>0</v>
      </c>
    </row>
    <row r="300" spans="1:23" ht="16.5" customHeight="1">
      <c r="A300" s="719">
        <f t="shared" si="67"/>
        <v>51</v>
      </c>
      <c r="B300" s="290" t="s">
        <v>1116</v>
      </c>
      <c r="C300" s="25">
        <f t="shared" si="68"/>
        <v>199100</v>
      </c>
      <c r="D300" s="720">
        <f t="shared" si="78"/>
        <v>16189.145238337229</v>
      </c>
      <c r="E300" s="720">
        <f t="shared" si="78"/>
        <v>1195.9548734627504</v>
      </c>
      <c r="F300" s="720">
        <f t="shared" si="78"/>
        <v>15861.876206931598</v>
      </c>
      <c r="G300" s="720">
        <f t="shared" si="78"/>
        <v>12984.043093810347</v>
      </c>
      <c r="H300" s="25">
        <f t="shared" si="77"/>
        <v>245331.01941254194</v>
      </c>
      <c r="I300" s="720">
        <v>49</v>
      </c>
      <c r="J300" s="720">
        <f t="shared" si="72"/>
        <v>5006.7554982151414</v>
      </c>
      <c r="K300" s="659"/>
      <c r="L300" s="801" t="s">
        <v>1209</v>
      </c>
      <c r="M300" s="733">
        <f t="shared" si="71"/>
        <v>41570</v>
      </c>
      <c r="N300" s="733">
        <v>41573</v>
      </c>
      <c r="O300" s="734" t="s">
        <v>963</v>
      </c>
      <c r="P300" s="298">
        <v>10</v>
      </c>
      <c r="Q300" s="763">
        <v>19910.04</v>
      </c>
      <c r="R300" s="25">
        <f t="shared" si="73"/>
        <v>199100</v>
      </c>
      <c r="S300" s="442"/>
      <c r="T300" s="733"/>
      <c r="U300" s="765"/>
      <c r="V300" s="763"/>
      <c r="W300" s="25">
        <f t="shared" si="74"/>
        <v>0</v>
      </c>
    </row>
    <row r="301" spans="1:23" ht="16.5" customHeight="1">
      <c r="A301" s="719">
        <f>IF(B301&lt;&gt;"",A300+1,"")</f>
        <v>52</v>
      </c>
      <c r="B301" s="290" t="s">
        <v>1115</v>
      </c>
      <c r="C301" s="25">
        <f t="shared" si="68"/>
        <v>9500000</v>
      </c>
      <c r="D301" s="720">
        <f t="shared" si="78"/>
        <v>1054276.7848068182</v>
      </c>
      <c r="E301" s="720">
        <f t="shared" si="78"/>
        <v>77883.510228972169</v>
      </c>
      <c r="F301" s="720">
        <f t="shared" si="78"/>
        <v>1032964.2240065048</v>
      </c>
      <c r="G301" s="720">
        <f t="shared" si="78"/>
        <v>845552.68392548617</v>
      </c>
      <c r="H301" s="25">
        <f t="shared" si="77"/>
        <v>12510677.202967782</v>
      </c>
      <c r="I301" s="720">
        <v>3191</v>
      </c>
      <c r="J301" s="720">
        <f t="shared" si="72"/>
        <v>3920.6133509770548</v>
      </c>
      <c r="K301" s="659"/>
      <c r="L301" s="189" t="s">
        <v>675</v>
      </c>
      <c r="M301" s="733">
        <f t="shared" si="71"/>
        <v>41570</v>
      </c>
      <c r="N301" s="733">
        <v>41573</v>
      </c>
      <c r="O301" s="734" t="s">
        <v>963</v>
      </c>
      <c r="P301" s="298">
        <v>1000</v>
      </c>
      <c r="Q301" s="763">
        <v>9500</v>
      </c>
      <c r="R301" s="25">
        <f t="shared" si="73"/>
        <v>9500000</v>
      </c>
      <c r="S301" s="442"/>
      <c r="T301" s="733"/>
      <c r="U301" s="765"/>
      <c r="V301" s="763"/>
      <c r="W301" s="25">
        <f t="shared" si="74"/>
        <v>0</v>
      </c>
    </row>
    <row r="302" spans="1:23" ht="16.5" customHeight="1">
      <c r="A302" s="719">
        <f t="shared" si="67"/>
        <v>53</v>
      </c>
      <c r="B302" s="290" t="s">
        <v>909</v>
      </c>
      <c r="C302" s="25">
        <f t="shared" si="68"/>
        <v>5484864</v>
      </c>
      <c r="D302" s="720">
        <f t="shared" si="78"/>
        <v>122574.95680455331</v>
      </c>
      <c r="E302" s="720">
        <f t="shared" si="78"/>
        <v>9055.0868990751096</v>
      </c>
      <c r="F302" s="720">
        <f t="shared" si="78"/>
        <v>120097.06270962497</v>
      </c>
      <c r="G302" s="720">
        <f t="shared" si="78"/>
        <v>98307.754853135499</v>
      </c>
      <c r="H302" s="25">
        <f t="shared" si="77"/>
        <v>5834898.8612663886</v>
      </c>
      <c r="I302" s="720">
        <v>371</v>
      </c>
      <c r="J302" s="720">
        <f t="shared" si="72"/>
        <v>15727.490192092691</v>
      </c>
      <c r="K302" s="659"/>
      <c r="L302" s="189" t="s">
        <v>599</v>
      </c>
      <c r="M302" s="733">
        <f t="shared" si="71"/>
        <v>41574</v>
      </c>
      <c r="N302" s="733">
        <v>41577</v>
      </c>
      <c r="O302" s="734" t="s">
        <v>964</v>
      </c>
      <c r="P302" s="298">
        <f>I302</f>
        <v>371</v>
      </c>
      <c r="Q302" s="763">
        <v>14784</v>
      </c>
      <c r="R302" s="25">
        <f t="shared" si="73"/>
        <v>5484864</v>
      </c>
      <c r="S302" s="442"/>
      <c r="T302" s="733"/>
      <c r="U302" s="765"/>
      <c r="V302" s="763"/>
      <c r="W302" s="25">
        <f t="shared" si="74"/>
        <v>0</v>
      </c>
    </row>
    <row r="303" spans="1:23" ht="16.5" customHeight="1">
      <c r="A303" s="719">
        <f t="shared" si="67"/>
        <v>54</v>
      </c>
      <c r="B303" s="290" t="s">
        <v>698</v>
      </c>
      <c r="C303" s="25">
        <f t="shared" si="68"/>
        <v>6760000</v>
      </c>
      <c r="D303" s="720">
        <f t="shared" si="78"/>
        <v>330060.32843058964</v>
      </c>
      <c r="E303" s="720">
        <f t="shared" si="78"/>
        <v>24382.835073250764</v>
      </c>
      <c r="F303" s="720">
        <f t="shared" si="78"/>
        <v>323388.04756580951</v>
      </c>
      <c r="G303" s="720">
        <f t="shared" si="78"/>
        <v>264715.49083094974</v>
      </c>
      <c r="H303" s="25">
        <f t="shared" si="77"/>
        <v>7702546.7019005986</v>
      </c>
      <c r="I303" s="720">
        <v>999</v>
      </c>
      <c r="J303" s="720">
        <f t="shared" si="72"/>
        <v>7710.2569588594579</v>
      </c>
      <c r="K303" s="659"/>
      <c r="L303" s="189" t="s">
        <v>680</v>
      </c>
      <c r="M303" s="733">
        <f t="shared" si="71"/>
        <v>41575</v>
      </c>
      <c r="N303" s="733">
        <v>41578</v>
      </c>
      <c r="O303" s="734" t="s">
        <v>965</v>
      </c>
      <c r="P303" s="298">
        <v>1000</v>
      </c>
      <c r="Q303" s="763">
        <v>6760</v>
      </c>
      <c r="R303" s="25">
        <f t="shared" si="73"/>
        <v>6760000</v>
      </c>
      <c r="S303" s="442"/>
      <c r="T303" s="733"/>
      <c r="U303" s="765"/>
      <c r="V303" s="763"/>
      <c r="W303" s="25">
        <f t="shared" si="74"/>
        <v>0</v>
      </c>
    </row>
    <row r="304" spans="1:23" ht="16.5" customHeight="1">
      <c r="A304" s="719">
        <f t="shared" si="67"/>
        <v>55</v>
      </c>
      <c r="B304" s="290" t="s">
        <v>805</v>
      </c>
      <c r="C304" s="25">
        <f t="shared" si="68"/>
        <v>3400000</v>
      </c>
      <c r="D304" s="720">
        <f t="shared" si="78"/>
        <v>131165.11550244654</v>
      </c>
      <c r="E304" s="720">
        <f t="shared" si="78"/>
        <v>9689.6751992798345</v>
      </c>
      <c r="F304" s="720">
        <f t="shared" si="78"/>
        <v>128513.56845207846</v>
      </c>
      <c r="G304" s="720">
        <f t="shared" si="78"/>
        <v>105197.24710699404</v>
      </c>
      <c r="H304" s="25">
        <f t="shared" si="77"/>
        <v>3774565.6062607989</v>
      </c>
      <c r="I304" s="720">
        <v>397</v>
      </c>
      <c r="J304" s="720">
        <f t="shared" si="72"/>
        <v>9507.7219301279565</v>
      </c>
      <c r="K304" s="659"/>
      <c r="L304" s="189" t="s">
        <v>654</v>
      </c>
      <c r="M304" s="733">
        <f t="shared" si="71"/>
        <v>41575</v>
      </c>
      <c r="N304" s="733">
        <v>41578</v>
      </c>
      <c r="O304" s="734" t="s">
        <v>966</v>
      </c>
      <c r="P304" s="298">
        <v>400</v>
      </c>
      <c r="Q304" s="763">
        <v>8500</v>
      </c>
      <c r="R304" s="25">
        <f t="shared" si="73"/>
        <v>3400000</v>
      </c>
      <c r="S304" s="442"/>
      <c r="T304" s="733"/>
      <c r="U304" s="765"/>
      <c r="V304" s="763"/>
      <c r="W304" s="25">
        <f t="shared" si="74"/>
        <v>0</v>
      </c>
    </row>
    <row r="305" spans="1:23" ht="16.5" customHeight="1">
      <c r="A305" s="719">
        <f t="shared" si="67"/>
        <v>56</v>
      </c>
      <c r="B305" s="290" t="s">
        <v>852</v>
      </c>
      <c r="C305" s="25">
        <f t="shared" si="68"/>
        <v>3990000</v>
      </c>
      <c r="D305" s="720">
        <f t="shared" si="78"/>
        <v>164204.18741742047</v>
      </c>
      <c r="E305" s="720">
        <f t="shared" si="78"/>
        <v>12130.399430836467</v>
      </c>
      <c r="F305" s="720">
        <f t="shared" si="78"/>
        <v>160884.74438459193</v>
      </c>
      <c r="G305" s="720">
        <f t="shared" si="78"/>
        <v>131695.29423721923</v>
      </c>
      <c r="H305" s="25">
        <f t="shared" si="77"/>
        <v>4458914.6254700683</v>
      </c>
      <c r="I305" s="720">
        <v>497</v>
      </c>
      <c r="J305" s="720">
        <f t="shared" si="72"/>
        <v>8971.6592061771989</v>
      </c>
      <c r="K305" s="659"/>
      <c r="L305" s="801" t="s">
        <v>1192</v>
      </c>
      <c r="M305" s="733">
        <f t="shared" si="71"/>
        <v>41575</v>
      </c>
      <c r="N305" s="733">
        <v>41578</v>
      </c>
      <c r="O305" s="734" t="s">
        <v>967</v>
      </c>
      <c r="P305" s="298">
        <v>200</v>
      </c>
      <c r="Q305" s="763">
        <v>19950</v>
      </c>
      <c r="R305" s="25">
        <f t="shared" si="73"/>
        <v>3990000</v>
      </c>
      <c r="S305" s="442"/>
      <c r="T305" s="733"/>
      <c r="U305" s="765"/>
      <c r="V305" s="763"/>
      <c r="W305" s="25">
        <f t="shared" si="74"/>
        <v>0</v>
      </c>
    </row>
    <row r="306" spans="1:23" ht="16.5" customHeight="1">
      <c r="A306" s="719">
        <f t="shared" si="67"/>
        <v>57</v>
      </c>
      <c r="B306" s="290" t="s">
        <v>775</v>
      </c>
      <c r="C306" s="25">
        <f t="shared" si="68"/>
        <v>2448420</v>
      </c>
      <c r="D306" s="720">
        <f t="shared" si="78"/>
        <v>96474.0899917239</v>
      </c>
      <c r="E306" s="720">
        <f t="shared" si="78"/>
        <v>7126.9147561453692</v>
      </c>
      <c r="F306" s="720">
        <f t="shared" si="78"/>
        <v>94523.833722939322</v>
      </c>
      <c r="G306" s="720">
        <f t="shared" si="78"/>
        <v>77374.297620257581</v>
      </c>
      <c r="H306" s="25">
        <f t="shared" si="77"/>
        <v>2723919.1360910661</v>
      </c>
      <c r="I306" s="720">
        <v>292</v>
      </c>
      <c r="J306" s="720">
        <f t="shared" si="72"/>
        <v>9328.4901920926914</v>
      </c>
      <c r="K306" s="659"/>
      <c r="L306" s="189" t="s">
        <v>597</v>
      </c>
      <c r="M306" s="733">
        <f t="shared" si="71"/>
        <v>41575</v>
      </c>
      <c r="N306" s="733">
        <v>41578</v>
      </c>
      <c r="O306" s="734" t="s">
        <v>968</v>
      </c>
      <c r="P306" s="298">
        <f>I306</f>
        <v>292</v>
      </c>
      <c r="Q306" s="763">
        <v>8385</v>
      </c>
      <c r="R306" s="25">
        <f t="shared" si="73"/>
        <v>2448420</v>
      </c>
      <c r="S306" s="442"/>
      <c r="T306" s="733"/>
      <c r="U306" s="765"/>
      <c r="V306" s="763"/>
      <c r="W306" s="25">
        <f t="shared" si="74"/>
        <v>0</v>
      </c>
    </row>
    <row r="307" spans="1:23" ht="16.5" customHeight="1">
      <c r="A307" s="719">
        <f t="shared" si="67"/>
        <v>58</v>
      </c>
      <c r="B307" s="290" t="s">
        <v>784</v>
      </c>
      <c r="C307" s="25">
        <f t="shared" si="68"/>
        <v>8000000</v>
      </c>
      <c r="D307" s="720">
        <f t="shared" si="78"/>
        <v>165195.35957486968</v>
      </c>
      <c r="E307" s="720">
        <f t="shared" si="78"/>
        <v>12203.621157783165</v>
      </c>
      <c r="F307" s="720">
        <f t="shared" si="78"/>
        <v>161855.87966256734</v>
      </c>
      <c r="G307" s="720">
        <f t="shared" si="78"/>
        <v>132490.23565112599</v>
      </c>
      <c r="H307" s="25">
        <f t="shared" si="77"/>
        <v>8471745.0960463453</v>
      </c>
      <c r="I307" s="720">
        <v>500</v>
      </c>
      <c r="J307" s="720">
        <f t="shared" si="72"/>
        <v>16943.49019209269</v>
      </c>
      <c r="K307" s="659"/>
      <c r="L307" s="189" t="s">
        <v>657</v>
      </c>
      <c r="M307" s="733">
        <f t="shared" si="71"/>
        <v>41579</v>
      </c>
      <c r="N307" s="733">
        <v>41582</v>
      </c>
      <c r="O307" s="734" t="s">
        <v>969</v>
      </c>
      <c r="P307" s="298">
        <v>500</v>
      </c>
      <c r="Q307" s="756">
        <v>16000</v>
      </c>
      <c r="R307" s="25">
        <f t="shared" si="73"/>
        <v>8000000</v>
      </c>
      <c r="S307" s="442"/>
      <c r="T307" s="733"/>
      <c r="U307" s="765"/>
      <c r="V307" s="763"/>
      <c r="W307" s="25">
        <f t="shared" si="74"/>
        <v>0</v>
      </c>
    </row>
    <row r="308" spans="1:23" ht="16.5" customHeight="1">
      <c r="A308" s="719">
        <f t="shared" si="67"/>
        <v>59</v>
      </c>
      <c r="B308" s="290" t="s">
        <v>786</v>
      </c>
      <c r="C308" s="25">
        <f t="shared" si="68"/>
        <v>419250</v>
      </c>
      <c r="D308" s="720">
        <f t="shared" si="78"/>
        <v>330390.71914973937</v>
      </c>
      <c r="E308" s="720">
        <f t="shared" si="78"/>
        <v>24407.242315566331</v>
      </c>
      <c r="F308" s="720">
        <f t="shared" si="78"/>
        <v>323711.75932513468</v>
      </c>
      <c r="G308" s="720">
        <f t="shared" si="78"/>
        <v>264980.47130225197</v>
      </c>
      <c r="H308" s="25">
        <f t="shared" si="77"/>
        <v>1362740.1920926922</v>
      </c>
      <c r="I308" s="720">
        <v>1000</v>
      </c>
      <c r="J308" s="720">
        <f t="shared" si="72"/>
        <v>1362.7401920926923</v>
      </c>
      <c r="K308" s="659"/>
      <c r="L308" s="189" t="s">
        <v>597</v>
      </c>
      <c r="M308" s="733">
        <f t="shared" si="71"/>
        <v>41579</v>
      </c>
      <c r="N308" s="733">
        <v>41582</v>
      </c>
      <c r="O308" s="734" t="s">
        <v>969</v>
      </c>
      <c r="P308" s="298">
        <f>I308/20</f>
        <v>50</v>
      </c>
      <c r="Q308" s="763">
        <v>8385</v>
      </c>
      <c r="R308" s="25">
        <f t="shared" si="73"/>
        <v>419250</v>
      </c>
      <c r="S308" s="442"/>
      <c r="T308" s="733"/>
      <c r="U308" s="765"/>
      <c r="V308" s="763"/>
      <c r="W308" s="25">
        <f t="shared" si="74"/>
        <v>0</v>
      </c>
    </row>
    <row r="309" spans="1:23" ht="16.5" customHeight="1">
      <c r="A309" s="719">
        <f t="shared" si="67"/>
        <v>60</v>
      </c>
      <c r="B309" s="290" t="s">
        <v>970</v>
      </c>
      <c r="C309" s="25">
        <f t="shared" si="68"/>
        <v>4600000</v>
      </c>
      <c r="D309" s="720">
        <f t="shared" si="78"/>
        <v>332042.67274548806</v>
      </c>
      <c r="E309" s="720">
        <f t="shared" si="78"/>
        <v>24529.278527144164</v>
      </c>
      <c r="F309" s="720">
        <f t="shared" si="78"/>
        <v>325330.31812176033</v>
      </c>
      <c r="G309" s="720">
        <f t="shared" si="78"/>
        <v>266305.37365876324</v>
      </c>
      <c r="H309" s="25">
        <f t="shared" si="77"/>
        <v>5548207.6430531554</v>
      </c>
      <c r="I309" s="720">
        <v>1005</v>
      </c>
      <c r="J309" s="720">
        <f t="shared" si="72"/>
        <v>5520.6046199533885</v>
      </c>
      <c r="K309" s="659"/>
      <c r="L309" s="801" t="s">
        <v>1249</v>
      </c>
      <c r="M309" s="733">
        <f t="shared" si="71"/>
        <v>41580</v>
      </c>
      <c r="N309" s="733">
        <v>41583</v>
      </c>
      <c r="O309" s="734" t="s">
        <v>971</v>
      </c>
      <c r="P309" s="298">
        <v>1000</v>
      </c>
      <c r="Q309" s="763">
        <v>4600</v>
      </c>
      <c r="R309" s="25">
        <f t="shared" si="73"/>
        <v>4600000</v>
      </c>
      <c r="S309" s="442"/>
      <c r="T309" s="733"/>
      <c r="U309" s="765"/>
      <c r="V309" s="763"/>
      <c r="W309" s="25">
        <f t="shared" si="74"/>
        <v>0</v>
      </c>
    </row>
    <row r="310" spans="1:23" ht="16.5" customHeight="1">
      <c r="A310" s="719">
        <f t="shared" si="67"/>
        <v>61</v>
      </c>
      <c r="B310" s="290" t="s">
        <v>828</v>
      </c>
      <c r="C310" s="25">
        <f t="shared" si="68"/>
        <v>17600000</v>
      </c>
      <c r="D310" s="720">
        <f t="shared" ref="D310:G329" si="79">IF($I$367&lt;&gt;0,D$367/$I$367*$I310,0)</f>
        <v>328738.76555399067</v>
      </c>
      <c r="E310" s="720">
        <f t="shared" si="79"/>
        <v>24285.206103988501</v>
      </c>
      <c r="F310" s="720">
        <f t="shared" si="79"/>
        <v>322093.20052850898</v>
      </c>
      <c r="G310" s="720">
        <f t="shared" si="79"/>
        <v>263655.56894574076</v>
      </c>
      <c r="H310" s="25">
        <f t="shared" si="77"/>
        <v>18538772.74113223</v>
      </c>
      <c r="I310" s="720">
        <v>995</v>
      </c>
      <c r="J310" s="720">
        <f t="shared" si="72"/>
        <v>18631.93240314797</v>
      </c>
      <c r="K310" s="659"/>
      <c r="L310" s="189" t="s">
        <v>657</v>
      </c>
      <c r="M310" s="733">
        <f t="shared" si="71"/>
        <v>41581</v>
      </c>
      <c r="N310" s="733">
        <v>41584</v>
      </c>
      <c r="O310" s="734" t="s">
        <v>972</v>
      </c>
      <c r="P310" s="298">
        <v>1100</v>
      </c>
      <c r="Q310" s="763">
        <v>16000</v>
      </c>
      <c r="R310" s="25">
        <f t="shared" si="73"/>
        <v>17600000</v>
      </c>
      <c r="S310" s="442"/>
      <c r="T310" s="733"/>
      <c r="U310" s="765"/>
      <c r="V310" s="763"/>
      <c r="W310" s="25">
        <f t="shared" si="74"/>
        <v>0</v>
      </c>
    </row>
    <row r="311" spans="1:23" ht="16.5" customHeight="1">
      <c r="A311" s="719">
        <f t="shared" si="67"/>
        <v>62</v>
      </c>
      <c r="B311" s="290" t="s">
        <v>1101</v>
      </c>
      <c r="C311" s="25">
        <f t="shared" si="68"/>
        <v>1115050</v>
      </c>
      <c r="D311" s="720">
        <f t="shared" si="79"/>
        <v>66078.143829947876</v>
      </c>
      <c r="E311" s="720">
        <f t="shared" si="79"/>
        <v>4881.4484631132664</v>
      </c>
      <c r="F311" s="720">
        <f t="shared" si="79"/>
        <v>64742.351865026933</v>
      </c>
      <c r="G311" s="720">
        <f t="shared" si="79"/>
        <v>52996.094260450402</v>
      </c>
      <c r="H311" s="25">
        <f t="shared" si="77"/>
        <v>1303748.0384185384</v>
      </c>
      <c r="I311" s="720">
        <v>200</v>
      </c>
      <c r="J311" s="720">
        <f t="shared" si="72"/>
        <v>6518.7401920926923</v>
      </c>
      <c r="K311" s="659"/>
      <c r="L311" s="801" t="s">
        <v>1198</v>
      </c>
      <c r="M311" s="733">
        <f t="shared" si="71"/>
        <v>41583</v>
      </c>
      <c r="N311" s="733">
        <v>41586</v>
      </c>
      <c r="O311" s="734" t="s">
        <v>616</v>
      </c>
      <c r="P311" s="298">
        <f>I311/4</f>
        <v>50</v>
      </c>
      <c r="Q311" s="763">
        <v>22301</v>
      </c>
      <c r="R311" s="25">
        <f t="shared" si="73"/>
        <v>1115050</v>
      </c>
      <c r="S311" s="442"/>
      <c r="T311" s="733"/>
      <c r="U311" s="765"/>
      <c r="V311" s="763"/>
      <c r="W311" s="25">
        <f t="shared" si="74"/>
        <v>0</v>
      </c>
    </row>
    <row r="312" spans="1:23" ht="16.5" customHeight="1">
      <c r="A312" s="719">
        <f t="shared" si="67"/>
        <v>63</v>
      </c>
      <c r="B312" s="290" t="s">
        <v>1102</v>
      </c>
      <c r="C312" s="25">
        <f t="shared" si="68"/>
        <v>2993440</v>
      </c>
      <c r="D312" s="720">
        <f t="shared" si="79"/>
        <v>51871.342906509082</v>
      </c>
      <c r="E312" s="720">
        <f t="shared" si="79"/>
        <v>3831.9370435439141</v>
      </c>
      <c r="F312" s="720">
        <f t="shared" si="79"/>
        <v>50822.746214046143</v>
      </c>
      <c r="G312" s="720">
        <f t="shared" si="79"/>
        <v>41601.93399445356</v>
      </c>
      <c r="H312" s="25">
        <f t="shared" si="77"/>
        <v>3141567.9601585525</v>
      </c>
      <c r="I312" s="720">
        <v>157</v>
      </c>
      <c r="J312" s="720">
        <f t="shared" si="72"/>
        <v>20009.987007379314</v>
      </c>
      <c r="K312" s="659"/>
      <c r="L312" s="189" t="s">
        <v>648</v>
      </c>
      <c r="M312" s="733">
        <f t="shared" si="71"/>
        <v>41583</v>
      </c>
      <c r="N312" s="733">
        <v>41586</v>
      </c>
      <c r="O312" s="734" t="s">
        <v>616</v>
      </c>
      <c r="P312" s="298">
        <v>160</v>
      </c>
      <c r="Q312" s="763">
        <v>18709</v>
      </c>
      <c r="R312" s="25">
        <f t="shared" si="73"/>
        <v>2993440</v>
      </c>
      <c r="S312" s="442"/>
      <c r="T312" s="733"/>
      <c r="U312" s="765"/>
      <c r="V312" s="763"/>
      <c r="W312" s="25">
        <f t="shared" si="74"/>
        <v>0</v>
      </c>
    </row>
    <row r="313" spans="1:23" ht="16.5" customHeight="1">
      <c r="A313" s="719">
        <f t="shared" si="67"/>
        <v>64</v>
      </c>
      <c r="B313" s="290" t="s">
        <v>973</v>
      </c>
      <c r="C313" s="25">
        <f t="shared" si="68"/>
        <v>1204900</v>
      </c>
      <c r="D313" s="720">
        <f t="shared" si="79"/>
        <v>66078.143829947876</v>
      </c>
      <c r="E313" s="720">
        <f t="shared" si="79"/>
        <v>4881.4484631132664</v>
      </c>
      <c r="F313" s="720">
        <f t="shared" si="79"/>
        <v>64742.351865026933</v>
      </c>
      <c r="G313" s="720">
        <f t="shared" si="79"/>
        <v>52996.094260450402</v>
      </c>
      <c r="H313" s="25">
        <f t="shared" si="77"/>
        <v>1393598.0384185384</v>
      </c>
      <c r="I313" s="720">
        <v>200</v>
      </c>
      <c r="J313" s="720">
        <f t="shared" si="72"/>
        <v>6967.9901920926923</v>
      </c>
      <c r="K313" s="659"/>
      <c r="L313" s="189" t="s">
        <v>620</v>
      </c>
      <c r="M313" s="733">
        <f t="shared" si="71"/>
        <v>41583</v>
      </c>
      <c r="N313" s="733">
        <v>41586</v>
      </c>
      <c r="O313" s="734" t="s">
        <v>974</v>
      </c>
      <c r="P313" s="298">
        <v>50</v>
      </c>
      <c r="Q313" s="763">
        <v>24098</v>
      </c>
      <c r="R313" s="25">
        <f t="shared" si="73"/>
        <v>1204900</v>
      </c>
      <c r="S313" s="442"/>
      <c r="T313" s="733"/>
      <c r="U313" s="765"/>
      <c r="V313" s="763"/>
      <c r="W313" s="25">
        <f t="shared" si="74"/>
        <v>0</v>
      </c>
    </row>
    <row r="314" spans="1:23" ht="16.5" customHeight="1">
      <c r="A314" s="719">
        <f>IF(B314&lt;&gt;"",A313+1,"")</f>
        <v>65</v>
      </c>
      <c r="B314" s="290" t="s">
        <v>976</v>
      </c>
      <c r="C314" s="25">
        <f t="shared" si="68"/>
        <v>1262900</v>
      </c>
      <c r="D314" s="720">
        <f t="shared" si="79"/>
        <v>33039.071914973938</v>
      </c>
      <c r="E314" s="720">
        <f t="shared" si="79"/>
        <v>2440.7242315566332</v>
      </c>
      <c r="F314" s="720">
        <f t="shared" si="79"/>
        <v>32371.175932513466</v>
      </c>
      <c r="G314" s="720">
        <f t="shared" si="79"/>
        <v>26498.047130225201</v>
      </c>
      <c r="H314" s="25">
        <f t="shared" ref="H314:H345" si="80">SUM(C314:G314)</f>
        <v>1357249.0192092692</v>
      </c>
      <c r="I314" s="720">
        <v>100</v>
      </c>
      <c r="J314" s="720">
        <f t="shared" si="72"/>
        <v>13572.490192092691</v>
      </c>
      <c r="K314" s="659"/>
      <c r="L314" s="189" t="s">
        <v>633</v>
      </c>
      <c r="M314" s="733">
        <f t="shared" si="71"/>
        <v>41583</v>
      </c>
      <c r="N314" s="733">
        <v>41586</v>
      </c>
      <c r="O314" s="734" t="s">
        <v>974</v>
      </c>
      <c r="P314" s="298">
        <v>100</v>
      </c>
      <c r="Q314" s="763">
        <v>12629</v>
      </c>
      <c r="R314" s="25">
        <f t="shared" si="73"/>
        <v>1262900</v>
      </c>
      <c r="S314" s="442"/>
      <c r="T314" s="733"/>
      <c r="U314" s="765"/>
      <c r="V314" s="763"/>
      <c r="W314" s="25">
        <f t="shared" si="74"/>
        <v>0</v>
      </c>
    </row>
    <row r="315" spans="1:23" ht="16.5" customHeight="1">
      <c r="A315" s="719">
        <f t="shared" ref="A315:A365" si="81">IF(B315&lt;&gt;"",A314+1,"")</f>
        <v>66</v>
      </c>
      <c r="B315" s="290" t="s">
        <v>977</v>
      </c>
      <c r="C315" s="25">
        <f t="shared" ref="C315:C365" si="82">R315</f>
        <v>1789490</v>
      </c>
      <c r="D315" s="720">
        <f t="shared" si="79"/>
        <v>49558.607872460903</v>
      </c>
      <c r="E315" s="720">
        <f t="shared" si="79"/>
        <v>3661.08634733495</v>
      </c>
      <c r="F315" s="720">
        <f t="shared" si="79"/>
        <v>48556.763898770201</v>
      </c>
      <c r="G315" s="720">
        <f t="shared" si="79"/>
        <v>39747.070695337803</v>
      </c>
      <c r="H315" s="25">
        <f t="shared" si="80"/>
        <v>1931013.5288139039</v>
      </c>
      <c r="I315" s="720">
        <v>150</v>
      </c>
      <c r="J315" s="720">
        <f t="shared" si="72"/>
        <v>12873.423525426026</v>
      </c>
      <c r="K315" s="659"/>
      <c r="L315" s="189" t="s">
        <v>586</v>
      </c>
      <c r="M315" s="733">
        <f t="shared" ref="M315:M365" si="83">N315-3</f>
        <v>41583</v>
      </c>
      <c r="N315" s="733">
        <v>41586</v>
      </c>
      <c r="O315" s="734" t="s">
        <v>974</v>
      </c>
      <c r="P315" s="298">
        <v>149</v>
      </c>
      <c r="Q315" s="763">
        <v>12010</v>
      </c>
      <c r="R315" s="25">
        <f t="shared" si="73"/>
        <v>1789490</v>
      </c>
      <c r="S315" s="442"/>
      <c r="T315" s="733"/>
      <c r="U315" s="765"/>
      <c r="V315" s="763"/>
      <c r="W315" s="25">
        <f t="shared" si="74"/>
        <v>0</v>
      </c>
    </row>
    <row r="316" spans="1:23" ht="16.5" customHeight="1">
      <c r="A316" s="719">
        <f t="shared" si="81"/>
        <v>67</v>
      </c>
      <c r="B316" s="290" t="s">
        <v>805</v>
      </c>
      <c r="C316" s="25">
        <f t="shared" si="82"/>
        <v>3400000</v>
      </c>
      <c r="D316" s="720">
        <f t="shared" si="79"/>
        <v>130504.33406414706</v>
      </c>
      <c r="E316" s="720">
        <f t="shared" si="79"/>
        <v>9640.8607146487011</v>
      </c>
      <c r="F316" s="720">
        <f t="shared" si="79"/>
        <v>127866.14493342819</v>
      </c>
      <c r="G316" s="720">
        <f t="shared" si="79"/>
        <v>104667.28616438954</v>
      </c>
      <c r="H316" s="25">
        <f t="shared" si="80"/>
        <v>3772678.6258766134</v>
      </c>
      <c r="I316" s="720">
        <v>395</v>
      </c>
      <c r="J316" s="720">
        <f t="shared" ref="J316:J365" si="84">IF(I316&lt;&gt;"",H316/I316,"")</f>
        <v>9551.0851288015529</v>
      </c>
      <c r="K316" s="659"/>
      <c r="L316" s="189" t="s">
        <v>654</v>
      </c>
      <c r="M316" s="733">
        <f t="shared" si="83"/>
        <v>41588</v>
      </c>
      <c r="N316" s="733">
        <v>41591</v>
      </c>
      <c r="O316" s="734" t="s">
        <v>978</v>
      </c>
      <c r="P316" s="298">
        <v>400</v>
      </c>
      <c r="Q316" s="763">
        <v>8500</v>
      </c>
      <c r="R316" s="25">
        <f t="shared" ref="R316:R365" si="85">ROUND(P316*Q316,0)</f>
        <v>3400000</v>
      </c>
      <c r="S316" s="442"/>
      <c r="T316" s="733"/>
      <c r="U316" s="765"/>
      <c r="V316" s="763"/>
      <c r="W316" s="25">
        <f t="shared" ref="W316:W365" si="86">ROUND(U316*V316,0)</f>
        <v>0</v>
      </c>
    </row>
    <row r="317" spans="1:23" ht="16.5" customHeight="1">
      <c r="A317" s="719">
        <f t="shared" si="81"/>
        <v>68</v>
      </c>
      <c r="B317" s="290" t="s">
        <v>1095</v>
      </c>
      <c r="C317" s="25">
        <f t="shared" si="82"/>
        <v>7500000</v>
      </c>
      <c r="D317" s="720">
        <f t="shared" si="79"/>
        <v>165195.35957486968</v>
      </c>
      <c r="E317" s="720">
        <f t="shared" si="79"/>
        <v>12203.621157783165</v>
      </c>
      <c r="F317" s="720">
        <f t="shared" si="79"/>
        <v>161855.87966256734</v>
      </c>
      <c r="G317" s="720">
        <f t="shared" si="79"/>
        <v>132490.23565112599</v>
      </c>
      <c r="H317" s="25">
        <f t="shared" si="80"/>
        <v>7971745.0960463462</v>
      </c>
      <c r="I317" s="720">
        <v>500</v>
      </c>
      <c r="J317" s="720">
        <f t="shared" si="84"/>
        <v>15943.490192092693</v>
      </c>
      <c r="K317" s="659"/>
      <c r="L317" s="189" t="s">
        <v>678</v>
      </c>
      <c r="M317" s="733">
        <f t="shared" si="83"/>
        <v>41589</v>
      </c>
      <c r="N317" s="733">
        <v>41592</v>
      </c>
      <c r="O317" s="734" t="s">
        <v>979</v>
      </c>
      <c r="P317" s="298">
        <f>I317</f>
        <v>500</v>
      </c>
      <c r="Q317" s="763">
        <v>15000</v>
      </c>
      <c r="R317" s="25">
        <f t="shared" si="85"/>
        <v>7500000</v>
      </c>
      <c r="S317" s="442"/>
      <c r="T317" s="733"/>
      <c r="U317" s="765"/>
      <c r="V317" s="763"/>
      <c r="W317" s="25">
        <f t="shared" si="86"/>
        <v>0</v>
      </c>
    </row>
    <row r="318" spans="1:23" ht="16.5" customHeight="1">
      <c r="A318" s="719">
        <f t="shared" si="81"/>
        <v>69</v>
      </c>
      <c r="B318" s="290" t="s">
        <v>805</v>
      </c>
      <c r="C318" s="25">
        <f t="shared" si="82"/>
        <v>4250000</v>
      </c>
      <c r="D318" s="720">
        <f t="shared" si="79"/>
        <v>165195.35957486968</v>
      </c>
      <c r="E318" s="720">
        <f t="shared" si="79"/>
        <v>12203.621157783165</v>
      </c>
      <c r="F318" s="720">
        <f t="shared" si="79"/>
        <v>161855.87966256734</v>
      </c>
      <c r="G318" s="720">
        <f t="shared" si="79"/>
        <v>132490.23565112599</v>
      </c>
      <c r="H318" s="25">
        <f t="shared" si="80"/>
        <v>4721745.0960463462</v>
      </c>
      <c r="I318" s="720">
        <v>500</v>
      </c>
      <c r="J318" s="720">
        <f t="shared" si="84"/>
        <v>9443.4901920926932</v>
      </c>
      <c r="K318" s="659"/>
      <c r="L318" s="189" t="s">
        <v>654</v>
      </c>
      <c r="M318" s="733">
        <f t="shared" si="83"/>
        <v>41589</v>
      </c>
      <c r="N318" s="733">
        <v>41592</v>
      </c>
      <c r="O318" s="734" t="s">
        <v>980</v>
      </c>
      <c r="P318" s="298">
        <f>I318</f>
        <v>500</v>
      </c>
      <c r="Q318" s="763">
        <v>8500</v>
      </c>
      <c r="R318" s="25">
        <f t="shared" si="85"/>
        <v>4250000</v>
      </c>
      <c r="S318" s="442"/>
      <c r="T318" s="733"/>
      <c r="U318" s="765"/>
      <c r="V318" s="763"/>
      <c r="W318" s="25">
        <f t="shared" si="86"/>
        <v>0</v>
      </c>
    </row>
    <row r="319" spans="1:23" ht="16.5" customHeight="1">
      <c r="A319" s="719">
        <f t="shared" si="81"/>
        <v>70</v>
      </c>
      <c r="B319" s="290" t="s">
        <v>1116</v>
      </c>
      <c r="C319" s="25">
        <f t="shared" si="82"/>
        <v>8543903</v>
      </c>
      <c r="D319" s="720">
        <f t="shared" si="79"/>
        <v>872892.27999361139</v>
      </c>
      <c r="E319" s="720">
        <f t="shared" si="79"/>
        <v>64483.934197726252</v>
      </c>
      <c r="F319" s="720">
        <f t="shared" si="79"/>
        <v>855246.46813700581</v>
      </c>
      <c r="G319" s="720">
        <f t="shared" si="79"/>
        <v>700078.40518054983</v>
      </c>
      <c r="H319" s="25">
        <f t="shared" si="80"/>
        <v>11036604.087508893</v>
      </c>
      <c r="I319" s="720">
        <v>2642</v>
      </c>
      <c r="J319" s="720">
        <f t="shared" si="84"/>
        <v>4177.3671792236537</v>
      </c>
      <c r="K319" s="659"/>
      <c r="L319" s="189" t="s">
        <v>685</v>
      </c>
      <c r="M319" s="733">
        <f t="shared" si="83"/>
        <v>41589</v>
      </c>
      <c r="N319" s="733">
        <v>41592</v>
      </c>
      <c r="O319" s="734" t="s">
        <v>981</v>
      </c>
      <c r="P319" s="298">
        <v>390</v>
      </c>
      <c r="Q319" s="763">
        <v>21907.443037974685</v>
      </c>
      <c r="R319" s="25">
        <f t="shared" si="85"/>
        <v>8543903</v>
      </c>
      <c r="S319" s="442"/>
      <c r="T319" s="733"/>
      <c r="U319" s="765"/>
      <c r="V319" s="763"/>
      <c r="W319" s="25">
        <f t="shared" si="86"/>
        <v>0</v>
      </c>
    </row>
    <row r="320" spans="1:23" ht="16.5" customHeight="1">
      <c r="A320" s="719">
        <f t="shared" si="81"/>
        <v>71</v>
      </c>
      <c r="B320" s="290" t="s">
        <v>1128</v>
      </c>
      <c r="C320" s="25">
        <f t="shared" si="82"/>
        <v>11557720</v>
      </c>
      <c r="D320" s="720">
        <f t="shared" si="79"/>
        <v>769810.37561889272</v>
      </c>
      <c r="E320" s="720">
        <f t="shared" si="79"/>
        <v>56868.874595269554</v>
      </c>
      <c r="F320" s="720">
        <f t="shared" si="79"/>
        <v>754248.39922756376</v>
      </c>
      <c r="G320" s="720">
        <f t="shared" si="79"/>
        <v>617404.49813424714</v>
      </c>
      <c r="H320" s="25">
        <f t="shared" si="80"/>
        <v>13756052.147575974</v>
      </c>
      <c r="I320" s="720">
        <v>2330</v>
      </c>
      <c r="J320" s="720">
        <f t="shared" si="84"/>
        <v>5903.8850418781003</v>
      </c>
      <c r="K320" s="659"/>
      <c r="L320" s="290" t="s">
        <v>608</v>
      </c>
      <c r="M320" s="733">
        <f t="shared" si="83"/>
        <v>41590</v>
      </c>
      <c r="N320" s="733">
        <v>41593</v>
      </c>
      <c r="O320" s="734" t="s">
        <v>982</v>
      </c>
      <c r="P320" s="298">
        <v>566</v>
      </c>
      <c r="Q320" s="763">
        <v>20420</v>
      </c>
      <c r="R320" s="25">
        <f t="shared" si="85"/>
        <v>11557720</v>
      </c>
      <c r="S320" s="442"/>
      <c r="T320" s="733"/>
      <c r="U320" s="765"/>
      <c r="V320" s="763"/>
      <c r="W320" s="25">
        <f t="shared" si="86"/>
        <v>0</v>
      </c>
    </row>
    <row r="321" spans="1:23" ht="16.5" customHeight="1">
      <c r="A321" s="719">
        <f t="shared" si="81"/>
        <v>72</v>
      </c>
      <c r="B321" s="290" t="s">
        <v>805</v>
      </c>
      <c r="C321" s="25">
        <f t="shared" si="82"/>
        <v>3600000</v>
      </c>
      <c r="D321" s="720">
        <f t="shared" si="79"/>
        <v>141407.22779608844</v>
      </c>
      <c r="E321" s="720">
        <f t="shared" si="79"/>
        <v>10446.299711062391</v>
      </c>
      <c r="F321" s="720">
        <f t="shared" si="79"/>
        <v>138548.63299115765</v>
      </c>
      <c r="G321" s="720">
        <f t="shared" si="79"/>
        <v>113411.64171736386</v>
      </c>
      <c r="H321" s="25">
        <f t="shared" si="80"/>
        <v>4003813.8022156726</v>
      </c>
      <c r="I321" s="720">
        <v>428</v>
      </c>
      <c r="J321" s="720">
        <f t="shared" si="84"/>
        <v>9354.7051453637214</v>
      </c>
      <c r="K321" s="659"/>
      <c r="L321" s="189" t="s">
        <v>657</v>
      </c>
      <c r="M321" s="733">
        <f t="shared" si="83"/>
        <v>41591</v>
      </c>
      <c r="N321" s="733">
        <v>41594</v>
      </c>
      <c r="O321" s="734" t="s">
        <v>983</v>
      </c>
      <c r="P321" s="298">
        <v>225</v>
      </c>
      <c r="Q321" s="763">
        <v>16000</v>
      </c>
      <c r="R321" s="25">
        <f t="shared" si="85"/>
        <v>3600000</v>
      </c>
      <c r="S321" s="442"/>
      <c r="T321" s="733"/>
      <c r="U321" s="765"/>
      <c r="V321" s="763"/>
      <c r="W321" s="25">
        <f t="shared" si="86"/>
        <v>0</v>
      </c>
    </row>
    <row r="322" spans="1:23" ht="16.5" customHeight="1">
      <c r="A322" s="719">
        <f t="shared" si="81"/>
        <v>73</v>
      </c>
      <c r="B322" s="290" t="s">
        <v>843</v>
      </c>
      <c r="C322" s="25">
        <f t="shared" si="82"/>
        <v>11081826</v>
      </c>
      <c r="D322" s="720">
        <f t="shared" si="79"/>
        <v>336007.36137528496</v>
      </c>
      <c r="E322" s="720">
        <f t="shared" si="79"/>
        <v>24822.165434930961</v>
      </c>
      <c r="F322" s="720">
        <f t="shared" si="79"/>
        <v>329214.85923366196</v>
      </c>
      <c r="G322" s="720">
        <f t="shared" si="79"/>
        <v>269485.13931439031</v>
      </c>
      <c r="H322" s="25">
        <f t="shared" si="80"/>
        <v>12041355.525358269</v>
      </c>
      <c r="I322" s="720">
        <v>1017</v>
      </c>
      <c r="J322" s="720">
        <f t="shared" si="84"/>
        <v>11840.074262889153</v>
      </c>
      <c r="K322" s="659"/>
      <c r="L322" s="189" t="s">
        <v>639</v>
      </c>
      <c r="M322" s="733">
        <f t="shared" si="83"/>
        <v>41593</v>
      </c>
      <c r="N322" s="733">
        <v>41596</v>
      </c>
      <c r="O322" s="734" t="s">
        <v>984</v>
      </c>
      <c r="P322" s="298">
        <v>1026</v>
      </c>
      <c r="Q322" s="763">
        <v>10801</v>
      </c>
      <c r="R322" s="25">
        <f t="shared" si="85"/>
        <v>11081826</v>
      </c>
      <c r="S322" s="442"/>
      <c r="T322" s="733"/>
      <c r="U322" s="765"/>
      <c r="V322" s="763"/>
      <c r="W322" s="25">
        <f t="shared" si="86"/>
        <v>0</v>
      </c>
    </row>
    <row r="323" spans="1:23" ht="16.5" customHeight="1">
      <c r="A323" s="719">
        <f t="shared" si="81"/>
        <v>74</v>
      </c>
      <c r="B323" s="290" t="s">
        <v>985</v>
      </c>
      <c r="C323" s="25">
        <f t="shared" si="82"/>
        <v>2815920</v>
      </c>
      <c r="D323" s="720">
        <f t="shared" si="79"/>
        <v>23127.350340481757</v>
      </c>
      <c r="E323" s="720">
        <f t="shared" si="79"/>
        <v>1708.5069620896434</v>
      </c>
      <c r="F323" s="720">
        <f t="shared" si="79"/>
        <v>22659.823152759425</v>
      </c>
      <c r="G323" s="720">
        <f t="shared" si="79"/>
        <v>18548.632991157639</v>
      </c>
      <c r="H323" s="25">
        <f t="shared" si="80"/>
        <v>2881964.3134464887</v>
      </c>
      <c r="I323" s="720">
        <v>70</v>
      </c>
      <c r="J323" s="720">
        <f t="shared" si="84"/>
        <v>41170.918763521266</v>
      </c>
      <c r="K323" s="659"/>
      <c r="L323" s="189" t="s">
        <v>596</v>
      </c>
      <c r="M323" s="733">
        <f t="shared" si="83"/>
        <v>41594</v>
      </c>
      <c r="N323" s="733">
        <v>41597</v>
      </c>
      <c r="O323" s="734" t="s">
        <v>986</v>
      </c>
      <c r="P323" s="298">
        <v>90</v>
      </c>
      <c r="Q323" s="763">
        <v>31288</v>
      </c>
      <c r="R323" s="25">
        <f t="shared" si="85"/>
        <v>2815920</v>
      </c>
      <c r="S323" s="442"/>
      <c r="T323" s="733"/>
      <c r="U323" s="765"/>
      <c r="V323" s="763"/>
      <c r="W323" s="25">
        <f t="shared" si="86"/>
        <v>0</v>
      </c>
    </row>
    <row r="324" spans="1:23" ht="16.5" customHeight="1">
      <c r="A324" s="719">
        <f t="shared" si="81"/>
        <v>75</v>
      </c>
      <c r="B324" s="290" t="s">
        <v>847</v>
      </c>
      <c r="C324" s="25">
        <f t="shared" si="82"/>
        <v>2908933</v>
      </c>
      <c r="D324" s="720">
        <f t="shared" si="79"/>
        <v>23127.350340481757</v>
      </c>
      <c r="E324" s="720">
        <f t="shared" si="79"/>
        <v>1708.5069620896434</v>
      </c>
      <c r="F324" s="720">
        <f t="shared" si="79"/>
        <v>22659.823152759425</v>
      </c>
      <c r="G324" s="720">
        <f t="shared" si="79"/>
        <v>18548.632991157639</v>
      </c>
      <c r="H324" s="25">
        <f t="shared" si="80"/>
        <v>2974977.3134464887</v>
      </c>
      <c r="I324" s="720">
        <v>70</v>
      </c>
      <c r="J324" s="720">
        <f t="shared" si="84"/>
        <v>42499.675906378412</v>
      </c>
      <c r="K324" s="659"/>
      <c r="L324" s="801" t="s">
        <v>1215</v>
      </c>
      <c r="M324" s="733">
        <f t="shared" si="83"/>
        <v>41594</v>
      </c>
      <c r="N324" s="733">
        <v>41597</v>
      </c>
      <c r="O324" s="734" t="s">
        <v>986</v>
      </c>
      <c r="P324" s="298">
        <v>90</v>
      </c>
      <c r="Q324" s="763">
        <v>32321.481481481482</v>
      </c>
      <c r="R324" s="25">
        <f t="shared" si="85"/>
        <v>2908933</v>
      </c>
      <c r="S324" s="442"/>
      <c r="T324" s="733"/>
      <c r="U324" s="765"/>
      <c r="V324" s="763"/>
      <c r="W324" s="25">
        <f t="shared" si="86"/>
        <v>0</v>
      </c>
    </row>
    <row r="325" spans="1:23" ht="16.5" customHeight="1">
      <c r="A325" s="719">
        <f t="shared" si="81"/>
        <v>76</v>
      </c>
      <c r="B325" s="290" t="s">
        <v>987</v>
      </c>
      <c r="C325" s="25">
        <f t="shared" si="82"/>
        <v>1811700</v>
      </c>
      <c r="D325" s="720">
        <f t="shared" si="79"/>
        <v>16519.535957486969</v>
      </c>
      <c r="E325" s="720">
        <f t="shared" si="79"/>
        <v>1220.3621157783166</v>
      </c>
      <c r="F325" s="720">
        <f t="shared" si="79"/>
        <v>16185.587966256733</v>
      </c>
      <c r="G325" s="720">
        <f t="shared" si="79"/>
        <v>13249.0235651126</v>
      </c>
      <c r="H325" s="25">
        <f t="shared" si="80"/>
        <v>1858874.5096046347</v>
      </c>
      <c r="I325" s="720">
        <v>50</v>
      </c>
      <c r="J325" s="720">
        <f t="shared" si="84"/>
        <v>37177.490192092693</v>
      </c>
      <c r="K325" s="659"/>
      <c r="L325" s="801" t="s">
        <v>605</v>
      </c>
      <c r="M325" s="733">
        <f t="shared" si="83"/>
        <v>41594</v>
      </c>
      <c r="N325" s="733">
        <v>41597</v>
      </c>
      <c r="O325" s="734" t="s">
        <v>986</v>
      </c>
      <c r="P325" s="298">
        <f t="shared" ref="P325:P326" si="87">I325</f>
        <v>50</v>
      </c>
      <c r="Q325" s="763">
        <v>36234</v>
      </c>
      <c r="R325" s="25">
        <f t="shared" si="85"/>
        <v>1811700</v>
      </c>
      <c r="S325" s="442"/>
      <c r="T325" s="733"/>
      <c r="U325" s="765"/>
      <c r="V325" s="763"/>
      <c r="W325" s="25">
        <f t="shared" si="86"/>
        <v>0</v>
      </c>
    </row>
    <row r="326" spans="1:23" ht="16.5" customHeight="1">
      <c r="A326" s="719">
        <f t="shared" si="81"/>
        <v>77</v>
      </c>
      <c r="B326" s="290" t="s">
        <v>848</v>
      </c>
      <c r="C326" s="25">
        <f t="shared" si="82"/>
        <v>1811700</v>
      </c>
      <c r="D326" s="720">
        <f t="shared" si="79"/>
        <v>16519.535957486969</v>
      </c>
      <c r="E326" s="720">
        <f t="shared" si="79"/>
        <v>1220.3621157783166</v>
      </c>
      <c r="F326" s="720">
        <f t="shared" si="79"/>
        <v>16185.587966256733</v>
      </c>
      <c r="G326" s="720">
        <f t="shared" si="79"/>
        <v>13249.0235651126</v>
      </c>
      <c r="H326" s="25">
        <f t="shared" si="80"/>
        <v>1858874.5096046347</v>
      </c>
      <c r="I326" s="720">
        <v>50</v>
      </c>
      <c r="J326" s="720">
        <f t="shared" si="84"/>
        <v>37177.490192092693</v>
      </c>
      <c r="K326" s="659"/>
      <c r="L326" s="801" t="s">
        <v>605</v>
      </c>
      <c r="M326" s="733">
        <f t="shared" si="83"/>
        <v>41594</v>
      </c>
      <c r="N326" s="733">
        <v>41597</v>
      </c>
      <c r="O326" s="734" t="s">
        <v>986</v>
      </c>
      <c r="P326" s="298">
        <f t="shared" si="87"/>
        <v>50</v>
      </c>
      <c r="Q326" s="763">
        <v>36234</v>
      </c>
      <c r="R326" s="25">
        <f t="shared" si="85"/>
        <v>1811700</v>
      </c>
      <c r="S326" s="442"/>
      <c r="T326" s="733"/>
      <c r="U326" s="765"/>
      <c r="V326" s="763"/>
      <c r="W326" s="25">
        <f t="shared" si="86"/>
        <v>0</v>
      </c>
    </row>
    <row r="327" spans="1:23" ht="16.5" customHeight="1">
      <c r="A327" s="719">
        <f t="shared" si="81"/>
        <v>78</v>
      </c>
      <c r="B327" s="290" t="s">
        <v>849</v>
      </c>
      <c r="C327" s="25">
        <f t="shared" si="82"/>
        <v>2262504</v>
      </c>
      <c r="D327" s="720">
        <f t="shared" si="79"/>
        <v>16519.535957486969</v>
      </c>
      <c r="E327" s="720">
        <f t="shared" si="79"/>
        <v>1220.3621157783166</v>
      </c>
      <c r="F327" s="720">
        <f t="shared" si="79"/>
        <v>16185.587966256733</v>
      </c>
      <c r="G327" s="720">
        <f t="shared" si="79"/>
        <v>13249.0235651126</v>
      </c>
      <c r="H327" s="25">
        <f t="shared" si="80"/>
        <v>2309678.5096046347</v>
      </c>
      <c r="I327" s="720">
        <v>50</v>
      </c>
      <c r="J327" s="720">
        <f t="shared" si="84"/>
        <v>46193.570192092695</v>
      </c>
      <c r="K327" s="659"/>
      <c r="L327" s="801" t="s">
        <v>1215</v>
      </c>
      <c r="M327" s="733">
        <f t="shared" si="83"/>
        <v>41595</v>
      </c>
      <c r="N327" s="733">
        <v>41598</v>
      </c>
      <c r="O327" s="734" t="s">
        <v>988</v>
      </c>
      <c r="P327" s="298">
        <v>70</v>
      </c>
      <c r="Q327" s="763">
        <v>32321.481481481482</v>
      </c>
      <c r="R327" s="25">
        <f t="shared" si="85"/>
        <v>2262504</v>
      </c>
      <c r="S327" s="442"/>
      <c r="T327" s="733"/>
      <c r="U327" s="765"/>
      <c r="V327" s="763"/>
      <c r="W327" s="25">
        <f t="shared" si="86"/>
        <v>0</v>
      </c>
    </row>
    <row r="328" spans="1:23" ht="16.5" customHeight="1">
      <c r="A328" s="719">
        <f t="shared" si="81"/>
        <v>79</v>
      </c>
      <c r="B328" s="290" t="s">
        <v>989</v>
      </c>
      <c r="C328" s="25">
        <f t="shared" si="82"/>
        <v>2230182</v>
      </c>
      <c r="D328" s="720">
        <f t="shared" si="79"/>
        <v>16519.535957486969</v>
      </c>
      <c r="E328" s="720">
        <f t="shared" si="79"/>
        <v>1220.3621157783166</v>
      </c>
      <c r="F328" s="720">
        <f t="shared" si="79"/>
        <v>16185.587966256733</v>
      </c>
      <c r="G328" s="720">
        <f t="shared" si="79"/>
        <v>13249.0235651126</v>
      </c>
      <c r="H328" s="25">
        <f t="shared" si="80"/>
        <v>2277356.5096046347</v>
      </c>
      <c r="I328" s="720">
        <v>50</v>
      </c>
      <c r="J328" s="720">
        <f t="shared" si="84"/>
        <v>45547.130192092693</v>
      </c>
      <c r="K328" s="659"/>
      <c r="L328" s="801" t="s">
        <v>1215</v>
      </c>
      <c r="M328" s="733">
        <f t="shared" si="83"/>
        <v>41595</v>
      </c>
      <c r="N328" s="733">
        <v>41598</v>
      </c>
      <c r="O328" s="734" t="s">
        <v>988</v>
      </c>
      <c r="P328" s="298">
        <v>69</v>
      </c>
      <c r="Q328" s="763">
        <v>32321.481481481482</v>
      </c>
      <c r="R328" s="25">
        <f t="shared" si="85"/>
        <v>2230182</v>
      </c>
      <c r="S328" s="442"/>
      <c r="T328" s="733"/>
      <c r="U328" s="765"/>
      <c r="V328" s="763"/>
      <c r="W328" s="25">
        <f t="shared" si="86"/>
        <v>0</v>
      </c>
    </row>
    <row r="329" spans="1:23" ht="16.5" customHeight="1">
      <c r="A329" s="719">
        <f t="shared" si="81"/>
        <v>80</v>
      </c>
      <c r="B329" s="290" t="s">
        <v>990</v>
      </c>
      <c r="C329" s="25">
        <f t="shared" si="82"/>
        <v>3070541</v>
      </c>
      <c r="D329" s="720">
        <f t="shared" si="79"/>
        <v>16519.535957486969</v>
      </c>
      <c r="E329" s="720">
        <f t="shared" si="79"/>
        <v>1220.3621157783166</v>
      </c>
      <c r="F329" s="720">
        <f t="shared" si="79"/>
        <v>16185.587966256733</v>
      </c>
      <c r="G329" s="720">
        <f t="shared" si="79"/>
        <v>13249.0235651126</v>
      </c>
      <c r="H329" s="25">
        <f t="shared" si="80"/>
        <v>3117715.5096046347</v>
      </c>
      <c r="I329" s="720">
        <v>50</v>
      </c>
      <c r="J329" s="720">
        <f t="shared" si="84"/>
        <v>62354.310192092693</v>
      </c>
      <c r="K329" s="659"/>
      <c r="L329" s="801" t="s">
        <v>1215</v>
      </c>
      <c r="M329" s="733">
        <f t="shared" si="83"/>
        <v>41595</v>
      </c>
      <c r="N329" s="733">
        <v>41598</v>
      </c>
      <c r="O329" s="734" t="s">
        <v>988</v>
      </c>
      <c r="P329" s="298">
        <v>95</v>
      </c>
      <c r="Q329" s="763">
        <v>32321.481481481482</v>
      </c>
      <c r="R329" s="25">
        <f t="shared" si="85"/>
        <v>3070541</v>
      </c>
      <c r="S329" s="442"/>
      <c r="T329" s="733"/>
      <c r="U329" s="765"/>
      <c r="V329" s="763"/>
      <c r="W329" s="25">
        <f t="shared" si="86"/>
        <v>0</v>
      </c>
    </row>
    <row r="330" spans="1:23" ht="16.5" customHeight="1">
      <c r="A330" s="719">
        <f t="shared" si="81"/>
        <v>81</v>
      </c>
      <c r="B330" s="290" t="s">
        <v>690</v>
      </c>
      <c r="C330" s="25">
        <f t="shared" si="82"/>
        <v>2325000</v>
      </c>
      <c r="D330" s="720">
        <f t="shared" ref="D330:G349" si="88">IF($I$367&lt;&gt;0,D$367/$I$367*$I330,0)</f>
        <v>165195.35957486968</v>
      </c>
      <c r="E330" s="720">
        <f t="shared" si="88"/>
        <v>12203.621157783165</v>
      </c>
      <c r="F330" s="720">
        <f t="shared" si="88"/>
        <v>161855.87966256734</v>
      </c>
      <c r="G330" s="720">
        <f t="shared" si="88"/>
        <v>132490.23565112599</v>
      </c>
      <c r="H330" s="25">
        <f t="shared" si="80"/>
        <v>2796745.0960463462</v>
      </c>
      <c r="I330" s="720">
        <v>500</v>
      </c>
      <c r="J330" s="720">
        <f t="shared" si="84"/>
        <v>5593.4901920926923</v>
      </c>
      <c r="K330" s="659"/>
      <c r="L330" s="801" t="s">
        <v>1206</v>
      </c>
      <c r="M330" s="733">
        <f t="shared" si="83"/>
        <v>41600</v>
      </c>
      <c r="N330" s="733">
        <v>41603</v>
      </c>
      <c r="O330" s="734" t="s">
        <v>991</v>
      </c>
      <c r="P330" s="298">
        <v>100</v>
      </c>
      <c r="Q330" s="763">
        <v>23250</v>
      </c>
      <c r="R330" s="25">
        <f t="shared" si="85"/>
        <v>2325000</v>
      </c>
      <c r="S330" s="442"/>
      <c r="T330" s="733"/>
      <c r="U330" s="765"/>
      <c r="V330" s="763"/>
      <c r="W330" s="25">
        <f t="shared" si="86"/>
        <v>0</v>
      </c>
    </row>
    <row r="331" spans="1:23" ht="16.5" customHeight="1">
      <c r="A331" s="719">
        <f t="shared" si="81"/>
        <v>82</v>
      </c>
      <c r="B331" s="290" t="s">
        <v>805</v>
      </c>
      <c r="C331" s="25">
        <f t="shared" si="82"/>
        <v>4240000</v>
      </c>
      <c r="D331" s="720">
        <f t="shared" si="88"/>
        <v>165195.35957486968</v>
      </c>
      <c r="E331" s="720">
        <f t="shared" si="88"/>
        <v>12203.621157783165</v>
      </c>
      <c r="F331" s="720">
        <f t="shared" si="88"/>
        <v>161855.87966256734</v>
      </c>
      <c r="G331" s="720">
        <f t="shared" si="88"/>
        <v>132490.23565112599</v>
      </c>
      <c r="H331" s="25">
        <f t="shared" si="80"/>
        <v>4711745.0960463462</v>
      </c>
      <c r="I331" s="720">
        <v>500</v>
      </c>
      <c r="J331" s="720">
        <f t="shared" si="84"/>
        <v>9423.4901920926932</v>
      </c>
      <c r="K331" s="659"/>
      <c r="L331" s="189" t="s">
        <v>657</v>
      </c>
      <c r="M331" s="733">
        <f t="shared" si="83"/>
        <v>41601</v>
      </c>
      <c r="N331" s="733">
        <v>41604</v>
      </c>
      <c r="O331" s="734" t="s">
        <v>621</v>
      </c>
      <c r="P331" s="298">
        <v>265</v>
      </c>
      <c r="Q331" s="763">
        <v>16000</v>
      </c>
      <c r="R331" s="25">
        <f t="shared" si="85"/>
        <v>4240000</v>
      </c>
      <c r="S331" s="442"/>
      <c r="T331" s="733"/>
      <c r="U331" s="765"/>
      <c r="V331" s="763"/>
      <c r="W331" s="25">
        <f t="shared" si="86"/>
        <v>0</v>
      </c>
    </row>
    <row r="332" spans="1:23" ht="16.5" customHeight="1">
      <c r="A332" s="719">
        <f t="shared" si="81"/>
        <v>83</v>
      </c>
      <c r="B332" s="290" t="s">
        <v>805</v>
      </c>
      <c r="C332" s="25">
        <f t="shared" si="82"/>
        <v>4898014</v>
      </c>
      <c r="D332" s="720">
        <f t="shared" si="88"/>
        <v>165195.35957486968</v>
      </c>
      <c r="E332" s="720">
        <f t="shared" si="88"/>
        <v>12203.621157783165</v>
      </c>
      <c r="F332" s="720">
        <f t="shared" si="88"/>
        <v>161855.87966256734</v>
      </c>
      <c r="G332" s="720">
        <f t="shared" si="88"/>
        <v>132490.23565112599</v>
      </c>
      <c r="H332" s="25">
        <f t="shared" si="80"/>
        <v>5369759.0960463462</v>
      </c>
      <c r="I332" s="720">
        <v>500</v>
      </c>
      <c r="J332" s="720">
        <f t="shared" si="84"/>
        <v>10739.518192092692</v>
      </c>
      <c r="K332" s="659"/>
      <c r="L332" s="186" t="s">
        <v>594</v>
      </c>
      <c r="M332" s="733">
        <f t="shared" si="83"/>
        <v>41601</v>
      </c>
      <c r="N332" s="733">
        <v>41604</v>
      </c>
      <c r="O332" s="734" t="s">
        <v>621</v>
      </c>
      <c r="P332" s="298">
        <v>251</v>
      </c>
      <c r="Q332" s="763">
        <v>19514</v>
      </c>
      <c r="R332" s="25">
        <f t="shared" si="85"/>
        <v>4898014</v>
      </c>
      <c r="S332" s="442"/>
      <c r="T332" s="733"/>
      <c r="U332" s="765"/>
      <c r="V332" s="763"/>
      <c r="W332" s="25">
        <f t="shared" si="86"/>
        <v>0</v>
      </c>
    </row>
    <row r="333" spans="1:23" ht="16.5" customHeight="1">
      <c r="A333" s="719">
        <f t="shared" si="81"/>
        <v>84</v>
      </c>
      <c r="B333" s="290" t="s">
        <v>805</v>
      </c>
      <c r="C333" s="25">
        <f t="shared" si="82"/>
        <v>4708600</v>
      </c>
      <c r="D333" s="720">
        <f t="shared" si="88"/>
        <v>165195.35957486968</v>
      </c>
      <c r="E333" s="720">
        <f t="shared" si="88"/>
        <v>12203.621157783165</v>
      </c>
      <c r="F333" s="720">
        <f t="shared" si="88"/>
        <v>161855.87966256734</v>
      </c>
      <c r="G333" s="720">
        <f t="shared" si="88"/>
        <v>132490.23565112599</v>
      </c>
      <c r="H333" s="25">
        <f t="shared" si="80"/>
        <v>5180345.0960463462</v>
      </c>
      <c r="I333" s="720">
        <v>500</v>
      </c>
      <c r="J333" s="720">
        <f t="shared" si="84"/>
        <v>10360.690192092692</v>
      </c>
      <c r="K333" s="659"/>
      <c r="L333" s="801" t="s">
        <v>1232</v>
      </c>
      <c r="M333" s="733">
        <f t="shared" si="83"/>
        <v>41601</v>
      </c>
      <c r="N333" s="733">
        <v>41604</v>
      </c>
      <c r="O333" s="734" t="s">
        <v>621</v>
      </c>
      <c r="P333" s="298">
        <v>200</v>
      </c>
      <c r="Q333" s="763">
        <v>23543</v>
      </c>
      <c r="R333" s="25">
        <f t="shared" si="85"/>
        <v>4708600</v>
      </c>
      <c r="S333" s="442"/>
      <c r="T333" s="733"/>
      <c r="U333" s="765"/>
      <c r="V333" s="763"/>
      <c r="W333" s="25">
        <f t="shared" si="86"/>
        <v>0</v>
      </c>
    </row>
    <row r="334" spans="1:23" ht="16.5" customHeight="1">
      <c r="A334" s="719">
        <f t="shared" si="81"/>
        <v>85</v>
      </c>
      <c r="B334" s="290" t="s">
        <v>805</v>
      </c>
      <c r="C334" s="25">
        <f t="shared" si="82"/>
        <v>4525507</v>
      </c>
      <c r="D334" s="720">
        <f t="shared" si="88"/>
        <v>165195.35957486968</v>
      </c>
      <c r="E334" s="720">
        <f t="shared" si="88"/>
        <v>12203.621157783165</v>
      </c>
      <c r="F334" s="720">
        <f t="shared" si="88"/>
        <v>161855.87966256734</v>
      </c>
      <c r="G334" s="720">
        <f t="shared" si="88"/>
        <v>132490.23565112599</v>
      </c>
      <c r="H334" s="25">
        <f t="shared" si="80"/>
        <v>4997252.0960463462</v>
      </c>
      <c r="I334" s="720">
        <v>500</v>
      </c>
      <c r="J334" s="720">
        <f t="shared" si="84"/>
        <v>9994.5041920926924</v>
      </c>
      <c r="K334" s="659"/>
      <c r="L334" s="186" t="s">
        <v>579</v>
      </c>
      <c r="M334" s="733">
        <f t="shared" si="83"/>
        <v>41603</v>
      </c>
      <c r="N334" s="733">
        <v>41606</v>
      </c>
      <c r="O334" s="734" t="s">
        <v>993</v>
      </c>
      <c r="P334" s="298">
        <v>259</v>
      </c>
      <c r="Q334" s="763">
        <v>17473</v>
      </c>
      <c r="R334" s="25">
        <f t="shared" si="85"/>
        <v>4525507</v>
      </c>
      <c r="S334" s="442"/>
      <c r="T334" s="733"/>
      <c r="U334" s="765"/>
      <c r="V334" s="763"/>
      <c r="W334" s="25">
        <f t="shared" si="86"/>
        <v>0</v>
      </c>
    </row>
    <row r="335" spans="1:23" ht="16.5" customHeight="1">
      <c r="A335" s="719">
        <f t="shared" si="81"/>
        <v>86</v>
      </c>
      <c r="B335" s="290" t="s">
        <v>708</v>
      </c>
      <c r="C335" s="25">
        <f t="shared" si="82"/>
        <v>2787625</v>
      </c>
      <c r="D335" s="720">
        <f t="shared" si="88"/>
        <v>165195.35957486968</v>
      </c>
      <c r="E335" s="720">
        <f t="shared" si="88"/>
        <v>12203.621157783165</v>
      </c>
      <c r="F335" s="720">
        <f t="shared" si="88"/>
        <v>161855.87966256734</v>
      </c>
      <c r="G335" s="720">
        <f t="shared" si="88"/>
        <v>132490.23565112599</v>
      </c>
      <c r="H335" s="25">
        <f t="shared" si="80"/>
        <v>3259370.0960463462</v>
      </c>
      <c r="I335" s="720">
        <v>500</v>
      </c>
      <c r="J335" s="720">
        <f t="shared" si="84"/>
        <v>6518.7401920926923</v>
      </c>
      <c r="K335" s="659"/>
      <c r="L335" s="801" t="s">
        <v>1198</v>
      </c>
      <c r="M335" s="733">
        <f t="shared" si="83"/>
        <v>41603</v>
      </c>
      <c r="N335" s="733">
        <v>41606</v>
      </c>
      <c r="O335" s="734" t="s">
        <v>993</v>
      </c>
      <c r="P335" s="298">
        <f>I335/4</f>
        <v>125</v>
      </c>
      <c r="Q335" s="763">
        <v>22301</v>
      </c>
      <c r="R335" s="25">
        <f t="shared" si="85"/>
        <v>2787625</v>
      </c>
      <c r="S335" s="442"/>
      <c r="T335" s="733"/>
      <c r="U335" s="765"/>
      <c r="V335" s="763"/>
      <c r="W335" s="25">
        <f t="shared" si="86"/>
        <v>0</v>
      </c>
    </row>
    <row r="336" spans="1:23" ht="16.5" customHeight="1">
      <c r="A336" s="719">
        <f t="shared" si="81"/>
        <v>87</v>
      </c>
      <c r="B336" s="290" t="s">
        <v>814</v>
      </c>
      <c r="C336" s="25">
        <f t="shared" si="82"/>
        <v>3840000</v>
      </c>
      <c r="D336" s="720">
        <f t="shared" si="88"/>
        <v>72685.958212942656</v>
      </c>
      <c r="E336" s="720">
        <f t="shared" si="88"/>
        <v>5369.5933094245929</v>
      </c>
      <c r="F336" s="720">
        <f t="shared" si="88"/>
        <v>71216.587051529626</v>
      </c>
      <c r="G336" s="720">
        <f t="shared" si="88"/>
        <v>58295.703686495443</v>
      </c>
      <c r="H336" s="25">
        <f t="shared" si="80"/>
        <v>4047567.8422603924</v>
      </c>
      <c r="I336" s="720">
        <v>220</v>
      </c>
      <c r="J336" s="720">
        <f t="shared" si="84"/>
        <v>18398.035646638145</v>
      </c>
      <c r="K336" s="659"/>
      <c r="L336" s="189" t="s">
        <v>657</v>
      </c>
      <c r="M336" s="733">
        <f t="shared" si="83"/>
        <v>41603</v>
      </c>
      <c r="N336" s="733">
        <v>41606</v>
      </c>
      <c r="O336" s="734" t="s">
        <v>627</v>
      </c>
      <c r="P336" s="298">
        <v>240</v>
      </c>
      <c r="Q336" s="763">
        <v>16000</v>
      </c>
      <c r="R336" s="25">
        <f t="shared" si="85"/>
        <v>3840000</v>
      </c>
      <c r="S336" s="442"/>
      <c r="T336" s="733"/>
      <c r="U336" s="765"/>
      <c r="V336" s="763"/>
      <c r="W336" s="25">
        <f t="shared" si="86"/>
        <v>0</v>
      </c>
    </row>
    <row r="337" spans="1:23" ht="16.5" customHeight="1">
      <c r="A337" s="719">
        <f t="shared" si="81"/>
        <v>88</v>
      </c>
      <c r="B337" s="290" t="s">
        <v>977</v>
      </c>
      <c r="C337" s="25">
        <f t="shared" si="82"/>
        <v>2342400</v>
      </c>
      <c r="D337" s="720">
        <f t="shared" si="88"/>
        <v>66078.143829947876</v>
      </c>
      <c r="E337" s="720">
        <f t="shared" si="88"/>
        <v>4881.4484631132664</v>
      </c>
      <c r="F337" s="720">
        <f t="shared" si="88"/>
        <v>64742.351865026933</v>
      </c>
      <c r="G337" s="720">
        <f t="shared" si="88"/>
        <v>52996.094260450402</v>
      </c>
      <c r="H337" s="25">
        <f t="shared" si="80"/>
        <v>2531098.0384185384</v>
      </c>
      <c r="I337" s="720">
        <v>200</v>
      </c>
      <c r="J337" s="720">
        <f t="shared" si="84"/>
        <v>12655.490192092691</v>
      </c>
      <c r="K337" s="659"/>
      <c r="L337" s="801" t="s">
        <v>1173</v>
      </c>
      <c r="M337" s="733">
        <f t="shared" si="83"/>
        <v>41605</v>
      </c>
      <c r="N337" s="733">
        <v>41608</v>
      </c>
      <c r="O337" s="734" t="s">
        <v>994</v>
      </c>
      <c r="P337" s="298">
        <v>200</v>
      </c>
      <c r="Q337" s="763">
        <v>11712</v>
      </c>
      <c r="R337" s="25">
        <f t="shared" si="85"/>
        <v>2342400</v>
      </c>
      <c r="S337" s="442"/>
      <c r="T337" s="733"/>
      <c r="U337" s="765"/>
      <c r="V337" s="763"/>
      <c r="W337" s="25">
        <f t="shared" si="86"/>
        <v>0</v>
      </c>
    </row>
    <row r="338" spans="1:23" ht="16.5" customHeight="1">
      <c r="A338" s="719">
        <f t="shared" si="81"/>
        <v>89</v>
      </c>
      <c r="B338" s="290" t="s">
        <v>976</v>
      </c>
      <c r="C338" s="25">
        <f t="shared" si="82"/>
        <v>1890900</v>
      </c>
      <c r="D338" s="720">
        <f t="shared" si="88"/>
        <v>49558.607872460903</v>
      </c>
      <c r="E338" s="720">
        <f t="shared" si="88"/>
        <v>3661.08634733495</v>
      </c>
      <c r="F338" s="720">
        <f t="shared" si="88"/>
        <v>48556.763898770201</v>
      </c>
      <c r="G338" s="720">
        <f t="shared" si="88"/>
        <v>39747.070695337803</v>
      </c>
      <c r="H338" s="25">
        <f t="shared" si="80"/>
        <v>2032423.5288139039</v>
      </c>
      <c r="I338" s="720">
        <v>150</v>
      </c>
      <c r="J338" s="720">
        <f t="shared" si="84"/>
        <v>13549.490192092693</v>
      </c>
      <c r="K338" s="659"/>
      <c r="L338" s="801" t="s">
        <v>1171</v>
      </c>
      <c r="M338" s="733">
        <f t="shared" si="83"/>
        <v>41605</v>
      </c>
      <c r="N338" s="733">
        <v>41608</v>
      </c>
      <c r="O338" s="734" t="s">
        <v>994</v>
      </c>
      <c r="P338" s="298">
        <v>150</v>
      </c>
      <c r="Q338" s="763">
        <v>12606</v>
      </c>
      <c r="R338" s="25">
        <f t="shared" si="85"/>
        <v>1890900</v>
      </c>
      <c r="S338" s="442"/>
      <c r="T338" s="733"/>
      <c r="U338" s="765"/>
      <c r="V338" s="763"/>
      <c r="W338" s="25">
        <f t="shared" si="86"/>
        <v>0</v>
      </c>
    </row>
    <row r="339" spans="1:23" ht="16.5" customHeight="1">
      <c r="A339" s="719">
        <f t="shared" si="81"/>
        <v>90</v>
      </c>
      <c r="B339" s="290" t="s">
        <v>973</v>
      </c>
      <c r="C339" s="25">
        <f t="shared" si="82"/>
        <v>798000</v>
      </c>
      <c r="D339" s="720">
        <f t="shared" si="88"/>
        <v>33039.071914973938</v>
      </c>
      <c r="E339" s="720">
        <f t="shared" si="88"/>
        <v>2440.7242315566332</v>
      </c>
      <c r="F339" s="720">
        <f t="shared" si="88"/>
        <v>32371.175932513466</v>
      </c>
      <c r="G339" s="720">
        <f t="shared" si="88"/>
        <v>26498.047130225201</v>
      </c>
      <c r="H339" s="25">
        <f t="shared" si="80"/>
        <v>892349.0192092692</v>
      </c>
      <c r="I339" s="720">
        <v>100</v>
      </c>
      <c r="J339" s="720">
        <f t="shared" si="84"/>
        <v>8923.4901920926914</v>
      </c>
      <c r="K339" s="659"/>
      <c r="L339" s="801" t="s">
        <v>1192</v>
      </c>
      <c r="M339" s="733">
        <f t="shared" si="83"/>
        <v>41605</v>
      </c>
      <c r="N339" s="733">
        <v>41608</v>
      </c>
      <c r="O339" s="734" t="s">
        <v>994</v>
      </c>
      <c r="P339" s="298">
        <v>40</v>
      </c>
      <c r="Q339" s="763">
        <v>19950</v>
      </c>
      <c r="R339" s="25">
        <f t="shared" si="85"/>
        <v>798000</v>
      </c>
      <c r="S339" s="442"/>
      <c r="T339" s="733"/>
      <c r="U339" s="765"/>
      <c r="V339" s="763"/>
      <c r="W339" s="25">
        <f t="shared" si="86"/>
        <v>0</v>
      </c>
    </row>
    <row r="340" spans="1:23" ht="16.5" customHeight="1">
      <c r="A340" s="719">
        <f t="shared" si="81"/>
        <v>91</v>
      </c>
      <c r="B340" s="290" t="s">
        <v>995</v>
      </c>
      <c r="C340" s="25">
        <f t="shared" si="82"/>
        <v>19776000</v>
      </c>
      <c r="D340" s="720">
        <f t="shared" si="88"/>
        <v>408362.92886907788</v>
      </c>
      <c r="E340" s="720">
        <f t="shared" si="88"/>
        <v>30167.351502039986</v>
      </c>
      <c r="F340" s="720">
        <f t="shared" si="88"/>
        <v>400107.73452586646</v>
      </c>
      <c r="G340" s="720">
        <f t="shared" si="88"/>
        <v>327515.86252958345</v>
      </c>
      <c r="H340" s="25">
        <f t="shared" si="80"/>
        <v>20942153.877426565</v>
      </c>
      <c r="I340" s="720">
        <v>1236</v>
      </c>
      <c r="J340" s="720">
        <f t="shared" si="84"/>
        <v>16943.49019209269</v>
      </c>
      <c r="K340" s="659"/>
      <c r="L340" s="189" t="s">
        <v>657</v>
      </c>
      <c r="M340" s="733">
        <f t="shared" si="83"/>
        <v>41605</v>
      </c>
      <c r="N340" s="733">
        <v>41608</v>
      </c>
      <c r="O340" s="734" t="s">
        <v>996</v>
      </c>
      <c r="P340" s="298">
        <f>I340</f>
        <v>1236</v>
      </c>
      <c r="Q340" s="756">
        <v>16000</v>
      </c>
      <c r="R340" s="25">
        <f t="shared" si="85"/>
        <v>19776000</v>
      </c>
      <c r="S340" s="442"/>
      <c r="T340" s="733"/>
      <c r="U340" s="765"/>
      <c r="V340" s="763"/>
      <c r="W340" s="25">
        <f t="shared" si="86"/>
        <v>0</v>
      </c>
    </row>
    <row r="341" spans="1:23" ht="16.5" customHeight="1">
      <c r="A341" s="719">
        <f t="shared" si="81"/>
        <v>92</v>
      </c>
      <c r="B341" s="290" t="s">
        <v>805</v>
      </c>
      <c r="C341" s="25">
        <f t="shared" si="82"/>
        <v>4322760</v>
      </c>
      <c r="D341" s="720">
        <f t="shared" si="88"/>
        <v>165195.35957486968</v>
      </c>
      <c r="E341" s="720">
        <f t="shared" si="88"/>
        <v>12203.621157783165</v>
      </c>
      <c r="F341" s="720">
        <f t="shared" si="88"/>
        <v>161855.87966256734</v>
      </c>
      <c r="G341" s="720">
        <f t="shared" si="88"/>
        <v>132490.23565112599</v>
      </c>
      <c r="H341" s="25">
        <f t="shared" si="80"/>
        <v>4794505.0960463462</v>
      </c>
      <c r="I341" s="720">
        <v>500</v>
      </c>
      <c r="J341" s="720">
        <f t="shared" si="84"/>
        <v>9589.0101920926918</v>
      </c>
      <c r="K341" s="659"/>
      <c r="L341" s="189" t="s">
        <v>556</v>
      </c>
      <c r="M341" s="733">
        <f t="shared" si="83"/>
        <v>41609</v>
      </c>
      <c r="N341" s="733">
        <v>41612</v>
      </c>
      <c r="O341" s="734" t="s">
        <v>997</v>
      </c>
      <c r="P341" s="298">
        <v>260</v>
      </c>
      <c r="Q341" s="763">
        <v>16626</v>
      </c>
      <c r="R341" s="25">
        <f t="shared" si="85"/>
        <v>4322760</v>
      </c>
      <c r="S341" s="442"/>
      <c r="T341" s="733"/>
      <c r="U341" s="765"/>
      <c r="V341" s="763"/>
      <c r="W341" s="25">
        <f t="shared" si="86"/>
        <v>0</v>
      </c>
    </row>
    <row r="342" spans="1:23" ht="16.5" customHeight="1">
      <c r="A342" s="719">
        <f t="shared" si="81"/>
        <v>93</v>
      </c>
      <c r="B342" s="290" t="s">
        <v>805</v>
      </c>
      <c r="C342" s="25">
        <f t="shared" si="82"/>
        <v>4175625</v>
      </c>
      <c r="D342" s="720">
        <f t="shared" si="88"/>
        <v>165195.35957486968</v>
      </c>
      <c r="E342" s="720">
        <f t="shared" si="88"/>
        <v>12203.621157783165</v>
      </c>
      <c r="F342" s="720">
        <f t="shared" si="88"/>
        <v>161855.87966256734</v>
      </c>
      <c r="G342" s="720">
        <f t="shared" si="88"/>
        <v>132490.23565112599</v>
      </c>
      <c r="H342" s="25">
        <f t="shared" si="80"/>
        <v>4647370.0960463462</v>
      </c>
      <c r="I342" s="720">
        <v>500</v>
      </c>
      <c r="J342" s="720">
        <f t="shared" si="84"/>
        <v>9294.7401920926932</v>
      </c>
      <c r="K342" s="659"/>
      <c r="L342" s="189" t="s">
        <v>634</v>
      </c>
      <c r="M342" s="733">
        <f t="shared" si="83"/>
        <v>41609</v>
      </c>
      <c r="N342" s="733">
        <v>41612</v>
      </c>
      <c r="O342" s="734" t="s">
        <v>997</v>
      </c>
      <c r="P342" s="298">
        <v>255</v>
      </c>
      <c r="Q342" s="763">
        <v>16375</v>
      </c>
      <c r="R342" s="25">
        <f t="shared" si="85"/>
        <v>4175625</v>
      </c>
      <c r="S342" s="442"/>
      <c r="T342" s="733"/>
      <c r="U342" s="765"/>
      <c r="V342" s="763"/>
      <c r="W342" s="25">
        <f t="shared" si="86"/>
        <v>0</v>
      </c>
    </row>
    <row r="343" spans="1:23" ht="16.5" customHeight="1">
      <c r="A343" s="719">
        <f t="shared" si="81"/>
        <v>94</v>
      </c>
      <c r="B343" s="290" t="s">
        <v>852</v>
      </c>
      <c r="C343" s="25">
        <f t="shared" si="82"/>
        <v>1385800</v>
      </c>
      <c r="D343" s="720">
        <f t="shared" si="88"/>
        <v>66738.925268247345</v>
      </c>
      <c r="E343" s="720">
        <f t="shared" si="88"/>
        <v>4930.2629477443988</v>
      </c>
      <c r="F343" s="720">
        <f t="shared" si="88"/>
        <v>65389.775383677203</v>
      </c>
      <c r="G343" s="720">
        <f t="shared" si="88"/>
        <v>53526.055203054901</v>
      </c>
      <c r="H343" s="25">
        <f t="shared" si="80"/>
        <v>1576385.0188027236</v>
      </c>
      <c r="I343" s="720">
        <v>202</v>
      </c>
      <c r="J343" s="720">
        <f t="shared" si="84"/>
        <v>7803.8862316966515</v>
      </c>
      <c r="K343" s="659"/>
      <c r="L343" s="189" t="s">
        <v>680</v>
      </c>
      <c r="M343" s="733">
        <f t="shared" si="83"/>
        <v>41610</v>
      </c>
      <c r="N343" s="733">
        <v>41613</v>
      </c>
      <c r="O343" s="734" t="s">
        <v>998</v>
      </c>
      <c r="P343" s="298">
        <v>205</v>
      </c>
      <c r="Q343" s="763">
        <v>6760</v>
      </c>
      <c r="R343" s="25">
        <f t="shared" si="85"/>
        <v>1385800</v>
      </c>
      <c r="S343" s="442"/>
      <c r="T343" s="733"/>
      <c r="U343" s="765"/>
      <c r="V343" s="763"/>
      <c r="W343" s="25">
        <f t="shared" si="86"/>
        <v>0</v>
      </c>
    </row>
    <row r="344" spans="1:23" ht="16.5" customHeight="1">
      <c r="A344" s="719">
        <f t="shared" si="81"/>
        <v>95</v>
      </c>
      <c r="B344" s="290" t="s">
        <v>810</v>
      </c>
      <c r="C344" s="25">
        <f t="shared" si="82"/>
        <v>785650</v>
      </c>
      <c r="D344" s="720">
        <f t="shared" si="88"/>
        <v>28083.211127727845</v>
      </c>
      <c r="E344" s="720">
        <f t="shared" si="88"/>
        <v>2074.6155968231383</v>
      </c>
      <c r="F344" s="720">
        <f t="shared" si="88"/>
        <v>27515.499542636448</v>
      </c>
      <c r="G344" s="720">
        <f t="shared" si="88"/>
        <v>22523.340060691418</v>
      </c>
      <c r="H344" s="25">
        <f t="shared" si="80"/>
        <v>865846.66632787895</v>
      </c>
      <c r="I344" s="720">
        <v>85</v>
      </c>
      <c r="J344" s="720">
        <f t="shared" si="84"/>
        <v>10186.431368563282</v>
      </c>
      <c r="K344" s="659"/>
      <c r="L344" s="189" t="s">
        <v>593</v>
      </c>
      <c r="M344" s="733">
        <f t="shared" si="83"/>
        <v>41610</v>
      </c>
      <c r="N344" s="733">
        <v>41613</v>
      </c>
      <c r="O344" s="734" t="s">
        <v>998</v>
      </c>
      <c r="P344" s="298">
        <v>50</v>
      </c>
      <c r="Q344" s="763">
        <v>15713</v>
      </c>
      <c r="R344" s="25">
        <f t="shared" si="85"/>
        <v>785650</v>
      </c>
      <c r="S344" s="442"/>
      <c r="T344" s="733"/>
      <c r="U344" s="765"/>
      <c r="V344" s="763"/>
      <c r="W344" s="25">
        <f t="shared" si="86"/>
        <v>0</v>
      </c>
    </row>
    <row r="345" spans="1:23" ht="16.5" customHeight="1">
      <c r="A345" s="719">
        <f t="shared" si="81"/>
        <v>96</v>
      </c>
      <c r="B345" s="290" t="s">
        <v>1116</v>
      </c>
      <c r="C345" s="25">
        <f t="shared" si="82"/>
        <v>8543903</v>
      </c>
      <c r="D345" s="720">
        <f t="shared" si="88"/>
        <v>892054.94170429627</v>
      </c>
      <c r="E345" s="720">
        <f t="shared" si="88"/>
        <v>65899.554252029091</v>
      </c>
      <c r="F345" s="720">
        <f t="shared" si="88"/>
        <v>874021.75017786364</v>
      </c>
      <c r="G345" s="720">
        <f t="shared" si="88"/>
        <v>715447.27251608041</v>
      </c>
      <c r="H345" s="25">
        <f t="shared" si="80"/>
        <v>11091326.518650269</v>
      </c>
      <c r="I345" s="720">
        <v>2700</v>
      </c>
      <c r="J345" s="720">
        <f t="shared" si="84"/>
        <v>4107.8987106112108</v>
      </c>
      <c r="K345" s="659"/>
      <c r="L345" s="189" t="s">
        <v>685</v>
      </c>
      <c r="M345" s="733">
        <f t="shared" si="83"/>
        <v>41612</v>
      </c>
      <c r="N345" s="733">
        <v>41615</v>
      </c>
      <c r="O345" s="734" t="s">
        <v>629</v>
      </c>
      <c r="P345" s="298">
        <v>390</v>
      </c>
      <c r="Q345" s="763">
        <v>21907.443037974685</v>
      </c>
      <c r="R345" s="25">
        <f t="shared" si="85"/>
        <v>8543903</v>
      </c>
      <c r="S345" s="442"/>
      <c r="T345" s="733"/>
      <c r="U345" s="765"/>
      <c r="V345" s="763"/>
      <c r="W345" s="25">
        <f t="shared" si="86"/>
        <v>0</v>
      </c>
    </row>
    <row r="346" spans="1:23" ht="16.5" customHeight="1">
      <c r="A346" s="719">
        <f t="shared" si="81"/>
        <v>97</v>
      </c>
      <c r="B346" s="290" t="s">
        <v>1108</v>
      </c>
      <c r="C346" s="25">
        <f t="shared" si="82"/>
        <v>3505038</v>
      </c>
      <c r="D346" s="720">
        <f t="shared" si="88"/>
        <v>348562.20870297501</v>
      </c>
      <c r="E346" s="720">
        <f t="shared" si="88"/>
        <v>25749.640642922481</v>
      </c>
      <c r="F346" s="720">
        <f t="shared" si="88"/>
        <v>341515.90608801704</v>
      </c>
      <c r="G346" s="720">
        <f t="shared" si="88"/>
        <v>279554.39722387586</v>
      </c>
      <c r="H346" s="25">
        <f t="shared" ref="H346:H365" si="89">SUM(C346:G346)</f>
        <v>4500420.1526577901</v>
      </c>
      <c r="I346" s="720">
        <v>1055</v>
      </c>
      <c r="J346" s="720">
        <f t="shared" si="84"/>
        <v>4265.8010925666258</v>
      </c>
      <c r="K346" s="659"/>
      <c r="L346" s="189" t="s">
        <v>555</v>
      </c>
      <c r="M346" s="733">
        <f t="shared" si="83"/>
        <v>41617</v>
      </c>
      <c r="N346" s="733">
        <v>41620</v>
      </c>
      <c r="O346" s="734" t="s">
        <v>999</v>
      </c>
      <c r="P346" s="298">
        <v>201</v>
      </c>
      <c r="Q346" s="763">
        <v>17438</v>
      </c>
      <c r="R346" s="25">
        <f t="shared" si="85"/>
        <v>3505038</v>
      </c>
      <c r="S346" s="442"/>
      <c r="T346" s="733"/>
      <c r="U346" s="765"/>
      <c r="V346" s="763"/>
      <c r="W346" s="25">
        <f t="shared" si="86"/>
        <v>0</v>
      </c>
    </row>
    <row r="347" spans="1:23" ht="16.5" customHeight="1">
      <c r="A347" s="719">
        <f t="shared" si="81"/>
        <v>98</v>
      </c>
      <c r="B347" s="290" t="s">
        <v>1118</v>
      </c>
      <c r="C347" s="25">
        <f t="shared" si="82"/>
        <v>8543902</v>
      </c>
      <c r="D347" s="720">
        <f t="shared" si="88"/>
        <v>892054.94170429627</v>
      </c>
      <c r="E347" s="720">
        <f t="shared" si="88"/>
        <v>65899.554252029091</v>
      </c>
      <c r="F347" s="720">
        <f t="shared" si="88"/>
        <v>874021.75017786364</v>
      </c>
      <c r="G347" s="720">
        <f t="shared" si="88"/>
        <v>715447.27251608041</v>
      </c>
      <c r="H347" s="25">
        <f t="shared" si="89"/>
        <v>11091325.518650269</v>
      </c>
      <c r="I347" s="720">
        <v>2700</v>
      </c>
      <c r="J347" s="720">
        <f t="shared" si="84"/>
        <v>4107.8983402408403</v>
      </c>
      <c r="K347" s="659"/>
      <c r="L347" s="189" t="s">
        <v>685</v>
      </c>
      <c r="M347" s="733">
        <f t="shared" si="83"/>
        <v>41619</v>
      </c>
      <c r="N347" s="733">
        <v>41622</v>
      </c>
      <c r="O347" s="734" t="s">
        <v>1000</v>
      </c>
      <c r="P347" s="298">
        <v>390</v>
      </c>
      <c r="Q347" s="763">
        <v>21907.441025641026</v>
      </c>
      <c r="R347" s="25">
        <f t="shared" si="85"/>
        <v>8543902</v>
      </c>
      <c r="S347" s="442"/>
      <c r="T347" s="733"/>
      <c r="U347" s="765"/>
      <c r="V347" s="763"/>
      <c r="W347" s="25">
        <f t="shared" si="86"/>
        <v>0</v>
      </c>
    </row>
    <row r="348" spans="1:23" ht="16.5" customHeight="1">
      <c r="A348" s="719">
        <f t="shared" si="81"/>
        <v>99</v>
      </c>
      <c r="B348" s="290" t="s">
        <v>805</v>
      </c>
      <c r="C348" s="25">
        <f t="shared" si="82"/>
        <v>10253680</v>
      </c>
      <c r="D348" s="720">
        <f t="shared" si="88"/>
        <v>340302.44072423154</v>
      </c>
      <c r="E348" s="720">
        <f t="shared" si="88"/>
        <v>25139.459585033321</v>
      </c>
      <c r="F348" s="720">
        <f t="shared" si="88"/>
        <v>333423.11210488871</v>
      </c>
      <c r="G348" s="720">
        <f t="shared" si="88"/>
        <v>272929.88544131955</v>
      </c>
      <c r="H348" s="25">
        <f t="shared" si="89"/>
        <v>11225474.897855474</v>
      </c>
      <c r="I348" s="720">
        <v>1030</v>
      </c>
      <c r="J348" s="720">
        <f t="shared" si="84"/>
        <v>10898.519318306286</v>
      </c>
      <c r="K348" s="659"/>
      <c r="L348" s="801" t="s">
        <v>1209</v>
      </c>
      <c r="M348" s="733">
        <f t="shared" si="83"/>
        <v>41621</v>
      </c>
      <c r="N348" s="733">
        <v>41624</v>
      </c>
      <c r="O348" s="734" t="s">
        <v>1001</v>
      </c>
      <c r="P348" s="298">
        <f>I348/2</f>
        <v>515</v>
      </c>
      <c r="Q348" s="763">
        <v>19910.05909888824</v>
      </c>
      <c r="R348" s="25">
        <f t="shared" si="85"/>
        <v>10253680</v>
      </c>
      <c r="S348" s="442"/>
      <c r="T348" s="733"/>
      <c r="U348" s="765"/>
      <c r="V348" s="763"/>
      <c r="W348" s="25">
        <f t="shared" si="86"/>
        <v>0</v>
      </c>
    </row>
    <row r="349" spans="1:23" ht="16.5" customHeight="1">
      <c r="A349" s="719">
        <f t="shared" si="81"/>
        <v>100</v>
      </c>
      <c r="B349" s="290" t="s">
        <v>1118</v>
      </c>
      <c r="C349" s="25">
        <f t="shared" si="82"/>
        <v>7200000</v>
      </c>
      <c r="D349" s="720">
        <f t="shared" si="88"/>
        <v>892054.94170429627</v>
      </c>
      <c r="E349" s="720">
        <f t="shared" si="88"/>
        <v>65899.554252029091</v>
      </c>
      <c r="F349" s="720">
        <f t="shared" si="88"/>
        <v>874021.75017786364</v>
      </c>
      <c r="G349" s="720">
        <f t="shared" si="88"/>
        <v>715447.27251608041</v>
      </c>
      <c r="H349" s="25">
        <f t="shared" si="89"/>
        <v>9747423.518650271</v>
      </c>
      <c r="I349" s="720">
        <v>2700</v>
      </c>
      <c r="J349" s="720">
        <f t="shared" si="84"/>
        <v>3610.1568587593597</v>
      </c>
      <c r="K349" s="659"/>
      <c r="L349" s="186" t="s">
        <v>677</v>
      </c>
      <c r="M349" s="733">
        <f t="shared" si="83"/>
        <v>41622</v>
      </c>
      <c r="N349" s="733">
        <v>41625</v>
      </c>
      <c r="O349" s="734" t="s">
        <v>1002</v>
      </c>
      <c r="P349" s="298">
        <v>800</v>
      </c>
      <c r="Q349" s="763">
        <v>9000</v>
      </c>
      <c r="R349" s="25">
        <f t="shared" si="85"/>
        <v>7200000</v>
      </c>
      <c r="S349" s="442"/>
      <c r="T349" s="733"/>
      <c r="U349" s="765"/>
      <c r="V349" s="763"/>
      <c r="W349" s="25">
        <f t="shared" si="86"/>
        <v>0</v>
      </c>
    </row>
    <row r="350" spans="1:23" ht="16.5" customHeight="1">
      <c r="A350" s="719">
        <f t="shared" si="81"/>
        <v>101</v>
      </c>
      <c r="B350" s="290" t="s">
        <v>805</v>
      </c>
      <c r="C350" s="25">
        <f t="shared" si="82"/>
        <v>4175625</v>
      </c>
      <c r="D350" s="720">
        <f t="shared" ref="D350:G365" si="90">IF($I$367&lt;&gt;0,D$367/$I$367*$I350,0)</f>
        <v>166847.31317061838</v>
      </c>
      <c r="E350" s="720">
        <f t="shared" si="90"/>
        <v>12325.657369360997</v>
      </c>
      <c r="F350" s="720">
        <f t="shared" si="90"/>
        <v>163474.43845919301</v>
      </c>
      <c r="G350" s="720">
        <f t="shared" si="90"/>
        <v>133815.13800763726</v>
      </c>
      <c r="H350" s="25">
        <f t="shared" si="89"/>
        <v>4652087.5470068101</v>
      </c>
      <c r="I350" s="720">
        <v>505</v>
      </c>
      <c r="J350" s="720">
        <f t="shared" si="84"/>
        <v>9212.0545485283365</v>
      </c>
      <c r="K350" s="659"/>
      <c r="L350" s="189" t="s">
        <v>634</v>
      </c>
      <c r="M350" s="733">
        <f t="shared" si="83"/>
        <v>41623</v>
      </c>
      <c r="N350" s="733">
        <v>41626</v>
      </c>
      <c r="O350" s="734" t="s">
        <v>1003</v>
      </c>
      <c r="P350" s="298">
        <v>255</v>
      </c>
      <c r="Q350" s="763">
        <v>16375</v>
      </c>
      <c r="R350" s="25">
        <f t="shared" si="85"/>
        <v>4175625</v>
      </c>
      <c r="S350" s="442"/>
      <c r="T350" s="733"/>
      <c r="U350" s="765"/>
      <c r="V350" s="763"/>
      <c r="W350" s="25">
        <f t="shared" si="86"/>
        <v>0</v>
      </c>
    </row>
    <row r="351" spans="1:23" ht="16.5" customHeight="1">
      <c r="A351" s="719">
        <f t="shared" si="81"/>
        <v>102</v>
      </c>
      <c r="B351" s="290" t="s">
        <v>1097</v>
      </c>
      <c r="C351" s="25">
        <f t="shared" si="82"/>
        <v>1635600</v>
      </c>
      <c r="D351" s="720">
        <f t="shared" si="90"/>
        <v>85571.19625978249</v>
      </c>
      <c r="E351" s="720">
        <f t="shared" si="90"/>
        <v>6321.4757597316802</v>
      </c>
      <c r="F351" s="720">
        <f t="shared" si="90"/>
        <v>83841.345665209883</v>
      </c>
      <c r="G351" s="720">
        <f t="shared" si="90"/>
        <v>68629.942067283264</v>
      </c>
      <c r="H351" s="25">
        <f t="shared" si="89"/>
        <v>1879963.9597520072</v>
      </c>
      <c r="I351" s="720">
        <v>259</v>
      </c>
      <c r="J351" s="720">
        <f t="shared" si="84"/>
        <v>7258.5481071506065</v>
      </c>
      <c r="K351" s="659"/>
      <c r="L351" s="186" t="s">
        <v>642</v>
      </c>
      <c r="M351" s="733">
        <f t="shared" si="83"/>
        <v>41625</v>
      </c>
      <c r="N351" s="733">
        <v>41628</v>
      </c>
      <c r="O351" s="734" t="s">
        <v>1004</v>
      </c>
      <c r="P351" s="298">
        <v>150</v>
      </c>
      <c r="Q351" s="763">
        <v>10904</v>
      </c>
      <c r="R351" s="25">
        <f t="shared" si="85"/>
        <v>1635600</v>
      </c>
      <c r="S351" s="442"/>
      <c r="T351" s="733"/>
      <c r="U351" s="765"/>
      <c r="V351" s="763"/>
      <c r="W351" s="25">
        <f t="shared" si="86"/>
        <v>0</v>
      </c>
    </row>
    <row r="352" spans="1:23" ht="16.5" customHeight="1">
      <c r="A352" s="719">
        <f t="shared" si="81"/>
        <v>103</v>
      </c>
      <c r="B352" s="290" t="s">
        <v>1098</v>
      </c>
      <c r="C352" s="25">
        <f t="shared" si="82"/>
        <v>1327968</v>
      </c>
      <c r="D352" s="720">
        <f t="shared" si="90"/>
        <v>34030.244072423156</v>
      </c>
      <c r="E352" s="720">
        <f t="shared" si="90"/>
        <v>2513.9459585033323</v>
      </c>
      <c r="F352" s="720">
        <f t="shared" si="90"/>
        <v>33342.311210488871</v>
      </c>
      <c r="G352" s="720">
        <f t="shared" si="90"/>
        <v>27292.988544131957</v>
      </c>
      <c r="H352" s="25">
        <f t="shared" si="89"/>
        <v>1425147.4897855471</v>
      </c>
      <c r="I352" s="720">
        <v>103</v>
      </c>
      <c r="J352" s="720">
        <f t="shared" si="84"/>
        <v>13836.383395976185</v>
      </c>
      <c r="K352" s="659"/>
      <c r="L352" s="186" t="s">
        <v>585</v>
      </c>
      <c r="M352" s="733">
        <f t="shared" si="83"/>
        <v>41625</v>
      </c>
      <c r="N352" s="733">
        <v>41628</v>
      </c>
      <c r="O352" s="734" t="s">
        <v>1004</v>
      </c>
      <c r="P352" s="298">
        <v>106</v>
      </c>
      <c r="Q352" s="763">
        <v>12528</v>
      </c>
      <c r="R352" s="25">
        <f t="shared" si="85"/>
        <v>1327968</v>
      </c>
      <c r="S352" s="442"/>
      <c r="T352" s="733"/>
      <c r="U352" s="765"/>
      <c r="V352" s="763"/>
      <c r="W352" s="25">
        <f t="shared" si="86"/>
        <v>0</v>
      </c>
    </row>
    <row r="353" spans="1:23" ht="16.5" customHeight="1">
      <c r="A353" s="719">
        <f t="shared" si="81"/>
        <v>104</v>
      </c>
      <c r="B353" s="290" t="s">
        <v>1099</v>
      </c>
      <c r="C353" s="25">
        <f t="shared" si="82"/>
        <v>2372955</v>
      </c>
      <c r="D353" s="720">
        <f t="shared" si="90"/>
        <v>93500.573519376238</v>
      </c>
      <c r="E353" s="720">
        <f t="shared" si="90"/>
        <v>6907.2495753052717</v>
      </c>
      <c r="F353" s="720">
        <f t="shared" si="90"/>
        <v>91610.42788901311</v>
      </c>
      <c r="G353" s="720">
        <f t="shared" si="90"/>
        <v>74989.47337853731</v>
      </c>
      <c r="H353" s="25">
        <f t="shared" si="89"/>
        <v>2639962.7243622318</v>
      </c>
      <c r="I353" s="720">
        <v>283</v>
      </c>
      <c r="J353" s="720">
        <f t="shared" si="84"/>
        <v>9328.4901920926914</v>
      </c>
      <c r="K353" s="659"/>
      <c r="L353" s="189" t="s">
        <v>597</v>
      </c>
      <c r="M353" s="733">
        <f t="shared" si="83"/>
        <v>41625</v>
      </c>
      <c r="N353" s="733">
        <v>41628</v>
      </c>
      <c r="O353" s="734" t="s">
        <v>1004</v>
      </c>
      <c r="P353" s="298">
        <f>I353</f>
        <v>283</v>
      </c>
      <c r="Q353" s="763">
        <v>8385</v>
      </c>
      <c r="R353" s="25">
        <f t="shared" si="85"/>
        <v>2372955</v>
      </c>
      <c r="S353" s="442"/>
      <c r="T353" s="733"/>
      <c r="U353" s="765"/>
      <c r="V353" s="763"/>
      <c r="W353" s="25">
        <f t="shared" si="86"/>
        <v>0</v>
      </c>
    </row>
    <row r="354" spans="1:23" ht="16.5" customHeight="1">
      <c r="A354" s="719">
        <f t="shared" si="81"/>
        <v>105</v>
      </c>
      <c r="B354" s="290" t="s">
        <v>1100</v>
      </c>
      <c r="C354" s="25">
        <f t="shared" si="82"/>
        <v>2192603</v>
      </c>
      <c r="D354" s="720">
        <f t="shared" si="90"/>
        <v>67069.315987397087</v>
      </c>
      <c r="E354" s="720">
        <f t="shared" si="90"/>
        <v>4954.6701900599655</v>
      </c>
      <c r="F354" s="720">
        <f t="shared" si="90"/>
        <v>65713.487143002334</v>
      </c>
      <c r="G354" s="720">
        <f t="shared" si="90"/>
        <v>53791.035674357154</v>
      </c>
      <c r="H354" s="25">
        <f t="shared" si="89"/>
        <v>2384131.5089948168</v>
      </c>
      <c r="I354" s="720">
        <v>203</v>
      </c>
      <c r="J354" s="720">
        <f t="shared" si="84"/>
        <v>11744.490192092693</v>
      </c>
      <c r="K354" s="659"/>
      <c r="L354" s="189" t="s">
        <v>639</v>
      </c>
      <c r="M354" s="733">
        <f t="shared" si="83"/>
        <v>41625</v>
      </c>
      <c r="N354" s="733">
        <v>41628</v>
      </c>
      <c r="O354" s="734" t="s">
        <v>1004</v>
      </c>
      <c r="P354" s="298">
        <v>203</v>
      </c>
      <c r="Q354" s="763">
        <v>10801</v>
      </c>
      <c r="R354" s="25">
        <f t="shared" si="85"/>
        <v>2192603</v>
      </c>
      <c r="S354" s="442"/>
      <c r="T354" s="733"/>
      <c r="U354" s="765"/>
      <c r="V354" s="763"/>
      <c r="W354" s="25">
        <f t="shared" si="86"/>
        <v>0</v>
      </c>
    </row>
    <row r="355" spans="1:23" ht="16.5" customHeight="1">
      <c r="A355" s="719">
        <f t="shared" si="81"/>
        <v>106</v>
      </c>
      <c r="B355" s="290" t="s">
        <v>1101</v>
      </c>
      <c r="C355" s="25">
        <f t="shared" si="82"/>
        <v>1338060</v>
      </c>
      <c r="D355" s="720">
        <f t="shared" si="90"/>
        <v>78632.991157637967</v>
      </c>
      <c r="E355" s="720">
        <f t="shared" si="90"/>
        <v>5808.923671104787</v>
      </c>
      <c r="F355" s="720">
        <f t="shared" si="90"/>
        <v>77043.39871938205</v>
      </c>
      <c r="G355" s="720">
        <f t="shared" si="90"/>
        <v>63065.352169935977</v>
      </c>
      <c r="H355" s="25">
        <f t="shared" si="89"/>
        <v>1562610.6657180607</v>
      </c>
      <c r="I355" s="720">
        <v>238</v>
      </c>
      <c r="J355" s="720">
        <f t="shared" si="84"/>
        <v>6565.5910324288261</v>
      </c>
      <c r="K355" s="659"/>
      <c r="L355" s="801" t="s">
        <v>1198</v>
      </c>
      <c r="M355" s="733">
        <f t="shared" si="83"/>
        <v>41625</v>
      </c>
      <c r="N355" s="733">
        <v>41628</v>
      </c>
      <c r="O355" s="734" t="s">
        <v>1004</v>
      </c>
      <c r="P355" s="298">
        <v>60</v>
      </c>
      <c r="Q355" s="763">
        <v>22301</v>
      </c>
      <c r="R355" s="25">
        <f t="shared" si="85"/>
        <v>1338060</v>
      </c>
      <c r="S355" s="442"/>
      <c r="T355" s="733"/>
      <c r="U355" s="765"/>
      <c r="V355" s="763"/>
      <c r="W355" s="25">
        <f t="shared" si="86"/>
        <v>0</v>
      </c>
    </row>
    <row r="356" spans="1:23" ht="16.5" customHeight="1">
      <c r="A356" s="719">
        <f t="shared" si="81"/>
        <v>107</v>
      </c>
      <c r="B356" s="290" t="s">
        <v>852</v>
      </c>
      <c r="C356" s="25">
        <f t="shared" si="82"/>
        <v>3008200</v>
      </c>
      <c r="D356" s="720">
        <f t="shared" si="90"/>
        <v>145702.30714503507</v>
      </c>
      <c r="E356" s="720">
        <f t="shared" si="90"/>
        <v>10763.593861164753</v>
      </c>
      <c r="F356" s="720">
        <f t="shared" si="90"/>
        <v>142756.8858623844</v>
      </c>
      <c r="G356" s="720">
        <f t="shared" si="90"/>
        <v>116856.38784429313</v>
      </c>
      <c r="H356" s="25">
        <f t="shared" si="89"/>
        <v>3424279.1747128768</v>
      </c>
      <c r="I356" s="720">
        <v>441</v>
      </c>
      <c r="J356" s="720">
        <f t="shared" si="84"/>
        <v>7764.8053848364552</v>
      </c>
      <c r="K356" s="659"/>
      <c r="L356" s="189" t="s">
        <v>680</v>
      </c>
      <c r="M356" s="733">
        <f t="shared" si="83"/>
        <v>41625</v>
      </c>
      <c r="N356" s="733">
        <v>41628</v>
      </c>
      <c r="O356" s="734" t="s">
        <v>1004</v>
      </c>
      <c r="P356" s="298">
        <v>445</v>
      </c>
      <c r="Q356" s="763">
        <v>6760</v>
      </c>
      <c r="R356" s="25">
        <f t="shared" si="85"/>
        <v>3008200</v>
      </c>
      <c r="S356" s="442"/>
      <c r="T356" s="733"/>
      <c r="U356" s="765"/>
      <c r="V356" s="763"/>
      <c r="W356" s="25">
        <f t="shared" si="86"/>
        <v>0</v>
      </c>
    </row>
    <row r="357" spans="1:23" ht="16.5" customHeight="1">
      <c r="A357" s="719">
        <f t="shared" si="81"/>
        <v>108</v>
      </c>
      <c r="B357" s="290" t="s">
        <v>1005</v>
      </c>
      <c r="C357" s="25">
        <f t="shared" si="82"/>
        <v>692224</v>
      </c>
      <c r="D357" s="720">
        <f t="shared" si="90"/>
        <v>34360.634791572891</v>
      </c>
      <c r="E357" s="720">
        <f t="shared" si="90"/>
        <v>2538.3532008188986</v>
      </c>
      <c r="F357" s="720">
        <f t="shared" si="90"/>
        <v>33666.022969814003</v>
      </c>
      <c r="G357" s="720">
        <f t="shared" si="90"/>
        <v>27557.96901543421</v>
      </c>
      <c r="H357" s="25">
        <f t="shared" si="89"/>
        <v>790346.97997764009</v>
      </c>
      <c r="I357" s="720">
        <v>104</v>
      </c>
      <c r="J357" s="720">
        <f t="shared" si="84"/>
        <v>7599.4901920926932</v>
      </c>
      <c r="K357" s="659"/>
      <c r="L357" s="801" t="s">
        <v>663</v>
      </c>
      <c r="M357" s="733">
        <f t="shared" si="83"/>
        <v>41625</v>
      </c>
      <c r="N357" s="733">
        <v>41628</v>
      </c>
      <c r="O357" s="734" t="s">
        <v>1004</v>
      </c>
      <c r="P357" s="298">
        <v>104</v>
      </c>
      <c r="Q357" s="286">
        <v>6656</v>
      </c>
      <c r="R357" s="25">
        <f t="shared" si="85"/>
        <v>692224</v>
      </c>
      <c r="S357" s="442"/>
      <c r="T357" s="733"/>
      <c r="U357" s="765"/>
      <c r="V357" s="763"/>
      <c r="W357" s="25">
        <f t="shared" si="86"/>
        <v>0</v>
      </c>
    </row>
    <row r="358" spans="1:23" ht="16.5" customHeight="1">
      <c r="A358" s="719">
        <f t="shared" si="81"/>
        <v>109</v>
      </c>
      <c r="B358" s="290" t="s">
        <v>811</v>
      </c>
      <c r="C358" s="25">
        <f t="shared" si="82"/>
        <v>840000</v>
      </c>
      <c r="D358" s="720">
        <f t="shared" si="90"/>
        <v>33699.853353273415</v>
      </c>
      <c r="E358" s="720">
        <f t="shared" si="90"/>
        <v>2489.5387161877661</v>
      </c>
      <c r="F358" s="720">
        <f t="shared" si="90"/>
        <v>33018.599451163733</v>
      </c>
      <c r="G358" s="720">
        <f t="shared" si="90"/>
        <v>27028.008072829703</v>
      </c>
      <c r="H358" s="25">
        <f t="shared" si="89"/>
        <v>936235.99959345465</v>
      </c>
      <c r="I358" s="720">
        <v>102</v>
      </c>
      <c r="J358" s="720">
        <f t="shared" si="84"/>
        <v>9178.7843097397508</v>
      </c>
      <c r="K358" s="659"/>
      <c r="L358" s="189" t="s">
        <v>678</v>
      </c>
      <c r="M358" s="733">
        <f t="shared" si="83"/>
        <v>41625</v>
      </c>
      <c r="N358" s="733">
        <v>41628</v>
      </c>
      <c r="O358" s="734" t="s">
        <v>1004</v>
      </c>
      <c r="P358" s="298">
        <v>56</v>
      </c>
      <c r="Q358" s="763">
        <v>15000</v>
      </c>
      <c r="R358" s="25">
        <f t="shared" si="85"/>
        <v>840000</v>
      </c>
      <c r="S358" s="442"/>
      <c r="T358" s="733"/>
      <c r="U358" s="765"/>
      <c r="V358" s="763"/>
      <c r="W358" s="25">
        <f t="shared" si="86"/>
        <v>0</v>
      </c>
    </row>
    <row r="359" spans="1:23" ht="16.5" customHeight="1">
      <c r="A359" s="719">
        <f t="shared" si="81"/>
        <v>110</v>
      </c>
      <c r="B359" s="290" t="s">
        <v>1122</v>
      </c>
      <c r="C359" s="25">
        <f t="shared" si="82"/>
        <v>5133168</v>
      </c>
      <c r="D359" s="720">
        <f t="shared" si="90"/>
        <v>502193.89310760383</v>
      </c>
      <c r="E359" s="720">
        <f t="shared" si="90"/>
        <v>37099.008319660825</v>
      </c>
      <c r="F359" s="720">
        <f t="shared" si="90"/>
        <v>492041.87417420471</v>
      </c>
      <c r="G359" s="720">
        <f t="shared" si="90"/>
        <v>402770.31637942302</v>
      </c>
      <c r="H359" s="25">
        <f t="shared" si="89"/>
        <v>6567273.0919808932</v>
      </c>
      <c r="I359" s="720">
        <v>1520</v>
      </c>
      <c r="J359" s="720">
        <f t="shared" si="84"/>
        <v>4320.5744026190087</v>
      </c>
      <c r="K359" s="659"/>
      <c r="L359" s="189" t="s">
        <v>558</v>
      </c>
      <c r="M359" s="733">
        <f t="shared" si="83"/>
        <v>41628</v>
      </c>
      <c r="N359" s="733">
        <v>41631</v>
      </c>
      <c r="O359" s="734" t="s">
        <v>1006</v>
      </c>
      <c r="P359" s="298">
        <v>258</v>
      </c>
      <c r="Q359" s="763">
        <v>19896</v>
      </c>
      <c r="R359" s="25">
        <f t="shared" si="85"/>
        <v>5133168</v>
      </c>
      <c r="S359" s="442"/>
      <c r="T359" s="733"/>
      <c r="U359" s="765"/>
      <c r="V359" s="763"/>
      <c r="W359" s="25">
        <f t="shared" si="86"/>
        <v>0</v>
      </c>
    </row>
    <row r="360" spans="1:23" ht="16.5" customHeight="1">
      <c r="A360" s="719">
        <f t="shared" si="81"/>
        <v>111</v>
      </c>
      <c r="B360" s="290" t="s">
        <v>698</v>
      </c>
      <c r="C360" s="25">
        <f t="shared" si="82"/>
        <v>6760000</v>
      </c>
      <c r="D360" s="720">
        <f t="shared" si="90"/>
        <v>323782.90476674458</v>
      </c>
      <c r="E360" s="720">
        <f t="shared" si="90"/>
        <v>23919.097469255004</v>
      </c>
      <c r="F360" s="720">
        <f t="shared" si="90"/>
        <v>317237.524138632</v>
      </c>
      <c r="G360" s="720">
        <f t="shared" si="90"/>
        <v>259680.86187620697</v>
      </c>
      <c r="H360" s="25">
        <f t="shared" si="89"/>
        <v>7684620.3882508399</v>
      </c>
      <c r="I360" s="720">
        <v>980</v>
      </c>
      <c r="J360" s="720">
        <f t="shared" si="84"/>
        <v>7841.449375766163</v>
      </c>
      <c r="K360" s="659"/>
      <c r="L360" s="189" t="s">
        <v>680</v>
      </c>
      <c r="M360" s="733">
        <f t="shared" si="83"/>
        <v>41630</v>
      </c>
      <c r="N360" s="733">
        <v>41633</v>
      </c>
      <c r="O360" s="734" t="s">
        <v>1007</v>
      </c>
      <c r="P360" s="298">
        <v>1000</v>
      </c>
      <c r="Q360" s="763">
        <v>6760</v>
      </c>
      <c r="R360" s="25">
        <f t="shared" si="85"/>
        <v>6760000</v>
      </c>
      <c r="S360" s="442"/>
      <c r="T360" s="733"/>
      <c r="U360" s="765"/>
      <c r="V360" s="763"/>
      <c r="W360" s="25">
        <f t="shared" si="86"/>
        <v>0</v>
      </c>
    </row>
    <row r="361" spans="1:23" ht="16.5" customHeight="1">
      <c r="A361" s="719">
        <f t="shared" si="81"/>
        <v>112</v>
      </c>
      <c r="B361" s="290" t="s">
        <v>844</v>
      </c>
      <c r="C361" s="25">
        <f t="shared" si="82"/>
        <v>2190160</v>
      </c>
      <c r="D361" s="720">
        <f t="shared" si="90"/>
        <v>19823.443148984363</v>
      </c>
      <c r="E361" s="720">
        <f t="shared" si="90"/>
        <v>1464.4345389339799</v>
      </c>
      <c r="F361" s="720">
        <f t="shared" si="90"/>
        <v>19422.705559508078</v>
      </c>
      <c r="G361" s="720">
        <f t="shared" si="90"/>
        <v>15898.828278135119</v>
      </c>
      <c r="H361" s="25">
        <f t="shared" si="89"/>
        <v>2246769.4115255615</v>
      </c>
      <c r="I361" s="720">
        <v>60</v>
      </c>
      <c r="J361" s="720">
        <f t="shared" si="84"/>
        <v>37446.156858759357</v>
      </c>
      <c r="K361" s="659"/>
      <c r="L361" s="189" t="s">
        <v>596</v>
      </c>
      <c r="M361" s="733">
        <f t="shared" si="83"/>
        <v>41632</v>
      </c>
      <c r="N361" s="733">
        <v>41635</v>
      </c>
      <c r="O361" s="734" t="s">
        <v>1008</v>
      </c>
      <c r="P361" s="298">
        <v>70</v>
      </c>
      <c r="Q361" s="763">
        <v>31288</v>
      </c>
      <c r="R361" s="25">
        <f t="shared" si="85"/>
        <v>2190160</v>
      </c>
      <c r="S361" s="442"/>
      <c r="T361" s="733"/>
      <c r="U361" s="765"/>
      <c r="V361" s="763"/>
      <c r="W361" s="25">
        <f t="shared" si="86"/>
        <v>0</v>
      </c>
    </row>
    <row r="362" spans="1:23" ht="16.5" customHeight="1">
      <c r="A362" s="719">
        <f t="shared" si="81"/>
        <v>113</v>
      </c>
      <c r="B362" s="290" t="s">
        <v>847</v>
      </c>
      <c r="C362" s="25">
        <f t="shared" si="82"/>
        <v>389660</v>
      </c>
      <c r="D362" s="720">
        <f t="shared" si="90"/>
        <v>3303.9071914973938</v>
      </c>
      <c r="E362" s="720">
        <f t="shared" si="90"/>
        <v>244.07242315566333</v>
      </c>
      <c r="F362" s="720">
        <f t="shared" si="90"/>
        <v>3237.1175932513465</v>
      </c>
      <c r="G362" s="720">
        <f t="shared" si="90"/>
        <v>2649.80471302252</v>
      </c>
      <c r="H362" s="25">
        <f t="shared" si="89"/>
        <v>399094.90192092693</v>
      </c>
      <c r="I362" s="720">
        <v>10</v>
      </c>
      <c r="J362" s="720">
        <f t="shared" si="84"/>
        <v>39909.490192092693</v>
      </c>
      <c r="K362" s="659"/>
      <c r="L362" s="189" t="s">
        <v>575</v>
      </c>
      <c r="M362" s="733">
        <f t="shared" si="83"/>
        <v>41632</v>
      </c>
      <c r="N362" s="733">
        <v>41635</v>
      </c>
      <c r="O362" s="734" t="s">
        <v>1008</v>
      </c>
      <c r="P362" s="298">
        <v>10</v>
      </c>
      <c r="Q362" s="763">
        <v>38966</v>
      </c>
      <c r="R362" s="25">
        <f t="shared" si="85"/>
        <v>389660</v>
      </c>
      <c r="S362" s="442"/>
      <c r="T362" s="733"/>
      <c r="U362" s="765"/>
      <c r="V362" s="763"/>
      <c r="W362" s="25">
        <f t="shared" si="86"/>
        <v>0</v>
      </c>
    </row>
    <row r="363" spans="1:23" ht="16.5" customHeight="1">
      <c r="A363" s="719">
        <f t="shared" si="81"/>
        <v>114</v>
      </c>
      <c r="B363" s="290" t="s">
        <v>987</v>
      </c>
      <c r="C363" s="25">
        <f t="shared" si="82"/>
        <v>779320</v>
      </c>
      <c r="D363" s="720">
        <f t="shared" si="90"/>
        <v>6607.8143829947876</v>
      </c>
      <c r="E363" s="720">
        <f t="shared" si="90"/>
        <v>488.14484631132666</v>
      </c>
      <c r="F363" s="720">
        <f t="shared" si="90"/>
        <v>6474.2351865026931</v>
      </c>
      <c r="G363" s="720">
        <f t="shared" si="90"/>
        <v>5299.60942604504</v>
      </c>
      <c r="H363" s="25">
        <f t="shared" si="89"/>
        <v>798189.80384185386</v>
      </c>
      <c r="I363" s="720">
        <v>20</v>
      </c>
      <c r="J363" s="720">
        <f t="shared" si="84"/>
        <v>39909.490192092693</v>
      </c>
      <c r="K363" s="659"/>
      <c r="L363" s="189" t="s">
        <v>575</v>
      </c>
      <c r="M363" s="733">
        <f t="shared" si="83"/>
        <v>41632</v>
      </c>
      <c r="N363" s="733">
        <v>41635</v>
      </c>
      <c r="O363" s="734" t="s">
        <v>1008</v>
      </c>
      <c r="P363" s="298">
        <v>20</v>
      </c>
      <c r="Q363" s="763">
        <v>38966</v>
      </c>
      <c r="R363" s="25">
        <f t="shared" si="85"/>
        <v>779320</v>
      </c>
      <c r="S363" s="442"/>
      <c r="T363" s="733"/>
      <c r="U363" s="765"/>
      <c r="V363" s="763"/>
      <c r="W363" s="25">
        <f t="shared" si="86"/>
        <v>0</v>
      </c>
    </row>
    <row r="364" spans="1:23" ht="16.5" customHeight="1">
      <c r="A364" s="719">
        <f t="shared" si="81"/>
        <v>115</v>
      </c>
      <c r="B364" s="290" t="s">
        <v>1118</v>
      </c>
      <c r="C364" s="25">
        <f t="shared" si="82"/>
        <v>7101500</v>
      </c>
      <c r="D364" s="720">
        <f t="shared" si="90"/>
        <v>758246.7004486518</v>
      </c>
      <c r="E364" s="720">
        <f t="shared" si="90"/>
        <v>56014.621114224734</v>
      </c>
      <c r="F364" s="720">
        <f t="shared" si="90"/>
        <v>742918.48765118408</v>
      </c>
      <c r="G364" s="720">
        <f t="shared" si="90"/>
        <v>608130.18163866829</v>
      </c>
      <c r="H364" s="25">
        <f t="shared" si="89"/>
        <v>9266809.9908527285</v>
      </c>
      <c r="I364" s="720">
        <v>2295</v>
      </c>
      <c r="J364" s="720">
        <f t="shared" si="84"/>
        <v>4037.8257040752628</v>
      </c>
      <c r="K364" s="659"/>
      <c r="L364" s="189" t="s">
        <v>628</v>
      </c>
      <c r="M364" s="733">
        <f t="shared" si="83"/>
        <v>41632</v>
      </c>
      <c r="N364" s="733">
        <v>41635</v>
      </c>
      <c r="O364" s="734" t="s">
        <v>1009</v>
      </c>
      <c r="P364" s="298">
        <v>350</v>
      </c>
      <c r="Q364" s="763">
        <v>20290</v>
      </c>
      <c r="R364" s="25">
        <f t="shared" si="85"/>
        <v>7101500</v>
      </c>
      <c r="S364" s="442"/>
      <c r="T364" s="733"/>
      <c r="U364" s="765"/>
      <c r="V364" s="763"/>
      <c r="W364" s="25">
        <f t="shared" si="86"/>
        <v>0</v>
      </c>
    </row>
    <row r="365" spans="1:23" ht="16.5" customHeight="1">
      <c r="A365" s="719">
        <f t="shared" si="81"/>
        <v>116</v>
      </c>
      <c r="B365" s="290" t="s">
        <v>1107</v>
      </c>
      <c r="C365" s="25">
        <f t="shared" si="82"/>
        <v>1542876</v>
      </c>
      <c r="D365" s="720">
        <f t="shared" si="90"/>
        <v>37003.760544770812</v>
      </c>
      <c r="E365" s="720">
        <f t="shared" si="90"/>
        <v>2733.6111393434294</v>
      </c>
      <c r="F365" s="720">
        <f t="shared" si="90"/>
        <v>36255.717044415083</v>
      </c>
      <c r="G365" s="720">
        <f t="shared" si="90"/>
        <v>29677.812785852224</v>
      </c>
      <c r="H365" s="25">
        <f t="shared" si="89"/>
        <v>1648546.9015143816</v>
      </c>
      <c r="I365" s="720">
        <v>112</v>
      </c>
      <c r="J365" s="720">
        <f t="shared" si="84"/>
        <v>14719.168763521264</v>
      </c>
      <c r="K365" s="659"/>
      <c r="L365" s="801" t="s">
        <v>1219</v>
      </c>
      <c r="M365" s="733">
        <f t="shared" si="83"/>
        <v>41633</v>
      </c>
      <c r="N365" s="733">
        <v>41636</v>
      </c>
      <c r="O365" s="734" t="s">
        <v>1010</v>
      </c>
      <c r="P365" s="298">
        <v>67</v>
      </c>
      <c r="Q365" s="763">
        <v>23028</v>
      </c>
      <c r="R365" s="25">
        <f t="shared" si="85"/>
        <v>1542876</v>
      </c>
      <c r="S365" s="442"/>
      <c r="T365" s="733"/>
      <c r="U365" s="765"/>
      <c r="V365" s="763"/>
      <c r="W365" s="25">
        <f t="shared" si="86"/>
        <v>0</v>
      </c>
    </row>
    <row r="366" spans="1:23" ht="16.5" customHeight="1">
      <c r="A366" s="719"/>
      <c r="B366" s="290"/>
      <c r="C366" s="25"/>
      <c r="D366" s="720"/>
      <c r="E366" s="720"/>
      <c r="F366" s="720"/>
      <c r="G366" s="720"/>
      <c r="H366" s="25"/>
      <c r="I366" s="720"/>
      <c r="J366" s="720"/>
      <c r="K366" s="659"/>
      <c r="L366" s="442"/>
      <c r="M366" s="733"/>
      <c r="N366" s="733"/>
      <c r="O366" s="734"/>
      <c r="P366" s="298"/>
      <c r="Q366" s="763"/>
      <c r="R366" s="25">
        <f t="shared" si="65"/>
        <v>0</v>
      </c>
      <c r="S366" s="442"/>
      <c r="T366" s="733"/>
      <c r="U366" s="765"/>
      <c r="V366" s="763"/>
      <c r="W366" s="25">
        <f t="shared" si="66"/>
        <v>0</v>
      </c>
    </row>
    <row r="367" spans="1:23" s="739" customFormat="1" ht="16.5" customHeight="1">
      <c r="A367" s="721"/>
      <c r="B367" s="722" t="s">
        <v>246</v>
      </c>
      <c r="C367" s="528">
        <f>SUM(C250:C366)</f>
        <v>417779927</v>
      </c>
      <c r="D367" s="528">
        <v>22755000</v>
      </c>
      <c r="E367" s="528">
        <f>W367</f>
        <v>1681000</v>
      </c>
      <c r="F367" s="528">
        <v>22295000</v>
      </c>
      <c r="G367" s="528">
        <v>18250000</v>
      </c>
      <c r="H367" s="528">
        <f>SUM(H250:H366)</f>
        <v>482760923.99999988</v>
      </c>
      <c r="I367" s="528">
        <f>ROUND(SUM(I250:I366),0)</f>
        <v>68873</v>
      </c>
      <c r="J367" s="528"/>
      <c r="K367" s="659"/>
      <c r="L367" s="740"/>
      <c r="M367" s="741"/>
      <c r="N367" s="741"/>
      <c r="O367" s="742"/>
      <c r="P367" s="780"/>
      <c r="Q367" s="762"/>
      <c r="R367" s="47">
        <f>SUM(R250:R366)</f>
        <v>417779927</v>
      </c>
      <c r="S367" s="740"/>
      <c r="T367" s="741"/>
      <c r="U367" s="754"/>
      <c r="V367" s="762"/>
      <c r="W367" s="47">
        <f>SUM(W250:W366)</f>
        <v>1681000</v>
      </c>
    </row>
    <row r="368" spans="1:23" s="717" customFormat="1">
      <c r="A368" s="716"/>
      <c r="B368" s="716"/>
      <c r="C368" s="716"/>
      <c r="D368" s="716"/>
      <c r="E368" s="716"/>
      <c r="F368" s="716"/>
      <c r="G368" s="716"/>
      <c r="H368" s="846">
        <v>517417820</v>
      </c>
      <c r="I368" s="716"/>
      <c r="J368" s="716"/>
      <c r="K368" s="659"/>
      <c r="L368" s="716"/>
      <c r="M368" s="728"/>
      <c r="N368" s="728"/>
      <c r="O368" s="729"/>
      <c r="P368" s="773"/>
      <c r="Q368" s="286"/>
      <c r="R368" s="716"/>
      <c r="S368" s="716"/>
      <c r="T368" s="728"/>
      <c r="U368" s="286"/>
      <c r="V368" s="286"/>
      <c r="W368" s="716"/>
    </row>
    <row r="369" spans="8:18">
      <c r="H369" s="746">
        <f>H368-H367</f>
        <v>34656896.000000119</v>
      </c>
      <c r="K369" s="659"/>
    </row>
    <row r="370" spans="8:18">
      <c r="H370" s="746"/>
      <c r="K370" s="659"/>
    </row>
    <row r="371" spans="8:18">
      <c r="K371" s="659"/>
    </row>
    <row r="372" spans="8:18">
      <c r="R372" s="746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4" customFormat="1" ht="19.5" customHeight="1">
      <c r="A1" s="565" t="str">
        <f>TH!A1</f>
        <v>Đơn vị: CÔNG TY TNHH SX TM KIM DUNG PHÁT</v>
      </c>
      <c r="B1" s="565"/>
      <c r="D1" s="445"/>
      <c r="E1" s="445"/>
      <c r="F1" s="445"/>
      <c r="G1" s="1031" t="s">
        <v>247</v>
      </c>
      <c r="H1" s="1031"/>
      <c r="I1" s="1031"/>
      <c r="J1" s="446"/>
      <c r="K1" s="447"/>
    </row>
    <row r="2" spans="1:11" s="444" customFormat="1" ht="19.5" customHeight="1">
      <c r="A2" s="615" t="str">
        <f>TH!A2</f>
        <v>Địa chỉ: 1A227/1 Ấp 1, Phạm Văn Hai, Bình Chánh, TPHCM</v>
      </c>
      <c r="B2" s="565"/>
      <c r="D2" s="448"/>
      <c r="E2" s="448"/>
      <c r="F2" s="448"/>
      <c r="G2" s="103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32"/>
      <c r="I2" s="1032"/>
      <c r="J2" s="446"/>
      <c r="K2" s="433">
        <v>1</v>
      </c>
    </row>
    <row r="3" spans="1:11" s="444" customFormat="1" ht="15">
      <c r="A3" s="566"/>
      <c r="B3" s="567"/>
      <c r="C3" s="448"/>
      <c r="D3" s="448"/>
      <c r="E3" s="448"/>
      <c r="F3" s="448"/>
      <c r="G3" s="1032"/>
      <c r="H3" s="1032"/>
      <c r="I3" s="1032"/>
      <c r="J3" s="446"/>
    </row>
    <row r="4" spans="1:11" s="569" customFormat="1" ht="17.25" customHeight="1">
      <c r="A4" s="1033" t="s">
        <v>248</v>
      </c>
      <c r="B4" s="1033"/>
      <c r="C4" s="1033"/>
      <c r="D4" s="1033"/>
      <c r="E4" s="1033"/>
      <c r="F4" s="1033"/>
      <c r="G4" s="1033"/>
      <c r="H4" s="1033"/>
      <c r="I4" s="1033"/>
      <c r="J4" s="568"/>
    </row>
    <row r="5" spans="1:11" s="570" customFormat="1" ht="17.25" customHeight="1">
      <c r="B5" s="571"/>
      <c r="C5" s="572" t="s">
        <v>347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4" t="s">
        <v>249</v>
      </c>
      <c r="D6" s="1034"/>
      <c r="E6" s="1035"/>
      <c r="F6" s="1035"/>
      <c r="G6" s="1035"/>
      <c r="H6" s="695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0" customFormat="1" ht="17.25" customHeight="1">
      <c r="A8" s="1036" t="s">
        <v>250</v>
      </c>
      <c r="B8" s="1037" t="s">
        <v>251</v>
      </c>
      <c r="C8" s="1037" t="s">
        <v>252</v>
      </c>
      <c r="D8" s="1037"/>
      <c r="E8" s="1037"/>
      <c r="F8" s="1037"/>
      <c r="G8" s="1037"/>
      <c r="H8" s="1037"/>
      <c r="I8" s="1037"/>
      <c r="J8" s="449"/>
    </row>
    <row r="9" spans="1:11" s="453" customFormat="1" ht="35.25" customHeight="1">
      <c r="A9" s="1036"/>
      <c r="B9" s="1037"/>
      <c r="C9" s="451" t="s">
        <v>429</v>
      </c>
      <c r="D9" s="451" t="s">
        <v>253</v>
      </c>
      <c r="E9" s="451" t="s">
        <v>430</v>
      </c>
      <c r="F9" s="451" t="s">
        <v>431</v>
      </c>
      <c r="G9" s="451" t="s">
        <v>254</v>
      </c>
      <c r="H9" s="451" t="s">
        <v>255</v>
      </c>
      <c r="I9" s="451" t="s">
        <v>432</v>
      </c>
      <c r="J9" s="452"/>
    </row>
    <row r="10" spans="1:11" s="456" customFormat="1" ht="15">
      <c r="A10" s="454" t="s">
        <v>2</v>
      </c>
      <c r="B10" s="455">
        <v>1</v>
      </c>
      <c r="C10" s="455">
        <v>2</v>
      </c>
      <c r="D10" s="455">
        <v>3</v>
      </c>
      <c r="E10" s="455">
        <v>4</v>
      </c>
      <c r="F10" s="455">
        <v>5</v>
      </c>
      <c r="G10" s="455">
        <v>6</v>
      </c>
      <c r="H10" s="455">
        <v>7</v>
      </c>
      <c r="I10" s="455">
        <v>8</v>
      </c>
      <c r="J10" s="446"/>
    </row>
    <row r="11" spans="1:11" s="570" customFormat="1" ht="24.75" customHeight="1">
      <c r="A11" s="576" t="s">
        <v>256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257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258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259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0"/>
      <c r="G16" s="1030"/>
      <c r="H16" s="1030"/>
      <c r="I16" s="1030"/>
      <c r="J16" s="571"/>
    </row>
    <row r="17" spans="2:10" s="570" customFormat="1" ht="15">
      <c r="B17" s="456" t="s">
        <v>260</v>
      </c>
      <c r="C17" s="571"/>
      <c r="D17" s="571"/>
      <c r="E17" s="1030" t="s">
        <v>12</v>
      </c>
      <c r="F17" s="1030"/>
      <c r="G17" s="1030"/>
      <c r="H17" s="1030"/>
      <c r="I17" s="1030"/>
      <c r="J17" s="571"/>
    </row>
    <row r="19" spans="2:10" ht="15">
      <c r="E19" s="579"/>
      <c r="F19" s="579"/>
    </row>
    <row r="26" spans="2:10">
      <c r="B26" s="554" t="s">
        <v>148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89" customWidth="1"/>
    <col min="2" max="2" width="9.140625" style="489" customWidth="1"/>
    <col min="3" max="3" width="9" style="490" customWidth="1"/>
    <col min="4" max="4" width="28.140625" style="489" customWidth="1"/>
    <col min="5" max="5" width="9.140625" style="489" customWidth="1"/>
    <col min="6" max="6" width="9.28515625" style="490" customWidth="1"/>
    <col min="7" max="7" width="9" style="489" customWidth="1"/>
    <col min="8" max="8" width="14.5703125" style="489" customWidth="1"/>
    <col min="9" max="9" width="6" style="489" customWidth="1"/>
    <col min="10" max="10" width="14.140625" style="489" customWidth="1"/>
    <col min="11" max="11" width="14.85546875" style="491" customWidth="1"/>
    <col min="12" max="12" width="14.42578125" style="489" customWidth="1"/>
    <col min="13" max="13" width="5.85546875" style="489" customWidth="1"/>
    <col min="14" max="14" width="7.42578125" style="489" customWidth="1"/>
    <col min="15" max="15" width="11.7109375" style="489" customWidth="1"/>
    <col min="16" max="16" width="4.5703125" style="555" customWidth="1"/>
    <col min="17" max="17" width="11.140625" style="489" bestFit="1" customWidth="1"/>
    <col min="18" max="18" width="12" style="489" bestFit="1" customWidth="1"/>
    <col min="19" max="16384" width="9.140625" style="489"/>
  </cols>
  <sheetData>
    <row r="1" spans="1:18" ht="15" customHeight="1">
      <c r="A1" s="616" t="str">
        <f>TH!A1</f>
        <v>Đơn vị: CÔNG TY TNHH SX TM KIM DUNG PHÁT</v>
      </c>
      <c r="L1" s="1048" t="s">
        <v>278</v>
      </c>
      <c r="M1" s="1048"/>
      <c r="N1" s="1048"/>
      <c r="O1" s="1048"/>
    </row>
    <row r="2" spans="1:18" ht="15" customHeight="1">
      <c r="A2" s="488" t="str">
        <f>TH!A2</f>
        <v>Địa chỉ: 1A227/1 Ấp 1, Phạm Văn Hai, Bình Chánh, TPHCM</v>
      </c>
      <c r="L2" s="104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7"/>
      <c r="N2" s="1047"/>
      <c r="O2" s="1047"/>
    </row>
    <row r="3" spans="1:18" ht="15" customHeight="1">
      <c r="L3" s="1047"/>
      <c r="M3" s="1047"/>
      <c r="N3" s="1047"/>
      <c r="O3" s="1047"/>
    </row>
    <row r="5" spans="1:18" s="494" customFormat="1" ht="24" customHeight="1">
      <c r="A5" s="1049" t="s">
        <v>279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556"/>
    </row>
    <row r="6" spans="1:18" s="494" customFormat="1" ht="21" customHeight="1">
      <c r="A6" s="1050" t="s">
        <v>433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556"/>
    </row>
    <row r="7" spans="1:18" s="494" customFormat="1" ht="21" customHeight="1">
      <c r="A7" s="1051" t="s">
        <v>321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556"/>
    </row>
    <row r="8" spans="1:18">
      <c r="D8" s="490"/>
    </row>
    <row r="9" spans="1:18" s="495" customFormat="1" ht="24" customHeight="1">
      <c r="A9" s="1038" t="s">
        <v>230</v>
      </c>
      <c r="B9" s="1041" t="s">
        <v>280</v>
      </c>
      <c r="C9" s="1042"/>
      <c r="D9" s="1042"/>
      <c r="E9" s="1042"/>
      <c r="F9" s="1042"/>
      <c r="G9" s="1042"/>
      <c r="H9" s="1043"/>
      <c r="I9" s="1041" t="s">
        <v>281</v>
      </c>
      <c r="J9" s="1042"/>
      <c r="K9" s="1042"/>
      <c r="L9" s="1043"/>
      <c r="M9" s="1044" t="s">
        <v>282</v>
      </c>
      <c r="N9" s="1044"/>
      <c r="O9" s="1044"/>
      <c r="P9" s="557"/>
    </row>
    <row r="10" spans="1:18" s="495" customFormat="1" ht="24" customHeight="1">
      <c r="A10" s="1039"/>
      <c r="B10" s="1041" t="s">
        <v>283</v>
      </c>
      <c r="C10" s="1043"/>
      <c r="D10" s="1038" t="s">
        <v>284</v>
      </c>
      <c r="E10" s="1038" t="s">
        <v>285</v>
      </c>
      <c r="F10" s="1038" t="s">
        <v>286</v>
      </c>
      <c r="G10" s="1038" t="s">
        <v>287</v>
      </c>
      <c r="H10" s="1038" t="s">
        <v>288</v>
      </c>
      <c r="I10" s="1041" t="s">
        <v>289</v>
      </c>
      <c r="J10" s="1043"/>
      <c r="K10" s="1045" t="s">
        <v>290</v>
      </c>
      <c r="L10" s="1038" t="s">
        <v>291</v>
      </c>
      <c r="M10" s="1044" t="s">
        <v>283</v>
      </c>
      <c r="N10" s="1044"/>
      <c r="O10" s="1044" t="s">
        <v>292</v>
      </c>
      <c r="P10" s="557"/>
    </row>
    <row r="11" spans="1:18" s="495" customFormat="1" ht="55.5" customHeight="1">
      <c r="A11" s="1040"/>
      <c r="B11" s="496" t="s">
        <v>293</v>
      </c>
      <c r="C11" s="496" t="s">
        <v>231</v>
      </c>
      <c r="D11" s="1040"/>
      <c r="E11" s="1040"/>
      <c r="F11" s="1040"/>
      <c r="G11" s="1040"/>
      <c r="H11" s="1040"/>
      <c r="I11" s="496" t="s">
        <v>294</v>
      </c>
      <c r="J11" s="496" t="s">
        <v>295</v>
      </c>
      <c r="K11" s="1046"/>
      <c r="L11" s="1040"/>
      <c r="M11" s="496" t="s">
        <v>15</v>
      </c>
      <c r="N11" s="496" t="s">
        <v>231</v>
      </c>
      <c r="O11" s="1044"/>
      <c r="P11" s="557"/>
    </row>
    <row r="12" spans="1:18" s="499" customFormat="1" ht="13.5">
      <c r="A12" s="497" t="s">
        <v>2</v>
      </c>
      <c r="B12" s="497" t="s">
        <v>3</v>
      </c>
      <c r="C12" s="497" t="s">
        <v>4</v>
      </c>
      <c r="D12" s="497" t="s">
        <v>5</v>
      </c>
      <c r="E12" s="497" t="s">
        <v>6</v>
      </c>
      <c r="F12" s="497" t="s">
        <v>129</v>
      </c>
      <c r="G12" s="497" t="s">
        <v>296</v>
      </c>
      <c r="H12" s="497">
        <v>1</v>
      </c>
      <c r="I12" s="497">
        <v>2</v>
      </c>
      <c r="J12" s="497">
        <v>3</v>
      </c>
      <c r="K12" s="498"/>
      <c r="L12" s="497">
        <v>4</v>
      </c>
      <c r="M12" s="497" t="s">
        <v>297</v>
      </c>
      <c r="N12" s="497" t="s">
        <v>298</v>
      </c>
      <c r="O12" s="497" t="s">
        <v>299</v>
      </c>
      <c r="P12" s="558"/>
    </row>
    <row r="13" spans="1:18" s="499" customFormat="1" ht="21.75" customHeight="1">
      <c r="A13" s="519" t="s">
        <v>297</v>
      </c>
      <c r="B13" s="521" t="s">
        <v>320</v>
      </c>
      <c r="C13" s="519"/>
      <c r="D13" s="519"/>
      <c r="E13" s="519"/>
      <c r="F13" s="519"/>
      <c r="G13" s="559"/>
      <c r="H13" s="526"/>
      <c r="I13" s="526"/>
      <c r="J13" s="526"/>
      <c r="K13" s="526"/>
      <c r="L13" s="8"/>
      <c r="M13" s="519"/>
      <c r="N13" s="519"/>
      <c r="O13" s="179"/>
      <c r="P13" s="558" t="str">
        <f>IF(D13='THE-TS'!$D$11,"x","")</f>
        <v/>
      </c>
    </row>
    <row r="14" spans="1:18" ht="21.75" customHeight="1">
      <c r="A14" s="520">
        <v>1</v>
      </c>
      <c r="B14" s="530" t="s">
        <v>399</v>
      </c>
      <c r="C14" s="500">
        <v>40682</v>
      </c>
      <c r="D14" s="207" t="s">
        <v>385</v>
      </c>
      <c r="E14" s="442" t="s">
        <v>300</v>
      </c>
      <c r="F14" s="529" t="s">
        <v>436</v>
      </c>
      <c r="G14" s="559" t="s">
        <v>420</v>
      </c>
      <c r="H14" s="250">
        <v>18000000</v>
      </c>
      <c r="I14" s="250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16"/>
      <c r="N14" s="442"/>
      <c r="O14" s="179"/>
      <c r="P14" s="558" t="str">
        <f>IF(D14='THE-TS'!$D$11,"x","")</f>
        <v>x</v>
      </c>
      <c r="Q14" s="286"/>
      <c r="R14" s="286"/>
    </row>
    <row r="15" spans="1:18" ht="21.75" customHeight="1">
      <c r="A15" s="520">
        <v>2</v>
      </c>
      <c r="B15" s="529" t="s">
        <v>400</v>
      </c>
      <c r="C15" s="500">
        <v>40686</v>
      </c>
      <c r="D15" s="207" t="s">
        <v>386</v>
      </c>
      <c r="E15" s="442" t="s">
        <v>300</v>
      </c>
      <c r="F15" s="529" t="s">
        <v>436</v>
      </c>
      <c r="G15" s="559" t="s">
        <v>421</v>
      </c>
      <c r="H15" s="250">
        <v>27000000</v>
      </c>
      <c r="I15" s="250">
        <v>5</v>
      </c>
      <c r="J15" s="8">
        <v>5400000</v>
      </c>
      <c r="K15" s="8">
        <v>8550000</v>
      </c>
      <c r="L15" s="8">
        <f t="shared" si="0"/>
        <v>13950000</v>
      </c>
      <c r="M15" s="516"/>
      <c r="N15" s="442"/>
      <c r="O15" s="179"/>
      <c r="P15" s="558" t="str">
        <f>IF(D15='THE-TS'!$D$11,"x","")</f>
        <v/>
      </c>
      <c r="Q15" s="286"/>
      <c r="R15" s="286"/>
    </row>
    <row r="16" spans="1:18" ht="21.75" customHeight="1">
      <c r="A16" s="520">
        <v>3</v>
      </c>
      <c r="B16" s="529" t="s">
        <v>339</v>
      </c>
      <c r="C16" s="500">
        <v>40710</v>
      </c>
      <c r="D16" s="207" t="s">
        <v>388</v>
      </c>
      <c r="E16" s="442" t="s">
        <v>300</v>
      </c>
      <c r="F16" s="529" t="s">
        <v>437</v>
      </c>
      <c r="G16" s="559" t="s">
        <v>422</v>
      </c>
      <c r="H16" s="250">
        <v>320000000</v>
      </c>
      <c r="I16" s="250">
        <v>5</v>
      </c>
      <c r="J16" s="8">
        <v>64000000</v>
      </c>
      <c r="K16" s="8">
        <v>96000000</v>
      </c>
      <c r="L16" s="8">
        <f t="shared" si="0"/>
        <v>160000000</v>
      </c>
      <c r="M16" s="516"/>
      <c r="N16" s="179"/>
      <c r="O16" s="179"/>
      <c r="P16" s="558" t="str">
        <f>IF(D16='THE-TS'!$D$11,"x","")</f>
        <v/>
      </c>
      <c r="Q16" s="286"/>
      <c r="R16" s="286"/>
    </row>
    <row r="17" spans="1:18" ht="21.75" customHeight="1">
      <c r="A17" s="501"/>
      <c r="B17" s="522"/>
      <c r="C17" s="523"/>
      <c r="D17" s="524"/>
      <c r="E17" s="502"/>
      <c r="F17" s="523"/>
      <c r="G17" s="522"/>
      <c r="H17" s="527"/>
      <c r="I17" s="527"/>
      <c r="J17" s="293"/>
      <c r="K17" s="293"/>
      <c r="L17" s="293"/>
      <c r="M17" s="502"/>
      <c r="N17" s="502"/>
      <c r="O17" s="502"/>
      <c r="P17" s="558" t="str">
        <f>IF(D17='THE-TS'!$D$11,"x","")</f>
        <v/>
      </c>
      <c r="R17" s="517"/>
    </row>
    <row r="18" spans="1:18" s="505" customFormat="1" ht="21.75" customHeight="1">
      <c r="A18" s="503"/>
      <c r="B18" s="504"/>
      <c r="C18" s="503"/>
      <c r="D18" s="503" t="s">
        <v>301</v>
      </c>
      <c r="E18" s="503" t="s">
        <v>19</v>
      </c>
      <c r="F18" s="503" t="s">
        <v>19</v>
      </c>
      <c r="G18" s="503" t="s">
        <v>19</v>
      </c>
      <c r="H18" s="528">
        <f>SUM(H14:H17)</f>
        <v>365000000</v>
      </c>
      <c r="I18" s="528"/>
      <c r="J18" s="528">
        <f t="shared" ref="J18:L18" si="1">SUM(J14:J17)</f>
        <v>73000000</v>
      </c>
      <c r="K18" s="528">
        <f t="shared" si="1"/>
        <v>110250000</v>
      </c>
      <c r="L18" s="528">
        <f t="shared" si="1"/>
        <v>183250000</v>
      </c>
      <c r="M18" s="563" t="s">
        <v>19</v>
      </c>
      <c r="N18" s="563" t="s">
        <v>19</v>
      </c>
      <c r="O18" s="563" t="s">
        <v>19</v>
      </c>
      <c r="P18" s="558" t="str">
        <f>IF(D18='THE-TS'!$D$11,"x","")</f>
        <v/>
      </c>
    </row>
    <row r="19" spans="1:18" ht="6.75" customHeight="1">
      <c r="A19" s="443"/>
      <c r="B19" s="443"/>
      <c r="C19" s="506"/>
      <c r="D19" s="443"/>
      <c r="E19" s="506"/>
      <c r="F19" s="506"/>
      <c r="G19" s="506"/>
      <c r="H19" s="443"/>
      <c r="I19" s="443"/>
      <c r="J19" s="443"/>
      <c r="K19" s="507"/>
      <c r="L19" s="443"/>
      <c r="M19" s="443"/>
      <c r="N19" s="443"/>
      <c r="O19" s="443"/>
      <c r="P19" s="558" t="str">
        <f>IF(D19='THE-TS'!$D$11,"x","")</f>
        <v/>
      </c>
    </row>
    <row r="20" spans="1:18" ht="13.5" customHeight="1">
      <c r="A20" s="443"/>
      <c r="B20" s="443"/>
      <c r="C20" s="506"/>
      <c r="D20" s="443" t="s">
        <v>302</v>
      </c>
      <c r="E20" s="443"/>
      <c r="F20" s="506"/>
      <c r="G20" s="443"/>
      <c r="H20" s="491"/>
      <c r="I20" s="491"/>
      <c r="J20" s="564"/>
      <c r="L20" s="491"/>
      <c r="M20" s="443"/>
      <c r="N20" s="443"/>
      <c r="O20" s="443"/>
      <c r="P20" s="558" t="str">
        <f>IF(D20='THE-TS'!$D$11,"x","")</f>
        <v/>
      </c>
    </row>
    <row r="21" spans="1:18" ht="13.5" customHeight="1">
      <c r="A21" s="443"/>
      <c r="B21" s="443"/>
      <c r="C21" s="506"/>
      <c r="D21" s="443" t="s">
        <v>434</v>
      </c>
      <c r="E21" s="443"/>
      <c r="F21" s="506"/>
      <c r="G21" s="443"/>
      <c r="H21" s="517"/>
      <c r="I21" s="443"/>
      <c r="J21" s="525"/>
      <c r="K21" s="507"/>
      <c r="L21" s="443"/>
      <c r="M21" s="443"/>
      <c r="N21" s="443"/>
      <c r="O21" s="443"/>
      <c r="P21" s="558" t="str">
        <f>IF(D21='THE-TS'!$D$11,"x","")</f>
        <v/>
      </c>
    </row>
    <row r="22" spans="1:18" ht="13.5" customHeight="1">
      <c r="K22" s="508"/>
      <c r="L22" s="493" t="s">
        <v>1253</v>
      </c>
      <c r="P22" s="558" t="str">
        <f>IF(D22='THE-TS'!$D$11,"x","")</f>
        <v/>
      </c>
    </row>
    <row r="23" spans="1:18" ht="13.5" customHeight="1">
      <c r="B23" s="490"/>
      <c r="D23" s="490" t="s">
        <v>11</v>
      </c>
      <c r="F23" s="490" t="s">
        <v>303</v>
      </c>
      <c r="I23" s="509"/>
      <c r="K23" s="506"/>
      <c r="L23" s="506" t="s">
        <v>107</v>
      </c>
      <c r="P23" s="558" t="str">
        <f>IF(D23='THE-TS'!$D$11,"x","")</f>
        <v/>
      </c>
    </row>
    <row r="24" spans="1:18" ht="13.5" customHeight="1">
      <c r="B24" s="490"/>
      <c r="D24" s="490"/>
      <c r="P24" s="558" t="str">
        <f>IF(D24='THE-TS'!$D$11,"x","")</f>
        <v/>
      </c>
    </row>
    <row r="25" spans="1:18" ht="13.5" customHeight="1">
      <c r="H25" s="510"/>
      <c r="J25" s="510"/>
      <c r="L25" s="510"/>
      <c r="P25" s="558" t="str">
        <f>IF(D25='THE-TS'!$D$11,"x","")</f>
        <v/>
      </c>
    </row>
    <row r="26" spans="1:18" ht="13.5" customHeight="1">
      <c r="H26" s="511"/>
      <c r="P26" s="558" t="str">
        <f>IF(D26='THE-TS'!$D$11,"x","")</f>
        <v/>
      </c>
    </row>
    <row r="27" spans="1:18" ht="13.5" customHeight="1">
      <c r="H27" s="511"/>
      <c r="J27" s="510"/>
      <c r="P27" s="558" t="str">
        <f>IF(D27='THE-TS'!$D$11,"x","")</f>
        <v/>
      </c>
    </row>
    <row r="28" spans="1:18" ht="13.5" customHeight="1">
      <c r="H28" s="511"/>
      <c r="P28" s="558" t="str">
        <f>IF(D28='THE-TS'!$D$11,"x","")</f>
        <v/>
      </c>
    </row>
    <row r="29" spans="1:18" ht="13.5" customHeight="1">
      <c r="H29" s="511"/>
      <c r="P29" s="558" t="str">
        <f>IF(D29='THE-TS'!$D$11,"x","")</f>
        <v/>
      </c>
    </row>
    <row r="30" spans="1:18" s="512" customFormat="1" ht="13.5" customHeight="1">
      <c r="C30" s="513"/>
      <c r="D30" s="513"/>
      <c r="F30" s="513"/>
      <c r="H30" s="514"/>
      <c r="K30" s="515"/>
      <c r="P30" s="558"/>
    </row>
    <row r="31" spans="1:18" ht="13.5">
      <c r="P31" s="558" t="str">
        <f>IF(D31='THE-TS'!$D$11,"x","")</f>
        <v/>
      </c>
    </row>
    <row r="32" spans="1:18" ht="13.5" customHeight="1">
      <c r="H32" s="511"/>
      <c r="P32" s="558" t="str">
        <f>IF(D32='THE-TS'!$D$11,"x","")</f>
        <v/>
      </c>
    </row>
    <row r="33" spans="16:16" ht="13.5">
      <c r="P33" s="558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17" workbookViewId="0">
      <selection activeCell="E39" sqref="E39:H39"/>
    </sheetView>
  </sheetViews>
  <sheetFormatPr defaultRowHeight="12.75"/>
  <cols>
    <col min="1" max="1" width="5" style="532" customWidth="1"/>
    <col min="2" max="2" width="10.140625" style="532" customWidth="1"/>
    <col min="3" max="3" width="11.5703125" style="532" customWidth="1"/>
    <col min="4" max="4" width="28.7109375" style="532" customWidth="1"/>
    <col min="5" max="5" width="13.28515625" style="532" customWidth="1"/>
    <col min="6" max="6" width="9.140625" style="532"/>
    <col min="7" max="7" width="14" style="532" customWidth="1"/>
    <col min="8" max="8" width="14.7109375" style="532" customWidth="1"/>
    <col min="9" max="10" width="9.140625" style="532"/>
    <col min="11" max="11" width="13.85546875" style="532" customWidth="1"/>
    <col min="12" max="16384" width="9.140625" style="532"/>
  </cols>
  <sheetData>
    <row r="1" spans="1:11" hidden="1"/>
    <row r="2" spans="1:11">
      <c r="A2" s="617" t="str">
        <f>TH!A1</f>
        <v>Đơn vị: CÔNG TY TNHH SX TM KIM DUNG PHÁT</v>
      </c>
      <c r="B2" s="531"/>
      <c r="C2" s="531"/>
      <c r="D2" s="531"/>
      <c r="E2" s="492"/>
      <c r="F2" s="1048" t="s">
        <v>304</v>
      </c>
      <c r="G2" s="1048"/>
      <c r="H2" s="1048"/>
    </row>
    <row r="3" spans="1:11">
      <c r="A3" s="548" t="str">
        <f>TH!A2</f>
        <v>Địa chỉ: 1A227/1 Ấp 1, Phạm Văn Hai, Bình Chánh, TPHCM</v>
      </c>
      <c r="B3" s="531"/>
      <c r="C3" s="531"/>
      <c r="D3" s="531"/>
      <c r="E3" s="493"/>
      <c r="F3" s="104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47"/>
      <c r="H3" s="1047"/>
    </row>
    <row r="4" spans="1:11">
      <c r="A4" s="490"/>
      <c r="B4" s="490"/>
      <c r="C4" s="493"/>
      <c r="D4" s="493"/>
      <c r="E4" s="493"/>
      <c r="F4" s="1047"/>
      <c r="G4" s="1047"/>
      <c r="H4" s="1047"/>
    </row>
    <row r="5" spans="1:11">
      <c r="A5" s="490"/>
      <c r="B5" s="490"/>
      <c r="C5" s="493"/>
      <c r="D5" s="493"/>
      <c r="E5" s="493"/>
      <c r="F5" s="493"/>
      <c r="G5" s="493"/>
      <c r="H5" s="493"/>
    </row>
    <row r="6" spans="1:11" ht="23.25" customHeight="1" thickBot="1">
      <c r="A6" s="1054" t="s">
        <v>305</v>
      </c>
      <c r="B6" s="1054"/>
      <c r="C6" s="1054"/>
      <c r="D6" s="1054"/>
      <c r="E6" s="1054"/>
      <c r="F6" s="1054"/>
      <c r="G6" s="1054"/>
      <c r="H6" s="1054"/>
    </row>
    <row r="7" spans="1:11" ht="17.25" customHeight="1" thickBot="1">
      <c r="A7" s="1053" t="str">
        <f ca="1" xml:space="preserve"> IF(ROWS($1:1)&gt;COUNT(Dong3),"","Số: "&amp;OFFSET('SO-TS'!$G$1,SMALL(Dong3,ROWS($1:1)),))</f>
        <v>Số: SX01/11</v>
      </c>
      <c r="B7" s="1053"/>
      <c r="C7" s="1053"/>
      <c r="D7" s="1053"/>
      <c r="E7" s="1053"/>
      <c r="F7" s="1053"/>
      <c r="G7" s="1053"/>
      <c r="H7" s="1053"/>
      <c r="J7" s="549" t="s">
        <v>322</v>
      </c>
      <c r="K7" s="550" t="s">
        <v>328</v>
      </c>
    </row>
    <row r="8" spans="1:11" ht="17.25" customHeight="1">
      <c r="A8" s="105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5"/>
      <c r="C8" s="1055"/>
      <c r="D8" s="1055"/>
      <c r="E8" s="1055"/>
      <c r="F8" s="1055"/>
      <c r="G8" s="1055"/>
      <c r="H8" s="1055"/>
    </row>
    <row r="9" spans="1:11" ht="12" customHeight="1">
      <c r="A9" s="490"/>
      <c r="B9" s="490"/>
      <c r="C9" s="490"/>
      <c r="D9" s="490"/>
      <c r="E9" s="490"/>
      <c r="F9" s="490"/>
      <c r="G9" s="493"/>
      <c r="H9" s="493"/>
    </row>
    <row r="10" spans="1:11" ht="15" customHeight="1">
      <c r="A10" s="489" t="str">
        <f ca="1">"Căn cứ vào biên bản giao nhận TSCĐ "&amp;"  "&amp;A7&amp;"  "&amp;A8</f>
        <v>Căn cứ vào biên bản giao nhận TSCĐ   Số: SX01/11  Ngày   19   tháng   5  năm   2011</v>
      </c>
      <c r="B10" s="489"/>
      <c r="C10" s="489"/>
      <c r="D10" s="489"/>
      <c r="E10" s="489"/>
      <c r="F10" s="489"/>
      <c r="G10" s="489"/>
      <c r="H10" s="489"/>
    </row>
    <row r="11" spans="1:11" ht="15" customHeight="1">
      <c r="A11" s="489" t="s">
        <v>323</v>
      </c>
      <c r="B11" s="489"/>
      <c r="C11" s="489"/>
      <c r="D11" s="489" t="s">
        <v>385</v>
      </c>
      <c r="E11" s="489" t="str">
        <f ca="1" xml:space="preserve"> IF(ROWS($1:1)&gt;COUNT(Dong3),"","Số hiệu TSCĐ:   "&amp;OFFSET('SO-TS'!$G$1,SMALL(Dong3,ROWS($1:1)),))</f>
        <v>Số hiệu TSCĐ:   SX01/11</v>
      </c>
      <c r="F11" s="489"/>
      <c r="H11" s="489"/>
    </row>
    <row r="12" spans="1:11" ht="15" customHeight="1">
      <c r="A12" s="489" t="str">
        <f ca="1" xml:space="preserve"> IF(ROWS($1:1)&gt;COUNT(Dong3),"","Nước sản xuất:   "&amp;OFFSET('SO-TS'!$E$1,SMALL(Dong3,ROWS($1:1)),))</f>
        <v>Nước sản xuất:   Việt Nam</v>
      </c>
      <c r="B12" s="489"/>
      <c r="C12" s="489"/>
      <c r="D12" s="489"/>
      <c r="E12" s="489" t="s">
        <v>324</v>
      </c>
      <c r="F12" s="489"/>
      <c r="G12" s="489"/>
      <c r="H12" s="489"/>
    </row>
    <row r="13" spans="1:11" ht="15" customHeight="1">
      <c r="A13" s="48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9"/>
      <c r="C13" s="489"/>
      <c r="D13" s="489"/>
      <c r="E13" s="489" t="str">
        <f ca="1" xml:space="preserve"> IF(ROWS($1:1)&gt;COUNT(Dong3),"","Tháng, năm đưa vào sử dụng:    "&amp;OFFSET('SO-TS'!$F$1,SMALL(Dong3,ROWS($1:1)),))</f>
        <v>Tháng, năm đưa vào sử dụng:    06/2011</v>
      </c>
      <c r="F13" s="489"/>
      <c r="G13" s="489"/>
      <c r="H13" s="489"/>
    </row>
    <row r="14" spans="1:11" ht="15" customHeight="1">
      <c r="A14" s="489" t="s">
        <v>306</v>
      </c>
      <c r="B14" s="489"/>
      <c r="C14" s="489"/>
      <c r="D14" s="489"/>
      <c r="E14" s="489"/>
      <c r="F14" s="489"/>
      <c r="G14" s="489"/>
      <c r="H14" s="489"/>
    </row>
    <row r="15" spans="1:11" ht="15" customHeight="1">
      <c r="A15" s="489" t="s">
        <v>326</v>
      </c>
      <c r="B15" s="489"/>
      <c r="C15" s="489"/>
      <c r="D15" s="489"/>
      <c r="E15" s="489"/>
      <c r="F15" s="489"/>
      <c r="G15" s="489"/>
      <c r="H15" s="489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057" t="s">
        <v>123</v>
      </c>
      <c r="B17" s="1058"/>
      <c r="C17" s="1061" t="s">
        <v>307</v>
      </c>
      <c r="D17" s="1062"/>
      <c r="E17" s="1063"/>
      <c r="F17" s="1064" t="s">
        <v>308</v>
      </c>
      <c r="G17" s="1065"/>
      <c r="H17" s="1066"/>
    </row>
    <row r="18" spans="1:8" s="545" customFormat="1" ht="28.5" customHeight="1">
      <c r="A18" s="1059"/>
      <c r="B18" s="1060"/>
      <c r="C18" s="518" t="s">
        <v>309</v>
      </c>
      <c r="D18" s="518" t="s">
        <v>0</v>
      </c>
      <c r="E18" s="518" t="s">
        <v>310</v>
      </c>
      <c r="F18" s="518" t="s">
        <v>311</v>
      </c>
      <c r="G18" s="518" t="s">
        <v>312</v>
      </c>
      <c r="H18" s="518" t="s">
        <v>313</v>
      </c>
    </row>
    <row r="19" spans="1:8" s="547" customFormat="1">
      <c r="A19" s="1067" t="s">
        <v>2</v>
      </c>
      <c r="B19" s="1067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459">
        <f ca="1">IF(B20&lt;&gt;"",ROW()-19,"")</f>
        <v>1</v>
      </c>
      <c r="B20" s="533" t="str">
        <f ca="1" xml:space="preserve"> IF(ROWS($1:1)&gt;COUNT(Dong3),"",OFFSET('SO-TS'!G$1,SMALL(Dong3,ROWS($1:1)),))</f>
        <v>SX01/11</v>
      </c>
      <c r="C20" s="533" t="str">
        <f ca="1" xml:space="preserve"> IF(ROWS($1:1)&gt;COUNT(Dong3),"",OFFSET('SO-TS'!F$1,SMALL(Dong3,ROWS($1:1)),))</f>
        <v>06/2011</v>
      </c>
      <c r="D20" s="560" t="str">
        <f ca="1" xml:space="preserve"> IF(ROWS($1:1)&gt;COUNT(Dong3),"",OFFSET('SO-TS'!D$1,SMALL(Dong3,ROWS($1:1)),))</f>
        <v>Máy chap khe khổ 2m</v>
      </c>
      <c r="E20" s="561">
        <f ca="1" xml:space="preserve"> IF(ROWS($1:1)&gt;COUNT(Dong3),"",OFFSET('SO-TS'!H$1,SMALL(Dong3,ROWS($1:1)),))</f>
        <v>18000000</v>
      </c>
      <c r="F20" s="562" t="str">
        <f ca="1" xml:space="preserve"> IF(ROWS($1:1)&gt;COUNT(Dong3),"",RIGHT(OFFSET('SO-TS'!F$1,SMALL(Dong3,ROWS($1:1)),),4))</f>
        <v>2011</v>
      </c>
      <c r="G20" s="765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65">
        <f ca="1">G20</f>
        <v>2100000</v>
      </c>
    </row>
    <row r="21" spans="1:8" ht="17.25" customHeight="1">
      <c r="A21" s="6"/>
      <c r="B21" s="838"/>
      <c r="C21" s="838"/>
      <c r="D21" s="839"/>
      <c r="E21" s="251"/>
      <c r="F21" s="840">
        <f ca="1">IF(OR(F20="",(ROW()-19)&gt;OFFSET('SO-TS'!I$1,SMALL(Dong3,ROWS($1:$1)),)+1),"",IF(VALUE(F20)&gt;VALUE(YEAR(NOW())),"",F20+1))</f>
        <v>2012</v>
      </c>
      <c r="G21" s="763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63">
        <f ca="1">IF(G21&lt;&gt;0,H20+G21,0)</f>
        <v>5700000</v>
      </c>
    </row>
    <row r="22" spans="1:8" ht="17.25" customHeight="1">
      <c r="A22" s="6"/>
      <c r="B22" s="838"/>
      <c r="C22" s="838"/>
      <c r="D22" s="839"/>
      <c r="E22" s="251"/>
      <c r="F22" s="840">
        <f ca="1">IF(OR(F21="",(ROW()-19)&gt;OFFSET('SO-TS'!I$1,SMALL(Dong3,ROWS($1:$1)),)+1),"",IF(VALUE(F21)&gt;VALUE(YEAR(NOW())),"",F21+1))</f>
        <v>2013</v>
      </c>
      <c r="G22" s="763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63">
        <f ca="1">IF(G22&lt;&gt;0,H21+G22,0)</f>
        <v>9300000</v>
      </c>
    </row>
    <row r="23" spans="1:8" ht="17.25" customHeight="1">
      <c r="A23" s="6"/>
      <c r="B23" s="838"/>
      <c r="C23" s="838"/>
      <c r="D23" s="839"/>
      <c r="E23" s="251"/>
      <c r="F23" s="840"/>
      <c r="G23" s="763"/>
      <c r="H23" s="763"/>
    </row>
    <row r="24" spans="1:8" ht="17.25" customHeight="1">
      <c r="A24" s="841" t="str">
        <f t="shared" ref="A24" si="0">IF(B24&lt;&gt;"",ROW()-19,"")</f>
        <v/>
      </c>
      <c r="B24" s="501"/>
      <c r="C24" s="534"/>
      <c r="D24" s="534"/>
      <c r="E24" s="764"/>
      <c r="F24" s="842"/>
      <c r="G24" s="764"/>
      <c r="H24" s="764"/>
    </row>
    <row r="25" spans="1:8" ht="17.25" customHeight="1">
      <c r="A25" s="503"/>
      <c r="B25" s="503" t="s">
        <v>314</v>
      </c>
      <c r="C25" s="535"/>
      <c r="D25" s="535"/>
      <c r="E25" s="563">
        <f ca="1">SUM(E20:E24)</f>
        <v>18000000</v>
      </c>
      <c r="F25" s="535"/>
      <c r="G25" s="563">
        <f ca="1">SUM(G20:G24)</f>
        <v>9300000</v>
      </c>
      <c r="H25" s="563"/>
    </row>
    <row r="26" spans="1:8" ht="17.25" customHeight="1">
      <c r="A26" s="536"/>
      <c r="B26" s="536"/>
      <c r="C26" s="537"/>
      <c r="D26" s="537"/>
      <c r="E26" s="537"/>
      <c r="F26" s="537"/>
      <c r="G26" s="538"/>
      <c r="H26" s="538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1068" t="s">
        <v>315</v>
      </c>
      <c r="B28" s="1068"/>
      <c r="C28" s="1068"/>
      <c r="D28" s="1068"/>
      <c r="E28" s="1068"/>
      <c r="F28" s="1068"/>
      <c r="G28" s="1068"/>
      <c r="H28" s="1068"/>
    </row>
    <row r="29" spans="1:8" ht="27" customHeight="1">
      <c r="A29" s="503" t="s">
        <v>35</v>
      </c>
      <c r="B29" s="1041" t="s">
        <v>316</v>
      </c>
      <c r="C29" s="1043"/>
      <c r="D29" s="535" t="s">
        <v>191</v>
      </c>
      <c r="E29" s="535" t="s">
        <v>317</v>
      </c>
      <c r="F29" s="535" t="s">
        <v>318</v>
      </c>
      <c r="G29" s="538"/>
      <c r="H29" s="538"/>
    </row>
    <row r="30" spans="1:8" ht="17.25" customHeight="1">
      <c r="A30" s="503" t="s">
        <v>2</v>
      </c>
      <c r="B30" s="503" t="s">
        <v>3</v>
      </c>
      <c r="C30" s="535"/>
      <c r="D30" s="535" t="s">
        <v>4</v>
      </c>
      <c r="E30" s="535">
        <v>1</v>
      </c>
      <c r="F30" s="535">
        <v>2</v>
      </c>
      <c r="G30" s="538"/>
      <c r="H30" s="538"/>
    </row>
    <row r="31" spans="1:8" ht="17.25" customHeight="1">
      <c r="A31" s="539"/>
      <c r="B31" s="539"/>
      <c r="C31" s="540"/>
      <c r="D31" s="540"/>
      <c r="E31" s="540"/>
      <c r="F31" s="540"/>
      <c r="G31" s="538"/>
      <c r="H31" s="538"/>
    </row>
    <row r="32" spans="1:8" ht="17.25" customHeight="1">
      <c r="A32" s="541"/>
      <c r="B32" s="541"/>
      <c r="C32" s="542"/>
      <c r="D32" s="542"/>
      <c r="E32" s="542"/>
      <c r="F32" s="542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3"/>
      <c r="B35" s="543"/>
      <c r="C35" s="544"/>
      <c r="D35" s="544"/>
      <c r="E35" s="544"/>
      <c r="F35" s="544"/>
      <c r="G35" s="538"/>
      <c r="H35" s="538"/>
    </row>
    <row r="36" spans="1:8">
      <c r="A36" s="536"/>
      <c r="B36" s="536"/>
      <c r="C36" s="537"/>
      <c r="D36" s="537"/>
      <c r="E36" s="537"/>
      <c r="F36" s="537"/>
      <c r="G36" s="538"/>
      <c r="H36" s="538"/>
    </row>
    <row r="37" spans="1:8">
      <c r="A37" s="1052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52"/>
      <c r="C37" s="1052"/>
      <c r="D37" s="1052"/>
      <c r="E37" s="1052"/>
      <c r="F37" s="1052"/>
      <c r="G37" s="1052"/>
      <c r="H37" s="1052"/>
    </row>
    <row r="38" spans="1:8">
      <c r="A38" s="1052" t="str">
        <f ca="1" xml:space="preserve"> IF(ROWS($1:1)&gt;COUNT(Dong3),"","Lý do giảm:   "&amp;OFFSET('SO-TS'!$O$1,SMALL(Dong3,ROWS($1:1)),))</f>
        <v xml:space="preserve">Lý do giảm:   </v>
      </c>
      <c r="B38" s="1052"/>
      <c r="C38" s="1052"/>
      <c r="D38" s="1052"/>
      <c r="E38" s="1052"/>
      <c r="F38" s="1052"/>
      <c r="G38" s="1052"/>
      <c r="H38" s="1052"/>
    </row>
    <row r="39" spans="1:8">
      <c r="A39" s="513"/>
      <c r="B39" s="513"/>
      <c r="C39" s="508"/>
      <c r="D39" s="508"/>
      <c r="E39" s="1056" t="s">
        <v>423</v>
      </c>
      <c r="F39" s="1056"/>
      <c r="G39" s="1056"/>
      <c r="H39" s="1056"/>
    </row>
    <row r="40" spans="1:8">
      <c r="A40" s="1053" t="s">
        <v>319</v>
      </c>
      <c r="B40" s="1053"/>
      <c r="C40" s="1053" t="s">
        <v>12</v>
      </c>
      <c r="D40" s="1053"/>
      <c r="E40" s="1048" t="s">
        <v>107</v>
      </c>
      <c r="F40" s="1048"/>
      <c r="G40" s="1048"/>
      <c r="H40" s="1048"/>
    </row>
  </sheetData>
  <dataConsolidate/>
  <mergeCells count="17"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  <mergeCell ref="F3:H4"/>
    <mergeCell ref="F2:H2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51</vt:i4>
      </vt:variant>
    </vt:vector>
  </HeadingPairs>
  <TitlesOfParts>
    <vt:vector size="7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2017-03-07T02:09:29Z</cp:lastPrinted>
  <dcterms:created xsi:type="dcterms:W3CDTF">1996-10-14T23:33:28Z</dcterms:created>
  <dcterms:modified xsi:type="dcterms:W3CDTF">2017-03-28T00:30:32Z</dcterms:modified>
</cp:coreProperties>
</file>