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953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154" sheetId="74" r:id="rId19"/>
    <sheet name="632" sheetId="75" r:id="rId20"/>
    <sheet name="642" sheetId="77" r:id="rId21"/>
    <sheet name="641" sheetId="78" r:id="rId22"/>
    <sheet name="THL" sheetId="80" r:id="rId23"/>
    <sheet name="CC -9" sheetId="81" r:id="rId24"/>
    <sheet name="L - 9" sheetId="82" r:id="rId25"/>
    <sheet name="CC -10" sheetId="83" r:id="rId26"/>
    <sheet name="L - 10" sheetId="84" r:id="rId27"/>
    <sheet name="CC -11" sheetId="85" r:id="rId28"/>
    <sheet name="L - 11" sheetId="86" r:id="rId29"/>
    <sheet name="CC -12" sheetId="87" r:id="rId30"/>
    <sheet name="L - 12" sheetId="88" r:id="rId31"/>
  </sheets>
  <externalReferences>
    <externalReference r:id="rId32"/>
  </externalReferences>
  <definedNames>
    <definedName name="____a1" hidden="1">{"'Sheet1'!$L$16"}</definedName>
    <definedName name="_a1" localSheetId="25" hidden="1">{"'Sheet1'!$L$16"}</definedName>
    <definedName name="_a1" localSheetId="27" hidden="1">{"'Sheet1'!$L$16"}</definedName>
    <definedName name="_a1" localSheetId="29" hidden="1">{"'Sheet1'!$L$16"}</definedName>
    <definedName name="_a1" localSheetId="23" hidden="1">{"'Sheet1'!$L$16"}</definedName>
    <definedName name="_a1" localSheetId="26" hidden="1">{"'Sheet1'!$L$16"}</definedName>
    <definedName name="_a1" localSheetId="28" hidden="1">{"'Sheet1'!$L$16"}</definedName>
    <definedName name="_a1" localSheetId="30" hidden="1">{"'Sheet1'!$L$16"}</definedName>
    <definedName name="_a1" localSheetId="24" hidden="1">{"'Sheet1'!$L$16"}</definedName>
    <definedName name="_a1" localSheetId="22" hidden="1">{"'Sheet1'!$L$16"}</definedName>
    <definedName name="_a1" hidden="1">{"'Sheet1'!$L$16"}</definedName>
    <definedName name="_C111">TH!$Q$10:$Q$442</definedName>
    <definedName name="_C112">TH!$T$10:$T$442</definedName>
    <definedName name="_Fill" localSheetId="6" hidden="1">#REF!</definedName>
    <definedName name="_Fill" localSheetId="11" hidden="1">#REF!</definedName>
    <definedName name="_Fill" localSheetId="21" hidden="1">#REF!</definedName>
    <definedName name="_Fill" localSheetId="3" hidden="1">#REF!</definedName>
    <definedName name="_Fill" hidden="1">#REF!</definedName>
    <definedName name="_xlnm._FilterDatabase" localSheetId="4" hidden="1">'111'!$A$12:$J$80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25" hidden="1">'CC -10'!$A$7:$AS$7</definedName>
    <definedName name="_xlnm._FilterDatabase" localSheetId="27" hidden="1">'CC -11'!$A$7:$AS$7</definedName>
    <definedName name="_xlnm._FilterDatabase" localSheetId="29" hidden="1">'CC -12'!$A$7:$AS$7</definedName>
    <definedName name="_xlnm._FilterDatabase" localSheetId="23" hidden="1">'CC -9'!$A$7:$AS$7</definedName>
    <definedName name="_xlnm._FilterDatabase" localSheetId="3" hidden="1">CTTK!$A$13:$J$15</definedName>
    <definedName name="_xlnm._FilterDatabase" localSheetId="26" hidden="1">'L - 10'!$A$7:$AD$10</definedName>
    <definedName name="_xlnm._FilterDatabase" localSheetId="28" hidden="1">'L - 11'!$A$7:$AD$10</definedName>
    <definedName name="_xlnm._FilterDatabase" localSheetId="30" hidden="1">'L - 12'!$A$7:$AD$10</definedName>
    <definedName name="_xlnm._FilterDatabase" localSheetId="24" hidden="1">'L - 9'!$A$7:$AD$10</definedName>
    <definedName name="_xlnm._FilterDatabase" localSheetId="12" hidden="1">NXT!$B$11:$N$60</definedName>
    <definedName name="_xlnm._FilterDatabase" localSheetId="1" hidden="1">TH!$A$9:$AD$329</definedName>
    <definedName name="_xlnm._FilterDatabase" localSheetId="22" hidden="1">THL!$A$10:$Z$18</definedName>
    <definedName name="_xlnm._FilterDatabase" localSheetId="15" hidden="1">TK!$A$1:$J$1</definedName>
    <definedName name="_Key1" hidden="1">#REF!</definedName>
    <definedName name="_Key2" hidden="1">#REF!</definedName>
    <definedName name="_M">TH!$B$10:$B$442</definedName>
    <definedName name="_N111">TH!$P$10:$P$442</definedName>
    <definedName name="_N112">TH!$S$10:$S$442</definedName>
    <definedName name="_Order1" hidden="1">255</definedName>
    <definedName name="_Order2" hidden="1">255</definedName>
    <definedName name="_Sort" hidden="1">#REF!</definedName>
    <definedName name="_TM1">IF('IN-TC'!$S$4=1,1,IF('IN-TC'!$S$4=2,4,IF('IN-TC'!$S$4=3,7,10)))</definedName>
    <definedName name="_TM2">IF('IN-TC'!$S$4=1,3,IF('IN-TC'!$S$4=2,6,IF('IN-TC'!$S$4=3,9,12)))</definedName>
    <definedName name="CP" hidden="1">#REF!</definedName>
    <definedName name="DG">TH!$J$10:$J$442</definedName>
    <definedName name="dh" localSheetId="25" hidden="1">{#N/A,#N/A,FALSE,"Chi tiÆt"}</definedName>
    <definedName name="dh" localSheetId="27" hidden="1">{#N/A,#N/A,FALSE,"Chi tiÆt"}</definedName>
    <definedName name="dh" localSheetId="29" hidden="1">{#N/A,#N/A,FALSE,"Chi tiÆt"}</definedName>
    <definedName name="dh" localSheetId="23" hidden="1">{#N/A,#N/A,FALSE,"Chi tiÆt"}</definedName>
    <definedName name="dh" localSheetId="26" hidden="1">{#N/A,#N/A,FALSE,"Chi tiÆt"}</definedName>
    <definedName name="dh" localSheetId="28" hidden="1">{#N/A,#N/A,FALSE,"Chi tiÆt"}</definedName>
    <definedName name="dh" localSheetId="30" hidden="1">{#N/A,#N/A,FALSE,"Chi tiÆt"}</definedName>
    <definedName name="dh" localSheetId="24" hidden="1">{#N/A,#N/A,FALSE,"Chi tiÆt"}</definedName>
    <definedName name="dh" localSheetId="22" hidden="1">{#N/A,#N/A,FALSE,"Chi tiÆt"}</definedName>
    <definedName name="dh" hidden="1">{#N/A,#N/A,FALSE,"Chi tiÆt"}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">THL!$B$11:$X$23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GFSAH" localSheetId="25" hidden="1">{"'Sheet1'!$L$16"}</definedName>
    <definedName name="GFSAH" localSheetId="27" hidden="1">{"'Sheet1'!$L$16"}</definedName>
    <definedName name="GFSAH" localSheetId="29" hidden="1">{"'Sheet1'!$L$16"}</definedName>
    <definedName name="GFSAH" localSheetId="23" hidden="1">{"'Sheet1'!$L$16"}</definedName>
    <definedName name="GFSAH" localSheetId="26" hidden="1">{"'Sheet1'!$L$16"}</definedName>
    <definedName name="GFSAH" localSheetId="28" hidden="1">{"'Sheet1'!$L$16"}</definedName>
    <definedName name="GFSAH" localSheetId="30" hidden="1">{"'Sheet1'!$L$16"}</definedName>
    <definedName name="GFSAH" localSheetId="24" hidden="1">{"'Sheet1'!$L$16"}</definedName>
    <definedName name="GFSAH" localSheetId="22" hidden="1">{"'Sheet1'!$L$16"}</definedName>
    <definedName name="GFSAH" hidden="1">{"'Sheet1'!$L$16"}</definedName>
    <definedName name="GJFXJXJ" localSheetId="25" hidden="1">{#N/A,#N/A,FALSE,"Chi tiÆt"}</definedName>
    <definedName name="GJFXJXJ" localSheetId="27" hidden="1">{#N/A,#N/A,FALSE,"Chi tiÆt"}</definedName>
    <definedName name="GJFXJXJ" localSheetId="29" hidden="1">{#N/A,#N/A,FALSE,"Chi tiÆt"}</definedName>
    <definedName name="GJFXJXJ" localSheetId="23" hidden="1">{#N/A,#N/A,FALSE,"Chi tiÆt"}</definedName>
    <definedName name="GJFXJXJ" localSheetId="26" hidden="1">{#N/A,#N/A,FALSE,"Chi tiÆt"}</definedName>
    <definedName name="GJFXJXJ" localSheetId="28" hidden="1">{#N/A,#N/A,FALSE,"Chi tiÆt"}</definedName>
    <definedName name="GJFXJXJ" localSheetId="30" hidden="1">{#N/A,#N/A,FALSE,"Chi tiÆt"}</definedName>
    <definedName name="GJFXJXJ" localSheetId="24" hidden="1">{#N/A,#N/A,FALSE,"Chi tiÆt"}</definedName>
    <definedName name="GJFXJXJ" localSheetId="22" hidden="1">{#N/A,#N/A,FALSE,"Chi tiÆt"}</definedName>
    <definedName name="GJFXJXJ" hidden="1">{#N/A,#N/A,FALSE,"Chi tiÆt"}</definedName>
    <definedName name="h" localSheetId="25" hidden="1">{"'Sheet1'!$L$16"}</definedName>
    <definedName name="h" localSheetId="27" hidden="1">{"'Sheet1'!$L$16"}</definedName>
    <definedName name="h" localSheetId="29" hidden="1">{"'Sheet1'!$L$16"}</definedName>
    <definedName name="h" localSheetId="23" hidden="1">{"'Sheet1'!$L$16"}</definedName>
    <definedName name="h" localSheetId="26" hidden="1">{"'Sheet1'!$L$16"}</definedName>
    <definedName name="h" localSheetId="28" hidden="1">{"'Sheet1'!$L$16"}</definedName>
    <definedName name="h" localSheetId="30" hidden="1">{"'Sheet1'!$L$16"}</definedName>
    <definedName name="h" localSheetId="24" hidden="1">{"'Sheet1'!$L$16"}</definedName>
    <definedName name="h" localSheetId="22" hidden="1">{"'Sheet1'!$L$16"}</definedName>
    <definedName name="h" hidden="1">{"'Sheet1'!$L$16"}</definedName>
    <definedName name="hsgdkhog" localSheetId="25" hidden="1">{#N/A,#N/A,FALSE,"Chi tiÆt"}</definedName>
    <definedName name="hsgdkhog" localSheetId="27" hidden="1">{#N/A,#N/A,FALSE,"Chi tiÆt"}</definedName>
    <definedName name="hsgdkhog" localSheetId="29" hidden="1">{#N/A,#N/A,FALSE,"Chi tiÆt"}</definedName>
    <definedName name="hsgdkhog" localSheetId="23" hidden="1">{#N/A,#N/A,FALSE,"Chi tiÆt"}</definedName>
    <definedName name="hsgdkhog" localSheetId="26" hidden="1">{#N/A,#N/A,FALSE,"Chi tiÆt"}</definedName>
    <definedName name="hsgdkhog" localSheetId="28" hidden="1">{#N/A,#N/A,FALSE,"Chi tiÆt"}</definedName>
    <definedName name="hsgdkhog" localSheetId="30" hidden="1">{#N/A,#N/A,FALSE,"Chi tiÆt"}</definedName>
    <definedName name="hsgdkhog" localSheetId="24" hidden="1">{#N/A,#N/A,FALSE,"Chi tiÆt"}</definedName>
    <definedName name="hsgdkhog" localSheetId="22" hidden="1">{#N/A,#N/A,FALSE,"Chi tiÆt"}</definedName>
    <definedName name="hsgdkhog" hidden="1">{#N/A,#N/A,FALSE,"Chi tiÆt"}</definedName>
    <definedName name="HTML_CodePage" hidden="1">950</definedName>
    <definedName name="HTML_Control" localSheetId="25" hidden="1">{"'Sheet1'!$L$16"}</definedName>
    <definedName name="HTML_Control" localSheetId="27" hidden="1">{"'Sheet1'!$L$16"}</definedName>
    <definedName name="HTML_Control" localSheetId="29" hidden="1">{"'Sheet1'!$L$16"}</definedName>
    <definedName name="HTML_Control" localSheetId="23" hidden="1">{"'Sheet1'!$L$16"}</definedName>
    <definedName name="HTML_Control" localSheetId="26" hidden="1">{"'Sheet1'!$L$16"}</definedName>
    <definedName name="HTML_Control" localSheetId="28" hidden="1">{"'Sheet1'!$L$16"}</definedName>
    <definedName name="HTML_Control" localSheetId="30" hidden="1">{"'Sheet1'!$L$16"}</definedName>
    <definedName name="HTML_Control" localSheetId="24" hidden="1">{"'Sheet1'!$L$16"}</definedName>
    <definedName name="HTML_Control" localSheetId="2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25" hidden="1">{"'Sheet1'!$L$16"}</definedName>
    <definedName name="huy" localSheetId="27" hidden="1">{"'Sheet1'!$L$16"}</definedName>
    <definedName name="huy" localSheetId="29" hidden="1">{"'Sheet1'!$L$16"}</definedName>
    <definedName name="huy" localSheetId="23" hidden="1">{"'Sheet1'!$L$16"}</definedName>
    <definedName name="huy" localSheetId="26" hidden="1">{"'Sheet1'!$L$16"}</definedName>
    <definedName name="huy" localSheetId="28" hidden="1">{"'Sheet1'!$L$16"}</definedName>
    <definedName name="huy" localSheetId="30" hidden="1">{"'Sheet1'!$L$16"}</definedName>
    <definedName name="huy" localSheetId="24" hidden="1">{"'Sheet1'!$L$16"}</definedName>
    <definedName name="huy" localSheetId="22" hidden="1">{"'Sheet1'!$L$16"}</definedName>
    <definedName name="huy" hidden="1">{"'Sheet1'!$L$16"}</definedName>
    <definedName name="KH">TH!$H$10:$H$442</definedName>
    <definedName name="KHC">TH!$M$10:$M$442</definedName>
    <definedName name="khkl" localSheetId="25" hidden="1">{"'Sheet1'!$L$16"}</definedName>
    <definedName name="khkl" localSheetId="27" hidden="1">{"'Sheet1'!$L$16"}</definedName>
    <definedName name="khkl" localSheetId="29" hidden="1">{"'Sheet1'!$L$16"}</definedName>
    <definedName name="khkl" localSheetId="23" hidden="1">{"'Sheet1'!$L$16"}</definedName>
    <definedName name="khkl" localSheetId="26" hidden="1">{"'Sheet1'!$L$16"}</definedName>
    <definedName name="khkl" localSheetId="28" hidden="1">{"'Sheet1'!$L$16"}</definedName>
    <definedName name="khkl" localSheetId="30" hidden="1">{"'Sheet1'!$L$16"}</definedName>
    <definedName name="khkl" localSheetId="24" hidden="1">{"'Sheet1'!$L$16"}</definedName>
    <definedName name="khkl" localSheetId="22" hidden="1">{"'Sheet1'!$L$16"}</definedName>
    <definedName name="khkl" hidden="1">{"'Sheet1'!$L$16"}</definedName>
    <definedName name="KHN">TH!$L$10:$L$442</definedName>
    <definedName name="kjjh" localSheetId="25" hidden="1">{"'Sheet1'!$L$16"}</definedName>
    <definedName name="kjjh" localSheetId="27" hidden="1">{"'Sheet1'!$L$16"}</definedName>
    <definedName name="kjjh" localSheetId="29" hidden="1">{"'Sheet1'!$L$16"}</definedName>
    <definedName name="kjjh" localSheetId="23" hidden="1">{"'Sheet1'!$L$16"}</definedName>
    <definedName name="kjjh" localSheetId="26" hidden="1">{"'Sheet1'!$L$16"}</definedName>
    <definedName name="kjjh" localSheetId="28" hidden="1">{"'Sheet1'!$L$16"}</definedName>
    <definedName name="kjjh" localSheetId="30" hidden="1">{"'Sheet1'!$L$16"}</definedName>
    <definedName name="kjjh" localSheetId="24" hidden="1">{"'Sheet1'!$L$16"}</definedName>
    <definedName name="kjjh" localSheetId="22" hidden="1">{"'Sheet1'!$L$16"}</definedName>
    <definedName name="kjjh" hidden="1">{"'Sheet1'!$L$16"}</definedName>
    <definedName name="KTLDLAN3" localSheetId="25" hidden="1">{"'Sheet1'!$L$16"}</definedName>
    <definedName name="KTLDLAN3" localSheetId="27" hidden="1">{"'Sheet1'!$L$16"}</definedName>
    <definedName name="KTLDLAN3" localSheetId="29" hidden="1">{"'Sheet1'!$L$16"}</definedName>
    <definedName name="KTLDLAN3" localSheetId="23" hidden="1">{"'Sheet1'!$L$16"}</definedName>
    <definedName name="KTLDLAN3" localSheetId="26" hidden="1">{"'Sheet1'!$L$16"}</definedName>
    <definedName name="KTLDLAN3" localSheetId="28" hidden="1">{"'Sheet1'!$L$16"}</definedName>
    <definedName name="KTLDLAN3" localSheetId="30" hidden="1">{"'Sheet1'!$L$16"}</definedName>
    <definedName name="KTLDLAN3" localSheetId="24" hidden="1">{"'Sheet1'!$L$16"}</definedName>
    <definedName name="KTLDLAN3" localSheetId="22" hidden="1">{"'Sheet1'!$L$16"}</definedName>
    <definedName name="KTLDLAN3" hidden="1">{"'Sheet1'!$L$16"}</definedName>
    <definedName name="Loai">OFFSET(TH!$N$5,,,COUNTA(TH!$N$5:$N$38752))</definedName>
    <definedName name="Loai1">OFFSET(TH!$O$5,,,COUNTA(TH!$O$5:$O$38752))</definedName>
    <definedName name="Loai2">OFFSET(TH!$R$5,,,COUNTA(TH!$R$5:$R$38752))</definedName>
    <definedName name="Loai3">OFFSET(#REF!,,,COUNTA(#REF!))</definedName>
    <definedName name="Loai4">OFFSET(TH!$U$5,,,COUNTA(TH!$U$5:$U$38752))</definedName>
    <definedName name="Loai5">OFFSET(TH!$V$5,,,COUNTA(TH!$V$5:$V$38752))</definedName>
    <definedName name="Loai6">OFFSET(TH!$Z$5,,,COUNTA(TH!$Z$5:$Z$38752))</definedName>
    <definedName name="Loai7">OFFSET(TH!$W$5,,,COUNTA(TH!$W$5:$W$38752))</definedName>
    <definedName name="Loai8">OFFSET(TH!$X$5,,,COUNTA(TH!$X$5:$X$38752))</definedName>
    <definedName name="Loai9">OFFSET(TH!$Y$5,,,COUNTA(TH!$Y$5:$Y$38752))</definedName>
    <definedName name="MH">TH!$F$10:$F$442</definedName>
    <definedName name="NXT">NXT!$A$12:$A$655</definedName>
    <definedName name="_xlnm.Print_Area" localSheetId="4">'111'!$A$1:$J$93</definedName>
    <definedName name="_xlnm.Print_Area" localSheetId="6">'112'!$A$1:$I$42</definedName>
    <definedName name="_xlnm.Print_Area" localSheetId="7">'131'!$A$1:$H$22</definedName>
    <definedName name="_xlnm.Print_Area" localSheetId="8">'131-CT'!$A$1:$J$46</definedName>
    <definedName name="_xlnm.Print_Area" localSheetId="14">'152-CT'!$B$2:$M$25</definedName>
    <definedName name="_xlnm.Print_Area" localSheetId="18">'154'!$A$2:$M$43</definedName>
    <definedName name="_xlnm.Print_Area" localSheetId="9">'331'!$A$1:$H$16</definedName>
    <definedName name="_xlnm.Print_Area" localSheetId="10">'331-CT'!$A$1:$J$65</definedName>
    <definedName name="_xlnm.Print_Area" localSheetId="19">'632'!$A$2:$J$30</definedName>
    <definedName name="_xlnm.Print_Area" localSheetId="21">'641'!$A$2:$L$35</definedName>
    <definedName name="_xlnm.Print_Area" localSheetId="20">'642'!$A$2:$L$40</definedName>
    <definedName name="_xlnm.Print_Area" localSheetId="25">'CC -10'!$A$1:$AS$45</definedName>
    <definedName name="_xlnm.Print_Area" localSheetId="27">'CC -11'!$A$1:$AS$47</definedName>
    <definedName name="_xlnm.Print_Area" localSheetId="29">'CC -12'!$A$1:$AS$47</definedName>
    <definedName name="_xlnm.Print_Area" localSheetId="23">'CC -9'!$A$1:$AS$45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NXT!$B$1:$L$65</definedName>
    <definedName name="_xlnm.Print_Area" localSheetId="15">TK!$A$1:$J$31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8">'154'!$11:$14</definedName>
    <definedName name="_xlnm.Print_Titles" localSheetId="10">'331-CT'!$10:$12</definedName>
    <definedName name="_xlnm.Print_Titles" localSheetId="21">'641'!$11:$14</definedName>
    <definedName name="_xlnm.Print_Titles" localSheetId="20">'642'!$11:$14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TH!$I$10:$I$442</definedName>
    <definedName name="TH">TH!$K$10:$K$442</definedName>
    <definedName name="TM">TH!$A$10:$M$442</definedName>
    <definedName name="ưer" localSheetId="25" hidden="1">{"'Sheet1'!$L$16"}</definedName>
    <definedName name="ưer" localSheetId="27" hidden="1">{"'Sheet1'!$L$16"}</definedName>
    <definedName name="ưer" localSheetId="29" hidden="1">{"'Sheet1'!$L$16"}</definedName>
    <definedName name="ưer" localSheetId="23" hidden="1">{"'Sheet1'!$L$16"}</definedName>
    <definedName name="ưer" localSheetId="26" hidden="1">{"'Sheet1'!$L$16"}</definedName>
    <definedName name="ưer" localSheetId="28" hidden="1">{"'Sheet1'!$L$16"}</definedName>
    <definedName name="ưer" localSheetId="30" hidden="1">{"'Sheet1'!$L$16"}</definedName>
    <definedName name="ưer" localSheetId="24" hidden="1">{"'Sheet1'!$L$16"}</definedName>
    <definedName name="ưer" localSheetId="22" hidden="1">{"'Sheet1'!$L$16"}</definedName>
    <definedName name="ưer" hidden="1">{"'Sheet1'!$L$16"}</definedName>
    <definedName name="UU" localSheetId="25" hidden="1">{"'Sheet1'!$L$16"}</definedName>
    <definedName name="UU" localSheetId="27" hidden="1">{"'Sheet1'!$L$16"}</definedName>
    <definedName name="UU" localSheetId="29" hidden="1">{"'Sheet1'!$L$16"}</definedName>
    <definedName name="UU" localSheetId="23" hidden="1">{"'Sheet1'!$L$16"}</definedName>
    <definedName name="UU" localSheetId="26" hidden="1">{"'Sheet1'!$L$16"}</definedName>
    <definedName name="UU" localSheetId="28" hidden="1">{"'Sheet1'!$L$16"}</definedName>
    <definedName name="UU" localSheetId="30" hidden="1">{"'Sheet1'!$L$16"}</definedName>
    <definedName name="UU" localSheetId="24" hidden="1">{"'Sheet1'!$L$16"}</definedName>
    <definedName name="UU" localSheetId="22" hidden="1">{"'Sheet1'!$L$16"}</definedName>
    <definedName name="UU" hidden="1">{"'Sheet1'!$L$16"}</definedName>
    <definedName name="wrn.chi._.tiÆt." localSheetId="25" hidden="1">{#N/A,#N/A,FALSE,"Chi tiÆt"}</definedName>
    <definedName name="wrn.chi._.tiÆt." localSheetId="27" hidden="1">{#N/A,#N/A,FALSE,"Chi tiÆt"}</definedName>
    <definedName name="wrn.chi._.tiÆt." localSheetId="29" hidden="1">{#N/A,#N/A,FALSE,"Chi tiÆt"}</definedName>
    <definedName name="wrn.chi._.tiÆt." localSheetId="23" hidden="1">{#N/A,#N/A,FALSE,"Chi tiÆt"}</definedName>
    <definedName name="wrn.chi._.tiÆt." localSheetId="26" hidden="1">{#N/A,#N/A,FALSE,"Chi tiÆt"}</definedName>
    <definedName name="wrn.chi._.tiÆt." localSheetId="28" hidden="1">{#N/A,#N/A,FALSE,"Chi tiÆt"}</definedName>
    <definedName name="wrn.chi._.tiÆt." localSheetId="30" hidden="1">{#N/A,#N/A,FALSE,"Chi tiÆt"}</definedName>
    <definedName name="wrn.chi._.tiÆt." localSheetId="24" hidden="1">{#N/A,#N/A,FALSE,"Chi tiÆt"}</definedName>
    <definedName name="wrn.chi._.tiÆt." localSheetId="22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I13" i="58" l="1"/>
  <c r="L60" i="55" l="1"/>
  <c r="J60" i="55"/>
  <c r="H60" i="55"/>
  <c r="F60" i="55"/>
  <c r="H7" i="60" l="1"/>
  <c r="N23" i="34"/>
  <c r="R23" i="34"/>
  <c r="S23" i="34"/>
  <c r="T23" i="34"/>
  <c r="X23" i="34"/>
  <c r="Y23" i="34"/>
  <c r="N24" i="34"/>
  <c r="X24" i="34"/>
  <c r="Y24" i="34"/>
  <c r="N25" i="34"/>
  <c r="R25" i="34"/>
  <c r="S25" i="34"/>
  <c r="T25" i="34"/>
  <c r="X25" i="34"/>
  <c r="Y25" i="34"/>
  <c r="N26" i="34"/>
  <c r="R26" i="34"/>
  <c r="S26" i="34"/>
  <c r="T26" i="34"/>
  <c r="X26" i="34"/>
  <c r="Y26" i="34"/>
  <c r="N27" i="34"/>
  <c r="R27" i="34"/>
  <c r="S27" i="34"/>
  <c r="T27" i="34"/>
  <c r="X27" i="34"/>
  <c r="Y27" i="34"/>
  <c r="N28" i="34"/>
  <c r="R28" i="34"/>
  <c r="S28" i="34"/>
  <c r="T28" i="34"/>
  <c r="X28" i="34"/>
  <c r="Y28" i="34"/>
  <c r="N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R32" i="34"/>
  <c r="S32" i="34"/>
  <c r="T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R61" i="34"/>
  <c r="S61" i="34"/>
  <c r="T61" i="34"/>
  <c r="X61" i="34"/>
  <c r="Y61" i="34"/>
  <c r="N62" i="34"/>
  <c r="R62" i="34"/>
  <c r="S62" i="34"/>
  <c r="T62" i="34"/>
  <c r="X62" i="34"/>
  <c r="Y62" i="34"/>
  <c r="N63" i="34"/>
  <c r="X63" i="34"/>
  <c r="Y63" i="34"/>
  <c r="N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R70" i="34"/>
  <c r="S70" i="34"/>
  <c r="T70" i="34"/>
  <c r="X70" i="34"/>
  <c r="Y70" i="34"/>
  <c r="N71" i="34"/>
  <c r="X71" i="34"/>
  <c r="Y71" i="34"/>
  <c r="N72" i="34"/>
  <c r="X72" i="34"/>
  <c r="Y72" i="34"/>
  <c r="N73" i="34"/>
  <c r="X73" i="34"/>
  <c r="Y73" i="34"/>
  <c r="N74" i="34"/>
  <c r="X74" i="34"/>
  <c r="Y74" i="34"/>
  <c r="N75" i="34"/>
  <c r="R75" i="34"/>
  <c r="S75" i="34"/>
  <c r="T75" i="34"/>
  <c r="X75" i="34"/>
  <c r="Y75" i="34"/>
  <c r="N76" i="34"/>
  <c r="R76" i="34"/>
  <c r="S76" i="34"/>
  <c r="T76" i="34"/>
  <c r="X76" i="34"/>
  <c r="Y76" i="34"/>
  <c r="N77" i="34"/>
  <c r="R77" i="34"/>
  <c r="S77" i="34"/>
  <c r="T77" i="34"/>
  <c r="X77" i="34"/>
  <c r="Y77" i="34"/>
  <c r="N78" i="34"/>
  <c r="R78" i="34"/>
  <c r="S78" i="34"/>
  <c r="T78" i="34"/>
  <c r="X78" i="34"/>
  <c r="Y78" i="34"/>
  <c r="N79" i="34"/>
  <c r="R79" i="34"/>
  <c r="S79" i="34"/>
  <c r="T79" i="34"/>
  <c r="X79" i="34"/>
  <c r="Y79" i="34"/>
  <c r="N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R84" i="34"/>
  <c r="S84" i="34"/>
  <c r="T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X97" i="34"/>
  <c r="Y97" i="34"/>
  <c r="N98" i="34"/>
  <c r="X98" i="34"/>
  <c r="Y98" i="34"/>
  <c r="N99" i="34"/>
  <c r="X99" i="34"/>
  <c r="Y99" i="34"/>
  <c r="N100" i="34"/>
  <c r="R100" i="34"/>
  <c r="S100" i="34"/>
  <c r="T100" i="34"/>
  <c r="X100" i="34"/>
  <c r="Y100" i="34"/>
  <c r="N101" i="34"/>
  <c r="R101" i="34"/>
  <c r="S101" i="34"/>
  <c r="T101" i="34"/>
  <c r="X101" i="34"/>
  <c r="Y101" i="34"/>
  <c r="N102" i="34"/>
  <c r="R102" i="34"/>
  <c r="S102" i="34"/>
  <c r="T102" i="34"/>
  <c r="X102" i="34"/>
  <c r="Y102" i="34"/>
  <c r="N103" i="34"/>
  <c r="R103" i="34"/>
  <c r="S103" i="34"/>
  <c r="T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X124" i="34"/>
  <c r="Y124" i="34"/>
  <c r="N125" i="34"/>
  <c r="R125" i="34"/>
  <c r="S125" i="34"/>
  <c r="T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X141" i="34"/>
  <c r="Y141" i="34"/>
  <c r="N142" i="34"/>
  <c r="R142" i="34"/>
  <c r="S142" i="34"/>
  <c r="T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R169" i="34"/>
  <c r="S169" i="34"/>
  <c r="T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X177" i="34"/>
  <c r="Y177" i="34"/>
  <c r="N178" i="34"/>
  <c r="X178" i="34"/>
  <c r="Y178" i="34"/>
  <c r="N179" i="34"/>
  <c r="R179" i="34"/>
  <c r="S179" i="34"/>
  <c r="T179" i="34"/>
  <c r="X179" i="34"/>
  <c r="Y179" i="34"/>
  <c r="N180" i="34"/>
  <c r="R180" i="34"/>
  <c r="S180" i="34"/>
  <c r="T180" i="34"/>
  <c r="X180" i="34"/>
  <c r="Y180" i="34"/>
  <c r="N181" i="34"/>
  <c r="R181" i="34"/>
  <c r="S181" i="34"/>
  <c r="T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R188" i="34"/>
  <c r="S188" i="34"/>
  <c r="T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X218" i="34"/>
  <c r="Y218" i="34"/>
  <c r="N219" i="34"/>
  <c r="R219" i="34"/>
  <c r="S219" i="34"/>
  <c r="T219" i="34"/>
  <c r="X219" i="34"/>
  <c r="Y219" i="34"/>
  <c r="N220" i="34"/>
  <c r="R220" i="34"/>
  <c r="S220" i="34"/>
  <c r="T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X227" i="34"/>
  <c r="Y227" i="34"/>
  <c r="N228" i="34"/>
  <c r="R228" i="34"/>
  <c r="S228" i="34"/>
  <c r="T228" i="34"/>
  <c r="X228" i="34"/>
  <c r="Y228" i="34"/>
  <c r="N229" i="34"/>
  <c r="R229" i="34"/>
  <c r="S229" i="34"/>
  <c r="T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X237" i="34"/>
  <c r="Y237" i="34"/>
  <c r="N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N326" i="34"/>
  <c r="R326" i="34"/>
  <c r="S326" i="34"/>
  <c r="T326" i="34"/>
  <c r="X326" i="34"/>
  <c r="Y326" i="34"/>
  <c r="N327" i="34"/>
  <c r="R327" i="34"/>
  <c r="S327" i="34"/>
  <c r="T327" i="34"/>
  <c r="X327" i="34"/>
  <c r="Y327" i="34"/>
  <c r="N328" i="34"/>
  <c r="R328" i="34"/>
  <c r="S328" i="34"/>
  <c r="T328" i="34"/>
  <c r="X328" i="34"/>
  <c r="Y328" i="34"/>
  <c r="N329" i="34"/>
  <c r="R329" i="34"/>
  <c r="S329" i="34"/>
  <c r="T329" i="34"/>
  <c r="X329" i="34"/>
  <c r="Y329" i="34"/>
  <c r="K245" i="34"/>
  <c r="C245" i="34"/>
  <c r="B245" i="34" s="1"/>
  <c r="A245" i="34" s="1"/>
  <c r="C244" i="34"/>
  <c r="B244" i="34" s="1"/>
  <c r="C243" i="34"/>
  <c r="B243" i="34" s="1"/>
  <c r="A243" i="34" s="1"/>
  <c r="K123" i="34"/>
  <c r="C123" i="34"/>
  <c r="B123" i="34" s="1"/>
  <c r="A123" i="34" s="1"/>
  <c r="C122" i="34"/>
  <c r="B122" i="34" s="1"/>
  <c r="A122" i="34" s="1"/>
  <c r="C121" i="34"/>
  <c r="B121" i="34" s="1"/>
  <c r="K190" i="34"/>
  <c r="C190" i="34"/>
  <c r="B190" i="34" s="1"/>
  <c r="C189" i="34"/>
  <c r="B189" i="34" s="1"/>
  <c r="A189" i="34" s="1"/>
  <c r="C188" i="34"/>
  <c r="B188" i="34" s="1"/>
  <c r="A188" i="34" s="1"/>
  <c r="K70" i="34"/>
  <c r="C69" i="34"/>
  <c r="B69" i="34" s="1"/>
  <c r="C70" i="34"/>
  <c r="B70" i="34" s="1"/>
  <c r="A70" i="34" s="1"/>
  <c r="C68" i="34"/>
  <c r="B68" i="34" s="1"/>
  <c r="B325" i="34"/>
  <c r="Z325" i="34" s="1"/>
  <c r="B327" i="34"/>
  <c r="Z327" i="34" s="1"/>
  <c r="B326" i="34"/>
  <c r="R20" i="88"/>
  <c r="P20" i="88"/>
  <c r="O20" i="88"/>
  <c r="N20" i="88"/>
  <c r="L20" i="88"/>
  <c r="E20" i="88"/>
  <c r="D20" i="88"/>
  <c r="C20" i="88"/>
  <c r="R19" i="88"/>
  <c r="P19" i="88"/>
  <c r="O19" i="88"/>
  <c r="N19" i="88"/>
  <c r="L19" i="88"/>
  <c r="E19" i="88"/>
  <c r="D19" i="88"/>
  <c r="C19" i="88"/>
  <c r="R18" i="88"/>
  <c r="P18" i="88"/>
  <c r="O18" i="88"/>
  <c r="N18" i="88"/>
  <c r="L18" i="88"/>
  <c r="E18" i="88"/>
  <c r="D18" i="88"/>
  <c r="C18" i="88"/>
  <c r="R17" i="88"/>
  <c r="R22" i="88" s="1"/>
  <c r="P17" i="88"/>
  <c r="P22" i="88" s="1"/>
  <c r="O17" i="88"/>
  <c r="O22" i="88" s="1"/>
  <c r="N17" i="88"/>
  <c r="N22" i="88" s="1"/>
  <c r="L17" i="88"/>
  <c r="L22" i="88" s="1"/>
  <c r="E17" i="88"/>
  <c r="E22" i="88" s="1"/>
  <c r="D17" i="88"/>
  <c r="C17" i="88"/>
  <c r="R13" i="88"/>
  <c r="P13" i="88"/>
  <c r="O13" i="88"/>
  <c r="N13" i="88"/>
  <c r="L13" i="88"/>
  <c r="E13" i="88"/>
  <c r="D13" i="88"/>
  <c r="C13" i="88"/>
  <c r="R12" i="88"/>
  <c r="P12" i="88"/>
  <c r="O12" i="88"/>
  <c r="N12" i="88"/>
  <c r="L12" i="88"/>
  <c r="E12" i="88"/>
  <c r="D12" i="88"/>
  <c r="C12" i="88"/>
  <c r="R11" i="88"/>
  <c r="P11" i="88"/>
  <c r="O11" i="88"/>
  <c r="N11" i="88"/>
  <c r="L11" i="88"/>
  <c r="E11" i="88"/>
  <c r="D11" i="88"/>
  <c r="C11" i="88"/>
  <c r="R10" i="88"/>
  <c r="R15" i="88" s="1"/>
  <c r="P10" i="88"/>
  <c r="P15" i="88" s="1"/>
  <c r="O10" i="88"/>
  <c r="O15" i="88" s="1"/>
  <c r="N10" i="88"/>
  <c r="N15" i="88" s="1"/>
  <c r="L10" i="88"/>
  <c r="L15" i="88" s="1"/>
  <c r="E10" i="88"/>
  <c r="E15" i="88" s="1"/>
  <c r="D10" i="88"/>
  <c r="C10" i="88"/>
  <c r="E4" i="88"/>
  <c r="S24" i="88" s="1"/>
  <c r="AL24" i="87"/>
  <c r="D24" i="87"/>
  <c r="C24" i="87"/>
  <c r="AL22" i="87"/>
  <c r="D22" i="87"/>
  <c r="C22" i="87"/>
  <c r="A22" i="87"/>
  <c r="A24" i="87" s="1"/>
  <c r="AL20" i="87"/>
  <c r="D20" i="87"/>
  <c r="C20" i="87"/>
  <c r="A20" i="87"/>
  <c r="AL18" i="87"/>
  <c r="D18" i="87"/>
  <c r="C18" i="87"/>
  <c r="AL15" i="87"/>
  <c r="D15" i="87"/>
  <c r="C15" i="87"/>
  <c r="AL13" i="87"/>
  <c r="D13" i="87"/>
  <c r="C13" i="87"/>
  <c r="AL11" i="87"/>
  <c r="D11" i="87"/>
  <c r="C11" i="87"/>
  <c r="AL9" i="87"/>
  <c r="D9" i="87"/>
  <c r="C9" i="87"/>
  <c r="F5" i="87"/>
  <c r="F6" i="87" s="1"/>
  <c r="S1" i="87"/>
  <c r="R20" i="86"/>
  <c r="P20" i="86"/>
  <c r="O20" i="86"/>
  <c r="N20" i="86"/>
  <c r="L20" i="86"/>
  <c r="E20" i="86"/>
  <c r="D20" i="86"/>
  <c r="C20" i="86"/>
  <c r="R19" i="86"/>
  <c r="P19" i="86"/>
  <c r="O19" i="86"/>
  <c r="N19" i="86"/>
  <c r="L19" i="86"/>
  <c r="E19" i="86"/>
  <c r="D19" i="86"/>
  <c r="C19" i="86"/>
  <c r="R18" i="86"/>
  <c r="P18" i="86"/>
  <c r="O18" i="86"/>
  <c r="N18" i="86"/>
  <c r="L18" i="86"/>
  <c r="E18" i="86"/>
  <c r="D18" i="86"/>
  <c r="C18" i="86"/>
  <c r="R17" i="86"/>
  <c r="R22" i="86" s="1"/>
  <c r="P17" i="86"/>
  <c r="P22" i="86" s="1"/>
  <c r="O17" i="86"/>
  <c r="O22" i="86" s="1"/>
  <c r="N17" i="86"/>
  <c r="N22" i="86" s="1"/>
  <c r="L17" i="86"/>
  <c r="L22" i="86" s="1"/>
  <c r="E17" i="86"/>
  <c r="E22" i="86" s="1"/>
  <c r="D17" i="86"/>
  <c r="C17" i="86"/>
  <c r="R13" i="86"/>
  <c r="P13" i="86"/>
  <c r="O13" i="86"/>
  <c r="N13" i="86"/>
  <c r="L13" i="86"/>
  <c r="E13" i="86"/>
  <c r="D13" i="86"/>
  <c r="C13" i="86"/>
  <c r="R12" i="86"/>
  <c r="P12" i="86"/>
  <c r="O12" i="86"/>
  <c r="N12" i="86"/>
  <c r="L12" i="86"/>
  <c r="E12" i="86"/>
  <c r="D12" i="86"/>
  <c r="C12" i="86"/>
  <c r="R11" i="86"/>
  <c r="P11" i="86"/>
  <c r="O11" i="86"/>
  <c r="N11" i="86"/>
  <c r="L11" i="86"/>
  <c r="E11" i="86"/>
  <c r="D11" i="86"/>
  <c r="C11" i="86"/>
  <c r="R10" i="86"/>
  <c r="R15" i="86" s="1"/>
  <c r="P10" i="86"/>
  <c r="P15" i="86" s="1"/>
  <c r="O10" i="86"/>
  <c r="O15" i="86" s="1"/>
  <c r="N10" i="86"/>
  <c r="N15" i="86" s="1"/>
  <c r="L10" i="86"/>
  <c r="L15" i="86" s="1"/>
  <c r="E10" i="86"/>
  <c r="E15" i="86" s="1"/>
  <c r="D10" i="86"/>
  <c r="C10" i="86"/>
  <c r="E4" i="86"/>
  <c r="S24" i="86" s="1"/>
  <c r="D1" i="86"/>
  <c r="AL24" i="85"/>
  <c r="D24" i="85"/>
  <c r="C24" i="85"/>
  <c r="AL22" i="85"/>
  <c r="D22" i="85"/>
  <c r="C22" i="85"/>
  <c r="A22" i="85"/>
  <c r="A24" i="85" s="1"/>
  <c r="AL20" i="85"/>
  <c r="D20" i="85"/>
  <c r="C20" i="85"/>
  <c r="A20" i="85"/>
  <c r="AL18" i="85"/>
  <c r="D18" i="85"/>
  <c r="C18" i="85"/>
  <c r="AL15" i="85"/>
  <c r="D15" i="85"/>
  <c r="C15" i="85"/>
  <c r="AL13" i="85"/>
  <c r="D13" i="85"/>
  <c r="C13" i="85"/>
  <c r="AL11" i="85"/>
  <c r="D11" i="85"/>
  <c r="C11" i="85"/>
  <c r="AL9" i="85"/>
  <c r="D9" i="85"/>
  <c r="C9" i="85"/>
  <c r="F5" i="85"/>
  <c r="F6" i="85" s="1"/>
  <c r="S1" i="85"/>
  <c r="R19" i="84"/>
  <c r="P19" i="84"/>
  <c r="O19" i="84"/>
  <c r="N19" i="84"/>
  <c r="L19" i="84"/>
  <c r="E19" i="84"/>
  <c r="D19" i="84"/>
  <c r="C19" i="84"/>
  <c r="R18" i="84"/>
  <c r="P18" i="84"/>
  <c r="O18" i="84"/>
  <c r="N18" i="84"/>
  <c r="L18" i="84"/>
  <c r="E18" i="84"/>
  <c r="D18" i="84"/>
  <c r="C18" i="84"/>
  <c r="R17" i="84"/>
  <c r="P17" i="84"/>
  <c r="O17" i="84"/>
  <c r="N17" i="84"/>
  <c r="L17" i="84"/>
  <c r="E17" i="84"/>
  <c r="D17" i="84"/>
  <c r="C17" i="84"/>
  <c r="R16" i="84"/>
  <c r="R21" i="84" s="1"/>
  <c r="P16" i="84"/>
  <c r="P21" i="84" s="1"/>
  <c r="O16" i="84"/>
  <c r="O21" i="84" s="1"/>
  <c r="N16" i="84"/>
  <c r="N21" i="84" s="1"/>
  <c r="L16" i="84"/>
  <c r="L21" i="84" s="1"/>
  <c r="E16" i="84"/>
  <c r="E21" i="84" s="1"/>
  <c r="D16" i="84"/>
  <c r="C16" i="84"/>
  <c r="R12" i="84"/>
  <c r="P12" i="84"/>
  <c r="O12" i="84"/>
  <c r="N12" i="84"/>
  <c r="L12" i="84"/>
  <c r="E12" i="84"/>
  <c r="D12" i="84"/>
  <c r="C12" i="84"/>
  <c r="R11" i="84"/>
  <c r="P11" i="84"/>
  <c r="O11" i="84"/>
  <c r="N11" i="84"/>
  <c r="L11" i="84"/>
  <c r="E11" i="84"/>
  <c r="D11" i="84"/>
  <c r="C11" i="84"/>
  <c r="R10" i="84"/>
  <c r="R14" i="84" s="1"/>
  <c r="P10" i="84"/>
  <c r="P14" i="84" s="1"/>
  <c r="O10" i="84"/>
  <c r="O14" i="84" s="1"/>
  <c r="N10" i="84"/>
  <c r="N14" i="84" s="1"/>
  <c r="L10" i="84"/>
  <c r="L14" i="84" s="1"/>
  <c r="E10" i="84"/>
  <c r="E14" i="84" s="1"/>
  <c r="D10" i="84"/>
  <c r="C10" i="84"/>
  <c r="E4" i="84"/>
  <c r="S23" i="84" s="1"/>
  <c r="AL22" i="83"/>
  <c r="D22" i="83"/>
  <c r="C22" i="83"/>
  <c r="AL20" i="83"/>
  <c r="D20" i="83"/>
  <c r="C20" i="83"/>
  <c r="AL18" i="83"/>
  <c r="D18" i="83"/>
  <c r="C18" i="83"/>
  <c r="A18" i="83"/>
  <c r="A20" i="83" s="1"/>
  <c r="A22" i="83" s="1"/>
  <c r="AL16" i="83"/>
  <c r="D16" i="83"/>
  <c r="C16" i="83"/>
  <c r="AL13" i="83"/>
  <c r="D13" i="83"/>
  <c r="C13" i="83"/>
  <c r="AL11" i="83"/>
  <c r="D11" i="83"/>
  <c r="C11" i="83"/>
  <c r="AL9" i="83"/>
  <c r="D9" i="83"/>
  <c r="C9" i="83"/>
  <c r="F5" i="83"/>
  <c r="F6" i="83" s="1"/>
  <c r="S1" i="83"/>
  <c r="L17" i="82"/>
  <c r="L18" i="82"/>
  <c r="L19" i="82"/>
  <c r="L16" i="82"/>
  <c r="L11" i="82"/>
  <c r="L12" i="82"/>
  <c r="L10" i="82"/>
  <c r="E10" i="82"/>
  <c r="C18" i="82"/>
  <c r="D18" i="82"/>
  <c r="E18" i="82"/>
  <c r="N18" i="82"/>
  <c r="O18" i="82"/>
  <c r="P18" i="82"/>
  <c r="R18" i="82"/>
  <c r="C19" i="82"/>
  <c r="D19" i="82"/>
  <c r="E19" i="82"/>
  <c r="N19" i="82"/>
  <c r="O19" i="82"/>
  <c r="P19" i="82"/>
  <c r="R19" i="82"/>
  <c r="C12" i="82"/>
  <c r="D12" i="82"/>
  <c r="E12" i="82"/>
  <c r="N12" i="82"/>
  <c r="O12" i="82"/>
  <c r="P12" i="82"/>
  <c r="R12" i="82"/>
  <c r="AL20" i="81"/>
  <c r="D20" i="81"/>
  <c r="C20" i="81"/>
  <c r="AL13" i="81"/>
  <c r="D13" i="81"/>
  <c r="C13" i="81"/>
  <c r="A17" i="80"/>
  <c r="A18" i="80"/>
  <c r="R17" i="82"/>
  <c r="P17" i="82"/>
  <c r="O17" i="82"/>
  <c r="N17" i="82"/>
  <c r="E17" i="82"/>
  <c r="D17" i="82"/>
  <c r="C17" i="82"/>
  <c r="R16" i="82"/>
  <c r="P16" i="82"/>
  <c r="O16" i="82"/>
  <c r="N16" i="82"/>
  <c r="E16" i="82"/>
  <c r="D16" i="82"/>
  <c r="C16" i="82"/>
  <c r="R11" i="82"/>
  <c r="P11" i="82"/>
  <c r="O11" i="82"/>
  <c r="N11" i="82"/>
  <c r="E11" i="82"/>
  <c r="D11" i="82"/>
  <c r="C11" i="82"/>
  <c r="R10" i="82"/>
  <c r="P10" i="82"/>
  <c r="O10" i="82"/>
  <c r="N10" i="82"/>
  <c r="D10" i="82"/>
  <c r="C10" i="82"/>
  <c r="E4" i="82"/>
  <c r="S23" i="82" s="1"/>
  <c r="D1" i="82"/>
  <c r="AL22" i="81"/>
  <c r="D22" i="81"/>
  <c r="C22" i="81"/>
  <c r="AL18" i="81"/>
  <c r="D18" i="81"/>
  <c r="C18" i="81"/>
  <c r="A18" i="81"/>
  <c r="A20" i="81" s="1"/>
  <c r="A22" i="81" s="1"/>
  <c r="AL16" i="81"/>
  <c r="D16" i="81"/>
  <c r="C16" i="81"/>
  <c r="AL11" i="81"/>
  <c r="D11" i="81"/>
  <c r="C11" i="81"/>
  <c r="AL9" i="81"/>
  <c r="D9" i="81"/>
  <c r="C9" i="81"/>
  <c r="F5" i="81"/>
  <c r="F6" i="81" s="1"/>
  <c r="S1" i="81"/>
  <c r="M78" i="80"/>
  <c r="N108" i="80" s="1"/>
  <c r="M77" i="80"/>
  <c r="N106" i="80" s="1"/>
  <c r="M76" i="80"/>
  <c r="N104" i="80" s="1"/>
  <c r="M75" i="80"/>
  <c r="N102" i="80" s="1"/>
  <c r="M74" i="80"/>
  <c r="N100" i="80" s="1"/>
  <c r="M73" i="80"/>
  <c r="N98" i="80" s="1"/>
  <c r="M72" i="80"/>
  <c r="N96" i="80" s="1"/>
  <c r="M71" i="80"/>
  <c r="N94" i="80" s="1"/>
  <c r="M70" i="80"/>
  <c r="N92" i="80" s="1"/>
  <c r="M69" i="80"/>
  <c r="N90" i="80" s="1"/>
  <c r="M68" i="80"/>
  <c r="N88" i="80" s="1"/>
  <c r="M67" i="80"/>
  <c r="N86" i="80" s="1"/>
  <c r="M66" i="80"/>
  <c r="N84" i="80" s="1"/>
  <c r="M65" i="80"/>
  <c r="N82" i="80" s="1"/>
  <c r="M64" i="80"/>
  <c r="N80" i="80" s="1"/>
  <c r="M63" i="80"/>
  <c r="N78" i="80" s="1"/>
  <c r="M62" i="80"/>
  <c r="N76" i="80" s="1"/>
  <c r="M61" i="80"/>
  <c r="N74" i="80" s="1"/>
  <c r="M60" i="80"/>
  <c r="N72" i="80" s="1"/>
  <c r="M59" i="80"/>
  <c r="N70" i="80" s="1"/>
  <c r="M58" i="80"/>
  <c r="N68" i="80" s="1"/>
  <c r="M57" i="80"/>
  <c r="N66" i="80" s="1"/>
  <c r="M56" i="80"/>
  <c r="N64" i="80" s="1"/>
  <c r="M55" i="80"/>
  <c r="N62" i="80" s="1"/>
  <c r="M54" i="80"/>
  <c r="N60" i="80" s="1"/>
  <c r="M53" i="80"/>
  <c r="N58" i="80" s="1"/>
  <c r="M52" i="80"/>
  <c r="N56" i="80" s="1"/>
  <c r="M51" i="80"/>
  <c r="N54" i="80" s="1"/>
  <c r="M50" i="80"/>
  <c r="N52" i="80" s="1"/>
  <c r="M49" i="80"/>
  <c r="N50" i="80" s="1"/>
  <c r="M48" i="80"/>
  <c r="N48" i="80" s="1"/>
  <c r="K26" i="80"/>
  <c r="K27" i="80" s="1"/>
  <c r="U22" i="80" a="1"/>
  <c r="U22" i="80" s="1"/>
  <c r="T22" i="80" a="1"/>
  <c r="T22" i="80" s="1"/>
  <c r="S22" i="80" a="1"/>
  <c r="S22" i="80" s="1"/>
  <c r="R22" i="80" a="1"/>
  <c r="R22" i="80" s="1"/>
  <c r="Q22" i="80" a="1"/>
  <c r="Q22" i="80" s="1"/>
  <c r="P22" i="80" a="1"/>
  <c r="P22" i="80" s="1"/>
  <c r="O22" i="80" a="1"/>
  <c r="O22" i="80" s="1"/>
  <c r="N22" i="80" a="1"/>
  <c r="N22" i="80" s="1"/>
  <c r="M22" i="80" a="1"/>
  <c r="M22" i="80" s="1"/>
  <c r="L22" i="80" a="1"/>
  <c r="L22" i="80" s="1"/>
  <c r="K22" i="80" a="1"/>
  <c r="K22" i="80" s="1"/>
  <c r="J22" i="80" a="1"/>
  <c r="J22" i="80" s="1"/>
  <c r="U21" i="80"/>
  <c r="T21" i="80"/>
  <c r="S21" i="80"/>
  <c r="R21" i="80"/>
  <c r="Q21" i="80"/>
  <c r="P21" i="80"/>
  <c r="O21" i="80"/>
  <c r="N21" i="80"/>
  <c r="M21" i="80"/>
  <c r="L21" i="80"/>
  <c r="K21" i="80"/>
  <c r="J21" i="80"/>
  <c r="H21" i="80"/>
  <c r="G21" i="80"/>
  <c r="F21" i="80"/>
  <c r="E21" i="80"/>
  <c r="A20" i="80"/>
  <c r="A19" i="80"/>
  <c r="A16" i="80"/>
  <c r="A15" i="80"/>
  <c r="A14" i="80"/>
  <c r="A13" i="80"/>
  <c r="A12" i="80"/>
  <c r="A11" i="80"/>
  <c r="A6" i="80"/>
  <c r="W326" i="34" l="1"/>
  <c r="U326" i="34"/>
  <c r="Z326" i="34"/>
  <c r="A326" i="34"/>
  <c r="A327" i="34"/>
  <c r="U327" i="34"/>
  <c r="U325" i="34"/>
  <c r="W327" i="34"/>
  <c r="W325" i="34"/>
  <c r="A325" i="34"/>
  <c r="W68" i="34"/>
  <c r="U68" i="34"/>
  <c r="Z68" i="34"/>
  <c r="W121" i="34"/>
  <c r="U121" i="34"/>
  <c r="Z121" i="34"/>
  <c r="Z244" i="34"/>
  <c r="W244" i="34"/>
  <c r="U244" i="34"/>
  <c r="W189" i="34"/>
  <c r="U189" i="34"/>
  <c r="Z189" i="34"/>
  <c r="U245" i="34"/>
  <c r="Z245" i="34"/>
  <c r="W245" i="34"/>
  <c r="Z123" i="34"/>
  <c r="W123" i="34"/>
  <c r="U123" i="34"/>
  <c r="Z69" i="34"/>
  <c r="W69" i="34"/>
  <c r="U69" i="34"/>
  <c r="A69" i="34"/>
  <c r="Z190" i="34"/>
  <c r="W190" i="34"/>
  <c r="U190" i="34"/>
  <c r="W122" i="34"/>
  <c r="U122" i="34"/>
  <c r="Z122" i="34"/>
  <c r="A121" i="34"/>
  <c r="U188" i="34"/>
  <c r="Z188" i="34"/>
  <c r="W188" i="34"/>
  <c r="U70" i="34"/>
  <c r="W70" i="34"/>
  <c r="Z70" i="34"/>
  <c r="W243" i="34"/>
  <c r="U243" i="34"/>
  <c r="Z243" i="34"/>
  <c r="A244" i="34"/>
  <c r="A190" i="34"/>
  <c r="A68" i="34"/>
  <c r="G5" i="87"/>
  <c r="D1" i="88"/>
  <c r="G5" i="85"/>
  <c r="G6" i="85" s="1"/>
  <c r="H5" i="85"/>
  <c r="G5" i="83"/>
  <c r="D1" i="84"/>
  <c r="E21" i="82"/>
  <c r="R21" i="82"/>
  <c r="O14" i="82"/>
  <c r="N21" i="82"/>
  <c r="P14" i="82"/>
  <c r="R14" i="82"/>
  <c r="O21" i="82"/>
  <c r="N14" i="82"/>
  <c r="P21" i="82"/>
  <c r="G5" i="81"/>
  <c r="E14" i="82"/>
  <c r="G6" i="87" l="1"/>
  <c r="H5" i="87"/>
  <c r="I5" i="85"/>
  <c r="H6" i="85"/>
  <c r="G6" i="83"/>
  <c r="H5" i="83"/>
  <c r="G6" i="81"/>
  <c r="H5" i="81"/>
  <c r="I5" i="87" l="1"/>
  <c r="H6" i="87"/>
  <c r="J5" i="85"/>
  <c r="I6" i="85"/>
  <c r="I5" i="83"/>
  <c r="H6" i="83"/>
  <c r="I5" i="81"/>
  <c r="H6" i="81"/>
  <c r="J5" i="87" l="1"/>
  <c r="I6" i="87"/>
  <c r="J6" i="85"/>
  <c r="K5" i="85"/>
  <c r="J5" i="83"/>
  <c r="I6" i="83"/>
  <c r="J5" i="81"/>
  <c r="I6" i="81"/>
  <c r="J6" i="87" l="1"/>
  <c r="K5" i="87"/>
  <c r="K6" i="85"/>
  <c r="L5" i="85"/>
  <c r="J6" i="83"/>
  <c r="K5" i="83"/>
  <c r="J6" i="81"/>
  <c r="K5" i="81"/>
  <c r="K6" i="87" l="1"/>
  <c r="L5" i="87"/>
  <c r="M5" i="85"/>
  <c r="L6" i="85"/>
  <c r="K6" i="83"/>
  <c r="L5" i="83"/>
  <c r="K6" i="81"/>
  <c r="L5" i="81"/>
  <c r="M5" i="87" l="1"/>
  <c r="L6" i="87"/>
  <c r="N5" i="85"/>
  <c r="M6" i="85"/>
  <c r="M5" i="83"/>
  <c r="L6" i="83"/>
  <c r="M5" i="81"/>
  <c r="L6" i="81"/>
  <c r="N5" i="87" l="1"/>
  <c r="M6" i="87"/>
  <c r="N6" i="85"/>
  <c r="O5" i="85"/>
  <c r="N5" i="83"/>
  <c r="M6" i="83"/>
  <c r="N5" i="81"/>
  <c r="M6" i="81"/>
  <c r="N6" i="87" l="1"/>
  <c r="O5" i="87"/>
  <c r="O6" i="85"/>
  <c r="P5" i="85"/>
  <c r="N6" i="83"/>
  <c r="O5" i="83"/>
  <c r="N6" i="81"/>
  <c r="O5" i="81"/>
  <c r="O6" i="87" l="1"/>
  <c r="P5" i="87"/>
  <c r="Q5" i="85"/>
  <c r="P6" i="85"/>
  <c r="O6" i="83"/>
  <c r="P5" i="83"/>
  <c r="O6" i="81"/>
  <c r="P5" i="81"/>
  <c r="Q5" i="87" l="1"/>
  <c r="P6" i="87"/>
  <c r="R5" i="85"/>
  <c r="Q6" i="85"/>
  <c r="Q5" i="83"/>
  <c r="P6" i="83"/>
  <c r="Q5" i="81"/>
  <c r="P6" i="81"/>
  <c r="R5" i="87" l="1"/>
  <c r="Q6" i="87"/>
  <c r="R6" i="85"/>
  <c r="S5" i="85"/>
  <c r="R5" i="83"/>
  <c r="Q6" i="83"/>
  <c r="R5" i="81"/>
  <c r="Q6" i="81"/>
  <c r="R6" i="87" l="1"/>
  <c r="S5" i="87"/>
  <c r="S6" i="85"/>
  <c r="T5" i="85"/>
  <c r="R6" i="83"/>
  <c r="S5" i="83"/>
  <c r="R6" i="81"/>
  <c r="S5" i="81"/>
  <c r="S6" i="87" l="1"/>
  <c r="T5" i="87"/>
  <c r="U5" i="85"/>
  <c r="T6" i="85"/>
  <c r="S6" i="83"/>
  <c r="T5" i="83"/>
  <c r="S6" i="81"/>
  <c r="T5" i="81"/>
  <c r="U5" i="87" l="1"/>
  <c r="T6" i="87"/>
  <c r="V5" i="85"/>
  <c r="U6" i="85"/>
  <c r="U5" i="83"/>
  <c r="T6" i="83"/>
  <c r="U5" i="81"/>
  <c r="T6" i="81"/>
  <c r="V5" i="87" l="1"/>
  <c r="U6" i="87"/>
  <c r="V6" i="85"/>
  <c r="W5" i="85"/>
  <c r="V5" i="83"/>
  <c r="U6" i="83"/>
  <c r="V5" i="81"/>
  <c r="U6" i="81"/>
  <c r="V6" i="87" l="1"/>
  <c r="W5" i="87"/>
  <c r="W6" i="85"/>
  <c r="X5" i="85"/>
  <c r="V6" i="83"/>
  <c r="W5" i="83"/>
  <c r="V6" i="81"/>
  <c r="W5" i="81"/>
  <c r="W6" i="87" l="1"/>
  <c r="X5" i="87"/>
  <c r="Y5" i="85"/>
  <c r="X6" i="85"/>
  <c r="W6" i="83"/>
  <c r="X5" i="83"/>
  <c r="W6" i="81"/>
  <c r="X5" i="81"/>
  <c r="Y5" i="87" l="1"/>
  <c r="X6" i="87"/>
  <c r="Z5" i="85"/>
  <c r="Y6" i="85"/>
  <c r="Y5" i="83"/>
  <c r="X6" i="83"/>
  <c r="Y5" i="81"/>
  <c r="X6" i="81"/>
  <c r="Z5" i="87" l="1"/>
  <c r="Y6" i="87"/>
  <c r="Z6" i="85"/>
  <c r="AA5" i="85"/>
  <c r="Z5" i="83"/>
  <c r="Y6" i="83"/>
  <c r="Z5" i="81"/>
  <c r="Y6" i="81"/>
  <c r="Z6" i="87" l="1"/>
  <c r="AA5" i="87"/>
  <c r="AA6" i="85"/>
  <c r="AB5" i="85"/>
  <c r="Z6" i="83"/>
  <c r="AA5" i="83"/>
  <c r="Z6" i="81"/>
  <c r="AA5" i="81"/>
  <c r="AA6" i="87" l="1"/>
  <c r="AB5" i="87"/>
  <c r="AC5" i="85"/>
  <c r="AB6" i="85"/>
  <c r="AA6" i="83"/>
  <c r="AB5" i="83"/>
  <c r="AA6" i="81"/>
  <c r="AB5" i="81"/>
  <c r="AC5" i="87" l="1"/>
  <c r="AB6" i="87"/>
  <c r="AD5" i="85"/>
  <c r="AC6" i="85"/>
  <c r="AC5" i="83"/>
  <c r="AB6" i="83"/>
  <c r="AC5" i="81"/>
  <c r="AB6" i="81"/>
  <c r="AD5" i="87" l="1"/>
  <c r="AC6" i="87"/>
  <c r="AD6" i="85"/>
  <c r="AE5" i="85"/>
  <c r="AD5" i="83"/>
  <c r="AC6" i="83"/>
  <c r="AD5" i="81"/>
  <c r="AC6" i="81"/>
  <c r="AD6" i="87" l="1"/>
  <c r="AE5" i="87"/>
  <c r="AE6" i="85"/>
  <c r="AF5" i="85"/>
  <c r="AD6" i="83"/>
  <c r="AE5" i="83"/>
  <c r="AD6" i="81"/>
  <c r="AE5" i="81"/>
  <c r="AE6" i="87" l="1"/>
  <c r="AF5" i="87"/>
  <c r="AG5" i="85"/>
  <c r="AF6" i="85"/>
  <c r="AE6" i="83"/>
  <c r="AF5" i="83"/>
  <c r="AE6" i="81"/>
  <c r="AF5" i="81"/>
  <c r="AG5" i="87" l="1"/>
  <c r="AF6" i="87"/>
  <c r="AH5" i="85"/>
  <c r="AG6" i="85"/>
  <c r="AG5" i="83"/>
  <c r="AF6" i="83"/>
  <c r="AG5" i="81"/>
  <c r="AF6" i="81"/>
  <c r="AH5" i="87" l="1"/>
  <c r="AG6" i="87"/>
  <c r="AH6" i="85"/>
  <c r="AI5" i="85"/>
  <c r="AH5" i="83"/>
  <c r="AG6" i="83"/>
  <c r="AH5" i="81"/>
  <c r="AG6" i="81"/>
  <c r="AH6" i="87" l="1"/>
  <c r="AI5" i="87"/>
  <c r="AI6" i="85"/>
  <c r="AJ5" i="85"/>
  <c r="AJ6" i="85" s="1"/>
  <c r="AH6" i="83"/>
  <c r="AI5" i="83"/>
  <c r="AH6" i="81"/>
  <c r="AI5" i="81"/>
  <c r="AI6" i="87" l="1"/>
  <c r="AJ5" i="87"/>
  <c r="AJ6" i="87" s="1"/>
  <c r="AK22" i="85"/>
  <c r="AM13" i="85"/>
  <c r="H12" i="86" s="1"/>
  <c r="AM22" i="85"/>
  <c r="H19" i="86" s="1"/>
  <c r="AK24" i="85"/>
  <c r="AM15" i="85"/>
  <c r="H13" i="86" s="1"/>
  <c r="AK11" i="85"/>
  <c r="AM18" i="85"/>
  <c r="H17" i="86" s="1"/>
  <c r="AM9" i="85"/>
  <c r="H10" i="86" s="1"/>
  <c r="AK15" i="85"/>
  <c r="AK13" i="85"/>
  <c r="AK9" i="85"/>
  <c r="AM11" i="85"/>
  <c r="H11" i="86" s="1"/>
  <c r="AM24" i="85"/>
  <c r="H20" i="86" s="1"/>
  <c r="AK18" i="85"/>
  <c r="AM20" i="85"/>
  <c r="H18" i="86" s="1"/>
  <c r="AK20" i="85"/>
  <c r="AI6" i="83"/>
  <c r="AJ5" i="83"/>
  <c r="AJ6" i="83" s="1"/>
  <c r="AI6" i="81"/>
  <c r="AJ5" i="81"/>
  <c r="AJ6" i="81" s="1"/>
  <c r="AK11" i="87" l="1"/>
  <c r="AM20" i="87"/>
  <c r="H18" i="88" s="1"/>
  <c r="AK13" i="87"/>
  <c r="AM11" i="87"/>
  <c r="H11" i="88" s="1"/>
  <c r="AK18" i="87"/>
  <c r="AM24" i="87"/>
  <c r="H20" i="88" s="1"/>
  <c r="AK15" i="87"/>
  <c r="AM13" i="87"/>
  <c r="H12" i="88" s="1"/>
  <c r="AK22" i="87"/>
  <c r="AK24" i="87"/>
  <c r="AK20" i="87"/>
  <c r="AM15" i="87"/>
  <c r="H13" i="88" s="1"/>
  <c r="AK9" i="87"/>
  <c r="AM9" i="87"/>
  <c r="H10" i="88" s="1"/>
  <c r="AM22" i="87"/>
  <c r="H19" i="88" s="1"/>
  <c r="AM18" i="87"/>
  <c r="H17" i="88" s="1"/>
  <c r="F17" i="86"/>
  <c r="J17" i="86" s="1"/>
  <c r="AN18" i="85"/>
  <c r="F18" i="86"/>
  <c r="J18" i="86" s="1"/>
  <c r="AN20" i="85"/>
  <c r="AN24" i="85"/>
  <c r="F20" i="86"/>
  <c r="J20" i="86" s="1"/>
  <c r="F10" i="86"/>
  <c r="J10" i="86" s="1"/>
  <c r="AN9" i="85"/>
  <c r="U2" i="86"/>
  <c r="F11" i="86"/>
  <c r="J11" i="86" s="1"/>
  <c r="AN11" i="85"/>
  <c r="AN13" i="85"/>
  <c r="F12" i="86"/>
  <c r="J12" i="86" s="1"/>
  <c r="F13" i="86"/>
  <c r="J13" i="86" s="1"/>
  <c r="AN15" i="85"/>
  <c r="F19" i="86"/>
  <c r="J19" i="86" s="1"/>
  <c r="AN22" i="85"/>
  <c r="AK18" i="83"/>
  <c r="AM13" i="83"/>
  <c r="H12" i="84" s="1"/>
  <c r="AM20" i="83"/>
  <c r="H18" i="84" s="1"/>
  <c r="AM22" i="83"/>
  <c r="H19" i="84" s="1"/>
  <c r="AM9" i="83"/>
  <c r="H10" i="84" s="1"/>
  <c r="AK9" i="83"/>
  <c r="AK20" i="83"/>
  <c r="AM11" i="83"/>
  <c r="H11" i="84" s="1"/>
  <c r="AK11" i="83"/>
  <c r="AK22" i="83"/>
  <c r="AK16" i="83"/>
  <c r="AK13" i="83"/>
  <c r="AM16" i="83"/>
  <c r="H16" i="84" s="1"/>
  <c r="AM18" i="83"/>
  <c r="H17" i="84" s="1"/>
  <c r="AK20" i="81"/>
  <c r="AM13" i="81"/>
  <c r="H12" i="82" s="1"/>
  <c r="AM20" i="81"/>
  <c r="H18" i="82" s="1"/>
  <c r="AK13" i="81"/>
  <c r="AM9" i="81"/>
  <c r="H10" i="82" s="1"/>
  <c r="AK16" i="81"/>
  <c r="AM11" i="81"/>
  <c r="H11" i="82" s="1"/>
  <c r="AM16" i="81"/>
  <c r="H16" i="82" s="1"/>
  <c r="AK9" i="81"/>
  <c r="AK22" i="81"/>
  <c r="F19" i="82" s="1"/>
  <c r="AK18" i="81"/>
  <c r="AK11" i="81"/>
  <c r="AM18" i="81"/>
  <c r="H17" i="82" s="1"/>
  <c r="AM22" i="81"/>
  <c r="H19" i="82" s="1"/>
  <c r="U2" i="82" l="1"/>
  <c r="I17" i="82" s="1"/>
  <c r="F18" i="88"/>
  <c r="J18" i="88" s="1"/>
  <c r="AN20" i="87"/>
  <c r="F13" i="88"/>
  <c r="J13" i="88" s="1"/>
  <c r="AN15" i="87"/>
  <c r="AN13" i="87"/>
  <c r="F12" i="88"/>
  <c r="J12" i="88" s="1"/>
  <c r="AN24" i="87"/>
  <c r="F20" i="88"/>
  <c r="J20" i="88" s="1"/>
  <c r="F10" i="88"/>
  <c r="J10" i="88" s="1"/>
  <c r="AN9" i="87"/>
  <c r="U2" i="88"/>
  <c r="F19" i="88"/>
  <c r="J19" i="88" s="1"/>
  <c r="AN22" i="87"/>
  <c r="F17" i="88"/>
  <c r="J17" i="88" s="1"/>
  <c r="AN18" i="87"/>
  <c r="F11" i="88"/>
  <c r="J11" i="88" s="1"/>
  <c r="AN11" i="87"/>
  <c r="G20" i="86"/>
  <c r="G18" i="86"/>
  <c r="G13" i="86"/>
  <c r="G19" i="86"/>
  <c r="G11" i="86"/>
  <c r="I10" i="86"/>
  <c r="I18" i="86"/>
  <c r="I11" i="86"/>
  <c r="I19" i="86"/>
  <c r="I13" i="86"/>
  <c r="G12" i="86"/>
  <c r="G17" i="86"/>
  <c r="I12" i="86"/>
  <c r="I20" i="86"/>
  <c r="I17" i="86"/>
  <c r="G10" i="86"/>
  <c r="F16" i="84"/>
  <c r="J16" i="84" s="1"/>
  <c r="AN16" i="83"/>
  <c r="F18" i="84"/>
  <c r="J18" i="84" s="1"/>
  <c r="AN20" i="83"/>
  <c r="AN22" i="83"/>
  <c r="F19" i="84"/>
  <c r="J19" i="84" s="1"/>
  <c r="F10" i="84"/>
  <c r="J10" i="84" s="1"/>
  <c r="AN9" i="83"/>
  <c r="U2" i="84"/>
  <c r="F11" i="84"/>
  <c r="J11" i="84" s="1"/>
  <c r="AN11" i="83"/>
  <c r="AN13" i="83"/>
  <c r="F12" i="84"/>
  <c r="J12" i="84" s="1"/>
  <c r="F17" i="84"/>
  <c r="J17" i="84" s="1"/>
  <c r="AN18" i="83"/>
  <c r="G19" i="82"/>
  <c r="J19" i="82"/>
  <c r="AN13" i="81"/>
  <c r="F12" i="82"/>
  <c r="AN20" i="81"/>
  <c r="F18" i="82"/>
  <c r="AN22" i="81"/>
  <c r="F11" i="82"/>
  <c r="AN11" i="81"/>
  <c r="AN9" i="81"/>
  <c r="F10" i="82"/>
  <c r="F16" i="82"/>
  <c r="AN16" i="81"/>
  <c r="AN18" i="81"/>
  <c r="F17" i="82"/>
  <c r="I19" i="82" l="1"/>
  <c r="K19" i="82"/>
  <c r="I11" i="82"/>
  <c r="I16" i="82"/>
  <c r="I21" i="82" s="1"/>
  <c r="I10" i="82"/>
  <c r="I18" i="82"/>
  <c r="I12" i="82"/>
  <c r="G20" i="88"/>
  <c r="G13" i="88"/>
  <c r="G19" i="88"/>
  <c r="G12" i="88"/>
  <c r="I10" i="88"/>
  <c r="I18" i="88"/>
  <c r="I17" i="88"/>
  <c r="I11" i="88"/>
  <c r="I19" i="88"/>
  <c r="G11" i="88"/>
  <c r="K11" i="88" s="1"/>
  <c r="M11" i="88" s="1"/>
  <c r="Q11" i="88" s="1"/>
  <c r="S11" i="88" s="1"/>
  <c r="G10" i="88"/>
  <c r="I12" i="88"/>
  <c r="I20" i="88"/>
  <c r="G18" i="88"/>
  <c r="G17" i="88"/>
  <c r="I13" i="88"/>
  <c r="I22" i="86"/>
  <c r="K12" i="86"/>
  <c r="M12" i="86" s="1"/>
  <c r="Q12" i="86" s="1"/>
  <c r="S12" i="86" s="1"/>
  <c r="K10" i="86"/>
  <c r="G15" i="86"/>
  <c r="K17" i="86"/>
  <c r="G22" i="86"/>
  <c r="K19" i="86"/>
  <c r="M19" i="86" s="1"/>
  <c r="Q19" i="86" s="1"/>
  <c r="S19" i="86" s="1"/>
  <c r="K13" i="86"/>
  <c r="M13" i="86" s="1"/>
  <c r="Q13" i="86" s="1"/>
  <c r="S13" i="86" s="1"/>
  <c r="I15" i="86"/>
  <c r="K18" i="86"/>
  <c r="M18" i="86" s="1"/>
  <c r="Q18" i="86" s="1"/>
  <c r="S18" i="86" s="1"/>
  <c r="K11" i="86"/>
  <c r="M11" i="86" s="1"/>
  <c r="Q11" i="86" s="1"/>
  <c r="S11" i="86" s="1"/>
  <c r="K20" i="86"/>
  <c r="M20" i="86" s="1"/>
  <c r="Q20" i="86" s="1"/>
  <c r="S20" i="86" s="1"/>
  <c r="G19" i="84"/>
  <c r="G18" i="84"/>
  <c r="G12" i="84"/>
  <c r="I17" i="84"/>
  <c r="G11" i="84"/>
  <c r="G10" i="84"/>
  <c r="I11" i="84"/>
  <c r="I18" i="84"/>
  <c r="G17" i="84"/>
  <c r="K17" i="84" s="1"/>
  <c r="M17" i="84" s="1"/>
  <c r="Q17" i="84" s="1"/>
  <c r="S17" i="84" s="1"/>
  <c r="G16" i="84"/>
  <c r="I19" i="84"/>
  <c r="I10" i="84"/>
  <c r="I16" i="84"/>
  <c r="I12" i="84"/>
  <c r="J18" i="82"/>
  <c r="G18" i="82"/>
  <c r="K18" i="82" s="1"/>
  <c r="J12" i="82"/>
  <c r="G12" i="82"/>
  <c r="M19" i="82"/>
  <c r="Q19" i="82" s="1"/>
  <c r="S19" i="82" s="1"/>
  <c r="G10" i="82"/>
  <c r="J10" i="82"/>
  <c r="G17" i="82"/>
  <c r="K17" i="82" s="1"/>
  <c r="J17" i="82"/>
  <c r="G11" i="82"/>
  <c r="K11" i="82" s="1"/>
  <c r="J11" i="82"/>
  <c r="J16" i="82"/>
  <c r="G16" i="82"/>
  <c r="K12" i="82" l="1"/>
  <c r="I14" i="82"/>
  <c r="K13" i="88"/>
  <c r="M13" i="88" s="1"/>
  <c r="Q13" i="88" s="1"/>
  <c r="S13" i="88" s="1"/>
  <c r="K18" i="88"/>
  <c r="M18" i="88" s="1"/>
  <c r="Q18" i="88" s="1"/>
  <c r="S18" i="88" s="1"/>
  <c r="K19" i="88"/>
  <c r="M19" i="88" s="1"/>
  <c r="Q19" i="88" s="1"/>
  <c r="S19" i="88" s="1"/>
  <c r="K12" i="88"/>
  <c r="M12" i="88" s="1"/>
  <c r="Q12" i="88" s="1"/>
  <c r="S12" i="88" s="1"/>
  <c r="K17" i="88"/>
  <c r="G22" i="88"/>
  <c r="K10" i="88"/>
  <c r="G15" i="88"/>
  <c r="I22" i="88"/>
  <c r="I15" i="88"/>
  <c r="K20" i="88"/>
  <c r="M20" i="88" s="1"/>
  <c r="Q20" i="88" s="1"/>
  <c r="S20" i="88" s="1"/>
  <c r="K22" i="86"/>
  <c r="M17" i="86"/>
  <c r="K15" i="86"/>
  <c r="M10" i="86"/>
  <c r="K11" i="84"/>
  <c r="M11" i="84" s="1"/>
  <c r="Q11" i="84" s="1"/>
  <c r="S11" i="84" s="1"/>
  <c r="I14" i="84"/>
  <c r="K16" i="84"/>
  <c r="G21" i="84"/>
  <c r="K12" i="84"/>
  <c r="M12" i="84" s="1"/>
  <c r="Q12" i="84" s="1"/>
  <c r="S12" i="84" s="1"/>
  <c r="I21" i="84"/>
  <c r="K10" i="84"/>
  <c r="G14" i="84"/>
  <c r="K18" i="84"/>
  <c r="M18" i="84" s="1"/>
  <c r="Q18" i="84" s="1"/>
  <c r="S18" i="84" s="1"/>
  <c r="K19" i="84"/>
  <c r="M19" i="84" s="1"/>
  <c r="Q19" i="84" s="1"/>
  <c r="S19" i="84" s="1"/>
  <c r="M12" i="82"/>
  <c r="Q12" i="82" s="1"/>
  <c r="S12" i="82" s="1"/>
  <c r="M18" i="82"/>
  <c r="Q18" i="82" s="1"/>
  <c r="S18" i="82" s="1"/>
  <c r="L21" i="82"/>
  <c r="M17" i="82"/>
  <c r="Q17" i="82" s="1"/>
  <c r="S17" i="82" s="1"/>
  <c r="G14" i="82"/>
  <c r="K10" i="82"/>
  <c r="M11" i="82"/>
  <c r="Q11" i="82" s="1"/>
  <c r="S11" i="82" s="1"/>
  <c r="G21" i="82"/>
  <c r="K16" i="82"/>
  <c r="L14" i="82"/>
  <c r="K15" i="88" l="1"/>
  <c r="M10" i="88"/>
  <c r="K22" i="88"/>
  <c r="M17" i="88"/>
  <c r="Q10" i="86"/>
  <c r="M15" i="86"/>
  <c r="Q17" i="86"/>
  <c r="M22" i="86"/>
  <c r="K14" i="84"/>
  <c r="M10" i="84"/>
  <c r="K21" i="84"/>
  <c r="M16" i="84"/>
  <c r="K14" i="82"/>
  <c r="M10" i="82"/>
  <c r="K21" i="82"/>
  <c r="M16" i="82"/>
  <c r="Q17" i="88" l="1"/>
  <c r="M22" i="88"/>
  <c r="Q10" i="88"/>
  <c r="M15" i="88"/>
  <c r="S17" i="86"/>
  <c r="S22" i="86" s="1"/>
  <c r="Q22" i="86"/>
  <c r="S10" i="86"/>
  <c r="S15" i="86" s="1"/>
  <c r="Q15" i="86"/>
  <c r="Q16" i="84"/>
  <c r="M21" i="84"/>
  <c r="Q10" i="84"/>
  <c r="M14" i="84"/>
  <c r="Q10" i="82"/>
  <c r="M14" i="82"/>
  <c r="Q16" i="82"/>
  <c r="M21" i="82"/>
  <c r="S10" i="88" l="1"/>
  <c r="S15" i="88" s="1"/>
  <c r="Q15" i="88"/>
  <c r="S17" i="88"/>
  <c r="S22" i="88" s="1"/>
  <c r="Q22" i="88"/>
  <c r="S16" i="84"/>
  <c r="S21" i="84" s="1"/>
  <c r="Q21" i="84"/>
  <c r="S10" i="84"/>
  <c r="S14" i="84" s="1"/>
  <c r="Q14" i="84"/>
  <c r="Q21" i="82"/>
  <c r="S16" i="82"/>
  <c r="S21" i="82" s="1"/>
  <c r="Q14" i="82"/>
  <c r="S10" i="82"/>
  <c r="S14" i="82" s="1"/>
  <c r="A14" i="54" l="1"/>
  <c r="C20" i="54"/>
  <c r="C74" i="34" l="1"/>
  <c r="B74" i="34" s="1"/>
  <c r="T74" i="34" l="1"/>
  <c r="U74" i="34"/>
  <c r="R74" i="34"/>
  <c r="Z74" i="34"/>
  <c r="S74" i="34"/>
  <c r="W74" i="34"/>
  <c r="A74" i="34"/>
  <c r="A11" i="56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C324" i="34"/>
  <c r="K324" i="34" l="1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B323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32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99" i="34"/>
  <c r="K273" i="34"/>
  <c r="K274" i="34"/>
  <c r="R17" i="60"/>
  <c r="R18" i="60"/>
  <c r="P18" i="60"/>
  <c r="P17" i="60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72" i="34"/>
  <c r="K246" i="34"/>
  <c r="B26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84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R9" i="60"/>
  <c r="C9" i="60" s="1"/>
  <c r="P30" i="60"/>
  <c r="R30" i="60" s="1"/>
  <c r="C30" i="60" s="1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C27" i="60" s="1"/>
  <c r="X27" i="60"/>
  <c r="R28" i="60"/>
  <c r="C28" i="60" s="1"/>
  <c r="X29" i="60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16" i="60" l="1"/>
  <c r="U269" i="34"/>
  <c r="Z269" i="34"/>
  <c r="W269" i="34"/>
  <c r="A269" i="34"/>
  <c r="U273" i="34"/>
  <c r="Z273" i="34"/>
  <c r="W273" i="34"/>
  <c r="A273" i="34"/>
  <c r="U277" i="34"/>
  <c r="Z277" i="34"/>
  <c r="W277" i="34"/>
  <c r="A277" i="34"/>
  <c r="U281" i="34"/>
  <c r="Z281" i="34"/>
  <c r="W281" i="34"/>
  <c r="A281" i="34"/>
  <c r="U246" i="34"/>
  <c r="Z246" i="34"/>
  <c r="W246" i="34"/>
  <c r="A246" i="34"/>
  <c r="U250" i="34"/>
  <c r="Z250" i="34"/>
  <c r="W250" i="34"/>
  <c r="A250" i="34"/>
  <c r="U254" i="34"/>
  <c r="Z254" i="34"/>
  <c r="W254" i="34"/>
  <c r="A254" i="34"/>
  <c r="U258" i="34"/>
  <c r="Z258" i="34"/>
  <c r="W258" i="34"/>
  <c r="A258" i="34"/>
  <c r="U262" i="34"/>
  <c r="Z262" i="34"/>
  <c r="W262" i="34"/>
  <c r="A262" i="34"/>
  <c r="U301" i="34"/>
  <c r="Z301" i="34"/>
  <c r="W301" i="34"/>
  <c r="A301" i="34"/>
  <c r="U305" i="34"/>
  <c r="Z305" i="34"/>
  <c r="W305" i="34"/>
  <c r="A305" i="34"/>
  <c r="U309" i="34"/>
  <c r="Z309" i="34"/>
  <c r="A309" i="34"/>
  <c r="W309" i="34"/>
  <c r="U313" i="34"/>
  <c r="Z313" i="34"/>
  <c r="W313" i="34"/>
  <c r="A313" i="34"/>
  <c r="U317" i="34"/>
  <c r="Z317" i="34"/>
  <c r="A317" i="34"/>
  <c r="W317" i="34"/>
  <c r="Z321" i="34"/>
  <c r="W321" i="34"/>
  <c r="A321" i="34"/>
  <c r="U321" i="34"/>
  <c r="U266" i="34"/>
  <c r="Z266" i="34"/>
  <c r="W266" i="34"/>
  <c r="A266" i="34"/>
  <c r="U270" i="34"/>
  <c r="Z270" i="34"/>
  <c r="W270" i="34"/>
  <c r="A270" i="34"/>
  <c r="U274" i="34"/>
  <c r="Z274" i="34"/>
  <c r="W274" i="34"/>
  <c r="A274" i="34"/>
  <c r="U278" i="34"/>
  <c r="Z278" i="34"/>
  <c r="W278" i="34"/>
  <c r="A278" i="34"/>
  <c r="U282" i="34"/>
  <c r="Z282" i="34"/>
  <c r="W282" i="34"/>
  <c r="A282" i="34"/>
  <c r="W247" i="34"/>
  <c r="U247" i="34"/>
  <c r="Z247" i="34"/>
  <c r="A247" i="34"/>
  <c r="W251" i="34"/>
  <c r="U251" i="34"/>
  <c r="Z251" i="34"/>
  <c r="A251" i="34"/>
  <c r="W255" i="34"/>
  <c r="U255" i="34"/>
  <c r="Z255" i="34"/>
  <c r="A255" i="34"/>
  <c r="W259" i="34"/>
  <c r="U259" i="34"/>
  <c r="Z259" i="34"/>
  <c r="A259" i="34"/>
  <c r="W263" i="34"/>
  <c r="U263" i="34"/>
  <c r="Z263" i="34"/>
  <c r="A263" i="34"/>
  <c r="U302" i="34"/>
  <c r="Z302" i="34"/>
  <c r="W302" i="34"/>
  <c r="A302" i="34"/>
  <c r="U306" i="34"/>
  <c r="W306" i="34"/>
  <c r="A306" i="34"/>
  <c r="Z306" i="34"/>
  <c r="U310" i="34"/>
  <c r="W310" i="34"/>
  <c r="Z310" i="34"/>
  <c r="A310" i="34"/>
  <c r="U314" i="34"/>
  <c r="W314" i="34"/>
  <c r="A314" i="34"/>
  <c r="Z314" i="34"/>
  <c r="W318" i="34"/>
  <c r="A318" i="34"/>
  <c r="U318" i="34"/>
  <c r="Z318" i="34"/>
  <c r="W322" i="34"/>
  <c r="A322" i="34"/>
  <c r="U322" i="34"/>
  <c r="Z322" i="34"/>
  <c r="W267" i="34"/>
  <c r="U267" i="34"/>
  <c r="Z267" i="34"/>
  <c r="A267" i="34"/>
  <c r="W271" i="34"/>
  <c r="U271" i="34"/>
  <c r="Z271" i="34"/>
  <c r="A271" i="34"/>
  <c r="W275" i="34"/>
  <c r="U275" i="34"/>
  <c r="Z275" i="34"/>
  <c r="A275" i="34"/>
  <c r="W279" i="34"/>
  <c r="U279" i="34"/>
  <c r="Z279" i="34"/>
  <c r="A279" i="34"/>
  <c r="W283" i="34"/>
  <c r="U283" i="34"/>
  <c r="Z283" i="34"/>
  <c r="A283" i="34"/>
  <c r="Z248" i="34"/>
  <c r="W248" i="34"/>
  <c r="U248" i="34"/>
  <c r="A248" i="34"/>
  <c r="Z252" i="34"/>
  <c r="W252" i="34"/>
  <c r="U252" i="34"/>
  <c r="A252" i="34"/>
  <c r="Z256" i="34"/>
  <c r="W256" i="34"/>
  <c r="U256" i="34"/>
  <c r="A256" i="34"/>
  <c r="Z260" i="34"/>
  <c r="W260" i="34"/>
  <c r="U260" i="34"/>
  <c r="A260" i="34"/>
  <c r="Z264" i="34"/>
  <c r="W264" i="34"/>
  <c r="U264" i="34"/>
  <c r="A264" i="34"/>
  <c r="U324" i="34"/>
  <c r="A324" i="34"/>
  <c r="Z324" i="34"/>
  <c r="W324" i="34"/>
  <c r="W303" i="34"/>
  <c r="U303" i="34"/>
  <c r="Z303" i="34"/>
  <c r="A303" i="34"/>
  <c r="W307" i="34"/>
  <c r="Z307" i="34"/>
  <c r="U307" i="34"/>
  <c r="A307" i="34"/>
  <c r="W311" i="34"/>
  <c r="Z311" i="34"/>
  <c r="A311" i="34"/>
  <c r="U311" i="34"/>
  <c r="W315" i="34"/>
  <c r="Z315" i="34"/>
  <c r="U315" i="34"/>
  <c r="A315" i="34"/>
  <c r="W319" i="34"/>
  <c r="Z319" i="34"/>
  <c r="U319" i="34"/>
  <c r="A319" i="34"/>
  <c r="Z323" i="34"/>
  <c r="W323" i="34"/>
  <c r="A323" i="34"/>
  <c r="U323" i="34"/>
  <c r="Z268" i="34"/>
  <c r="W268" i="34"/>
  <c r="U268" i="34"/>
  <c r="A268" i="34"/>
  <c r="Z272" i="34"/>
  <c r="W272" i="34"/>
  <c r="U272" i="34"/>
  <c r="A272" i="34"/>
  <c r="Z276" i="34"/>
  <c r="W276" i="34"/>
  <c r="U276" i="34"/>
  <c r="A276" i="34"/>
  <c r="Z280" i="34"/>
  <c r="W280" i="34"/>
  <c r="U280" i="34"/>
  <c r="A280" i="34"/>
  <c r="Z284" i="34"/>
  <c r="W284" i="34"/>
  <c r="U284" i="34"/>
  <c r="A284" i="34"/>
  <c r="U249" i="34"/>
  <c r="Z249" i="34"/>
  <c r="W249" i="34"/>
  <c r="A249" i="34"/>
  <c r="U253" i="34"/>
  <c r="Z253" i="34"/>
  <c r="W253" i="34"/>
  <c r="A253" i="34"/>
  <c r="U257" i="34"/>
  <c r="Z257" i="34"/>
  <c r="W257" i="34"/>
  <c r="A257" i="34"/>
  <c r="U261" i="34"/>
  <c r="Z261" i="34"/>
  <c r="W261" i="34"/>
  <c r="A261" i="34"/>
  <c r="U265" i="34"/>
  <c r="Z265" i="34"/>
  <c r="W265" i="34"/>
  <c r="A265" i="34"/>
  <c r="Z300" i="34"/>
  <c r="W300" i="34"/>
  <c r="U300" i="34"/>
  <c r="A300" i="34"/>
  <c r="Z304" i="34"/>
  <c r="W304" i="34"/>
  <c r="U304" i="34"/>
  <c r="A304" i="34"/>
  <c r="Z308" i="34"/>
  <c r="W308" i="34"/>
  <c r="U308" i="34"/>
  <c r="A308" i="34"/>
  <c r="Z312" i="34"/>
  <c r="W312" i="34"/>
  <c r="U312" i="34"/>
  <c r="A312" i="34"/>
  <c r="Z316" i="34"/>
  <c r="U316" i="34"/>
  <c r="A316" i="34"/>
  <c r="W316" i="34"/>
  <c r="U320" i="34"/>
  <c r="Z320" i="34"/>
  <c r="A320" i="34"/>
  <c r="W320" i="34"/>
  <c r="C19" i="60"/>
  <c r="C67" i="34" l="1"/>
  <c r="C120" i="34"/>
  <c r="C242" i="34"/>
  <c r="K212" i="34"/>
  <c r="K211" i="34"/>
  <c r="C57" i="34"/>
  <c r="B57" i="34" s="1"/>
  <c r="C96" i="34"/>
  <c r="B96" i="34" s="1"/>
  <c r="C106" i="34"/>
  <c r="B106" i="34" s="1"/>
  <c r="C119" i="34"/>
  <c r="B119" i="34" s="1"/>
  <c r="C150" i="34"/>
  <c r="B150" i="34" s="1"/>
  <c r="C154" i="34"/>
  <c r="B154" i="34" s="1"/>
  <c r="C170" i="34"/>
  <c r="B170" i="34" s="1"/>
  <c r="C209" i="34"/>
  <c r="B209" i="34" s="1"/>
  <c r="C128" i="34"/>
  <c r="B128" i="34" s="1"/>
  <c r="C137" i="34"/>
  <c r="B137" i="34" s="1"/>
  <c r="C140" i="34"/>
  <c r="B140" i="34" s="1"/>
  <c r="C221" i="34"/>
  <c r="B221" i="34" s="1"/>
  <c r="C184" i="34"/>
  <c r="B184" i="34" s="1"/>
  <c r="C226" i="34"/>
  <c r="B226" i="34" s="1"/>
  <c r="W140" i="34" l="1"/>
  <c r="U140" i="34"/>
  <c r="Z140" i="34"/>
  <c r="A140" i="34"/>
  <c r="Z170" i="34"/>
  <c r="W170" i="34"/>
  <c r="U170" i="34"/>
  <c r="A170" i="34"/>
  <c r="U106" i="34"/>
  <c r="Z106" i="34"/>
  <c r="W106" i="34"/>
  <c r="A106" i="34"/>
  <c r="Z137" i="34"/>
  <c r="W137" i="34"/>
  <c r="U137" i="34"/>
  <c r="A137" i="34"/>
  <c r="W154" i="34"/>
  <c r="U154" i="34"/>
  <c r="Z154" i="34"/>
  <c r="A154" i="34"/>
  <c r="Z96" i="34"/>
  <c r="W96" i="34"/>
  <c r="U96" i="34"/>
  <c r="A96" i="34"/>
  <c r="Z226" i="34"/>
  <c r="W226" i="34"/>
  <c r="U226" i="34"/>
  <c r="A226" i="34"/>
  <c r="W128" i="34"/>
  <c r="U128" i="34"/>
  <c r="Z128" i="34"/>
  <c r="A128" i="34"/>
  <c r="U150" i="34"/>
  <c r="Z150" i="34"/>
  <c r="W150" i="34"/>
  <c r="A150" i="34"/>
  <c r="Z57" i="34"/>
  <c r="W57" i="34"/>
  <c r="U57" i="34"/>
  <c r="A57" i="34"/>
  <c r="U184" i="34"/>
  <c r="Z184" i="34"/>
  <c r="W184" i="34"/>
  <c r="A184" i="34"/>
  <c r="U221" i="34"/>
  <c r="Z221" i="34"/>
  <c r="W221" i="34"/>
  <c r="A221" i="34"/>
  <c r="W209" i="34"/>
  <c r="U209" i="34"/>
  <c r="Z209" i="34"/>
  <c r="A209" i="34"/>
  <c r="Z119" i="34"/>
  <c r="U119" i="34"/>
  <c r="W119" i="34"/>
  <c r="A119" i="34"/>
  <c r="K224" i="34"/>
  <c r="K219" i="34"/>
  <c r="K216" i="34"/>
  <c r="K215" i="34"/>
  <c r="K214" i="34"/>
  <c r="K213" i="34"/>
  <c r="K207" i="34"/>
  <c r="K206" i="34"/>
  <c r="K200" i="34"/>
  <c r="K197" i="34"/>
  <c r="K196" i="34"/>
  <c r="K182" i="34"/>
  <c r="K181" i="34"/>
  <c r="K180" i="34"/>
  <c r="K179" i="34"/>
  <c r="K168" i="34"/>
  <c r="K167" i="34"/>
  <c r="K152" i="34"/>
  <c r="K148" i="34"/>
  <c r="K144" i="34"/>
  <c r="K138" i="34"/>
  <c r="K135" i="34"/>
  <c r="K126" i="34"/>
  <c r="K125" i="34"/>
  <c r="K117" i="34"/>
  <c r="K116" i="34"/>
  <c r="K114" i="34"/>
  <c r="K104" i="34"/>
  <c r="K94" i="34"/>
  <c r="K93" i="34"/>
  <c r="K81" i="34"/>
  <c r="K75" i="34"/>
  <c r="K65" i="34"/>
  <c r="K55" i="34"/>
  <c r="K52" i="34"/>
  <c r="K51" i="34"/>
  <c r="K50" i="34"/>
  <c r="K48" i="34"/>
  <c r="K46" i="34"/>
  <c r="K45" i="34"/>
  <c r="C45" i="34"/>
  <c r="C46" i="34"/>
  <c r="C47" i="34"/>
  <c r="C48" i="34"/>
  <c r="C49" i="34"/>
  <c r="C50" i="34"/>
  <c r="C51" i="34"/>
  <c r="C52" i="34"/>
  <c r="C53" i="34"/>
  <c r="C55" i="34"/>
  <c r="C56" i="34"/>
  <c r="C65" i="34"/>
  <c r="C66" i="34"/>
  <c r="C75" i="34"/>
  <c r="C76" i="34"/>
  <c r="C81" i="34"/>
  <c r="C82" i="34"/>
  <c r="C93" i="34"/>
  <c r="C94" i="34"/>
  <c r="C95" i="34"/>
  <c r="C104" i="34"/>
  <c r="C105" i="34"/>
  <c r="C114" i="34"/>
  <c r="C115" i="34"/>
  <c r="C116" i="34"/>
  <c r="C117" i="34"/>
  <c r="C118" i="34"/>
  <c r="C125" i="34"/>
  <c r="C126" i="34"/>
  <c r="C127" i="34"/>
  <c r="C135" i="34"/>
  <c r="C136" i="34"/>
  <c r="C138" i="34"/>
  <c r="C139" i="34"/>
  <c r="C144" i="34"/>
  <c r="C145" i="34"/>
  <c r="C148" i="34"/>
  <c r="C149" i="34"/>
  <c r="C152" i="34"/>
  <c r="C153" i="34"/>
  <c r="C167" i="34"/>
  <c r="C168" i="34"/>
  <c r="C169" i="34"/>
  <c r="C179" i="34"/>
  <c r="C180" i="34"/>
  <c r="C181" i="34"/>
  <c r="C182" i="34"/>
  <c r="C183" i="34"/>
  <c r="C196" i="34"/>
  <c r="C197" i="34"/>
  <c r="C198" i="34"/>
  <c r="C200" i="34"/>
  <c r="C201" i="34"/>
  <c r="C206" i="34"/>
  <c r="C207" i="34"/>
  <c r="C208" i="34"/>
  <c r="C213" i="34"/>
  <c r="C214" i="34"/>
  <c r="C215" i="34"/>
  <c r="C216" i="34"/>
  <c r="C217" i="34"/>
  <c r="C219" i="34"/>
  <c r="C220" i="34"/>
  <c r="C224" i="34"/>
  <c r="C225" i="34"/>
  <c r="D7" i="56" l="1"/>
  <c r="C112" i="34"/>
  <c r="B112" i="34" s="1"/>
  <c r="C205" i="34"/>
  <c r="B205" i="34" s="1"/>
  <c r="C195" i="34"/>
  <c r="B195" i="34" s="1"/>
  <c r="C234" i="34"/>
  <c r="B234" i="34" s="1"/>
  <c r="C174" i="34"/>
  <c r="B174" i="34" s="1"/>
  <c r="C165" i="34"/>
  <c r="B165" i="34" s="1"/>
  <c r="C159" i="34"/>
  <c r="B159" i="34" s="1"/>
  <c r="C134" i="34"/>
  <c r="B134" i="34" s="1"/>
  <c r="C131" i="34"/>
  <c r="B131" i="34" s="1"/>
  <c r="C90" i="34"/>
  <c r="B90" i="34" s="1"/>
  <c r="C79" i="34"/>
  <c r="B79" i="34" s="1"/>
  <c r="C109" i="34"/>
  <c r="B109" i="34" s="1"/>
  <c r="C103" i="34"/>
  <c r="B103" i="34" s="1"/>
  <c r="C62" i="34"/>
  <c r="B62" i="34" s="1"/>
  <c r="C44" i="34"/>
  <c r="B44" i="34" s="1"/>
  <c r="C41" i="34"/>
  <c r="B41" i="34" s="1"/>
  <c r="C37" i="34"/>
  <c r="B37" i="34" s="1"/>
  <c r="C33" i="34"/>
  <c r="B33" i="34" s="1"/>
  <c r="W44" i="34" l="1"/>
  <c r="U44" i="34"/>
  <c r="Z44" i="34"/>
  <c r="A44" i="34"/>
  <c r="W79" i="34"/>
  <c r="U79" i="34"/>
  <c r="Z79" i="34"/>
  <c r="A79" i="34"/>
  <c r="Z159" i="34"/>
  <c r="W159" i="34"/>
  <c r="U159" i="34"/>
  <c r="A159" i="34"/>
  <c r="U195" i="34"/>
  <c r="Z195" i="34"/>
  <c r="W195" i="34"/>
  <c r="A195" i="34"/>
  <c r="Z33" i="34"/>
  <c r="W33" i="34"/>
  <c r="U33" i="34"/>
  <c r="A33" i="34"/>
  <c r="U90" i="34"/>
  <c r="Z90" i="34"/>
  <c r="W90" i="34"/>
  <c r="A90" i="34"/>
  <c r="U165" i="34"/>
  <c r="Z165" i="34"/>
  <c r="W165" i="34"/>
  <c r="A165" i="34"/>
  <c r="W205" i="34"/>
  <c r="U205" i="34"/>
  <c r="Z205" i="34"/>
  <c r="A205" i="34"/>
  <c r="W103" i="34"/>
  <c r="U103" i="34"/>
  <c r="Z103" i="34"/>
  <c r="A103" i="34"/>
  <c r="U131" i="34"/>
  <c r="Z131" i="34"/>
  <c r="W131" i="34"/>
  <c r="A131" i="34"/>
  <c r="Z174" i="34"/>
  <c r="U174" i="34"/>
  <c r="W174" i="34"/>
  <c r="A174" i="34"/>
  <c r="Z112" i="34"/>
  <c r="W112" i="34"/>
  <c r="U112" i="34"/>
  <c r="A112" i="34"/>
  <c r="U62" i="34"/>
  <c r="Z62" i="34"/>
  <c r="W62" i="34"/>
  <c r="A62" i="34"/>
  <c r="Z37" i="34"/>
  <c r="W37" i="34"/>
  <c r="U37" i="34"/>
  <c r="A37" i="34"/>
  <c r="Z41" i="34"/>
  <c r="W41" i="34"/>
  <c r="U41" i="34"/>
  <c r="A41" i="34"/>
  <c r="U109" i="34"/>
  <c r="Z109" i="34"/>
  <c r="W109" i="34"/>
  <c r="A109" i="34"/>
  <c r="U134" i="34"/>
  <c r="Z134" i="34"/>
  <c r="W134" i="34"/>
  <c r="A134" i="34"/>
  <c r="U234" i="34"/>
  <c r="Z234" i="34"/>
  <c r="W234" i="34"/>
  <c r="A234" i="34"/>
  <c r="F32" i="56"/>
  <c r="F33" i="56"/>
  <c r="A10" i="56"/>
  <c r="H33" i="56"/>
  <c r="C97" i="34"/>
  <c r="C98" i="34"/>
  <c r="C99" i="34"/>
  <c r="C141" i="34"/>
  <c r="C177" i="34"/>
  <c r="C185" i="34"/>
  <c r="C124" i="34"/>
  <c r="C166" i="34"/>
  <c r="C178" i="34"/>
  <c r="C199" i="34"/>
  <c r="C218" i="34"/>
  <c r="C227" i="34"/>
  <c r="C237" i="34"/>
  <c r="C238" i="34"/>
  <c r="K203" i="34" l="1"/>
  <c r="K202" i="34"/>
  <c r="K193" i="34"/>
  <c r="K192" i="34"/>
  <c r="K232" i="34"/>
  <c r="K231" i="34"/>
  <c r="K230" i="34"/>
  <c r="K175" i="34"/>
  <c r="K172" i="34"/>
  <c r="K171" i="34"/>
  <c r="K162" i="34"/>
  <c r="K163" i="34"/>
  <c r="K156" i="34"/>
  <c r="K157" i="34"/>
  <c r="K155" i="34"/>
  <c r="K132" i="34"/>
  <c r="K129" i="34"/>
  <c r="K161" i="34"/>
  <c r="K160" i="34"/>
  <c r="K92" i="34"/>
  <c r="K91" i="34"/>
  <c r="K88" i="34"/>
  <c r="K87" i="34"/>
  <c r="K77" i="34"/>
  <c r="K107" i="34"/>
  <c r="K101" i="34"/>
  <c r="K100" i="34"/>
  <c r="K110" i="34"/>
  <c r="K60" i="34"/>
  <c r="K25" i="34"/>
  <c r="K42" i="34"/>
  <c r="K38" i="34" l="1"/>
  <c r="K39" i="34"/>
  <c r="K34" i="34"/>
  <c r="K35" i="34"/>
  <c r="K31" i="34"/>
  <c r="K30" i="34"/>
  <c r="K59" i="34"/>
  <c r="K58" i="34"/>
  <c r="C59" i="34"/>
  <c r="C27" i="34"/>
  <c r="C28" i="34"/>
  <c r="C30" i="34"/>
  <c r="C31" i="34"/>
  <c r="C32" i="34"/>
  <c r="C34" i="34"/>
  <c r="C35" i="34"/>
  <c r="C36" i="34"/>
  <c r="C38" i="34"/>
  <c r="C39" i="34"/>
  <c r="C40" i="34"/>
  <c r="C42" i="34"/>
  <c r="C43" i="34"/>
  <c r="C25" i="34"/>
  <c r="C26" i="34"/>
  <c r="C60" i="34"/>
  <c r="C61" i="34"/>
  <c r="C83" i="34"/>
  <c r="C84" i="34"/>
  <c r="C85" i="34"/>
  <c r="C110" i="34"/>
  <c r="C111" i="34"/>
  <c r="C86" i="34"/>
  <c r="C113" i="34"/>
  <c r="C100" i="34"/>
  <c r="C101" i="34"/>
  <c r="C102" i="34"/>
  <c r="C107" i="34"/>
  <c r="C108" i="34"/>
  <c r="C77" i="34"/>
  <c r="C78" i="34"/>
  <c r="C87" i="34"/>
  <c r="C88" i="34"/>
  <c r="C89" i="34"/>
  <c r="C91" i="34"/>
  <c r="C92" i="34"/>
  <c r="C151" i="34"/>
  <c r="C146" i="34"/>
  <c r="C147" i="34"/>
  <c r="C23" i="34"/>
  <c r="C186" i="34"/>
  <c r="C187" i="34"/>
  <c r="C191" i="34"/>
  <c r="C160" i="34"/>
  <c r="C161" i="34"/>
  <c r="C142" i="34"/>
  <c r="C143" i="34"/>
  <c r="C129" i="34"/>
  <c r="C130" i="34"/>
  <c r="C132" i="34"/>
  <c r="C133" i="34"/>
  <c r="C155" i="34"/>
  <c r="C156" i="34"/>
  <c r="C157" i="34"/>
  <c r="C158" i="34"/>
  <c r="C162" i="34"/>
  <c r="C163" i="34"/>
  <c r="C164" i="34"/>
  <c r="C171" i="34"/>
  <c r="C172" i="34"/>
  <c r="C173" i="34"/>
  <c r="C175" i="34"/>
  <c r="C176" i="34"/>
  <c r="C211" i="34"/>
  <c r="C212" i="34"/>
  <c r="C235" i="34"/>
  <c r="C236" i="34"/>
  <c r="C228" i="34"/>
  <c r="C229" i="34"/>
  <c r="C222" i="34"/>
  <c r="C223" i="34"/>
  <c r="C239" i="34"/>
  <c r="C240" i="34"/>
  <c r="C230" i="34"/>
  <c r="C231" i="34"/>
  <c r="C232" i="34"/>
  <c r="C233" i="34"/>
  <c r="C192" i="34"/>
  <c r="C193" i="34"/>
  <c r="C194" i="34"/>
  <c r="C202" i="34"/>
  <c r="C203" i="34"/>
  <c r="C204" i="34"/>
  <c r="C241" i="34"/>
  <c r="C210" i="34"/>
  <c r="C24" i="34"/>
  <c r="C29" i="34"/>
  <c r="C54" i="34"/>
  <c r="C63" i="34"/>
  <c r="C64" i="34"/>
  <c r="C71" i="34"/>
  <c r="C72" i="34"/>
  <c r="C73" i="34"/>
  <c r="C80" i="34"/>
  <c r="C58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1" i="34"/>
  <c r="B85" i="34"/>
  <c r="B83" i="34"/>
  <c r="B26" i="34"/>
  <c r="U85" i="34" l="1"/>
  <c r="Z85" i="34"/>
  <c r="W85" i="34"/>
  <c r="A85" i="34"/>
  <c r="W111" i="34"/>
  <c r="U111" i="34"/>
  <c r="Z111" i="34"/>
  <c r="A111" i="34"/>
  <c r="U26" i="34"/>
  <c r="Z26" i="34"/>
  <c r="W26" i="34"/>
  <c r="A26" i="34"/>
  <c r="W83" i="34"/>
  <c r="U83" i="34"/>
  <c r="Z83" i="34"/>
  <c r="A83" i="34"/>
  <c r="D39" i="15"/>
  <c r="G39" i="15"/>
  <c r="H39" i="15"/>
  <c r="C39" i="15"/>
  <c r="Y18" i="34" l="1"/>
  <c r="X18" i="34"/>
  <c r="T18" i="34"/>
  <c r="S18" i="34"/>
  <c r="R18" i="34"/>
  <c r="N18" i="34"/>
  <c r="K18" i="34"/>
  <c r="C18" i="34"/>
  <c r="B18" i="34" s="1"/>
  <c r="Z18" i="34" l="1"/>
  <c r="A18" i="34"/>
  <c r="A6" i="70" l="1"/>
  <c r="A12" i="70"/>
  <c r="A11" i="70"/>
  <c r="A13" i="70"/>
  <c r="T8" i="43" l="1"/>
  <c r="A3" i="54" l="1"/>
  <c r="A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Y14" i="34"/>
  <c r="X14" i="34"/>
  <c r="T14" i="34"/>
  <c r="S14" i="34"/>
  <c r="R14" i="34"/>
  <c r="N14" i="34"/>
  <c r="C14" i="34"/>
  <c r="B14" i="34" s="1"/>
  <c r="A14" i="34" s="1"/>
  <c r="E21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87" i="34" l="1"/>
  <c r="B78" i="34"/>
  <c r="B77" i="34"/>
  <c r="B108" i="34"/>
  <c r="B107" i="34"/>
  <c r="B102" i="34"/>
  <c r="B101" i="34"/>
  <c r="B100" i="34"/>
  <c r="B113" i="34"/>
  <c r="B86" i="34"/>
  <c r="B110" i="34"/>
  <c r="B84" i="34"/>
  <c r="B61" i="34"/>
  <c r="B60" i="34"/>
  <c r="B25" i="34"/>
  <c r="B43" i="34"/>
  <c r="B42" i="34"/>
  <c r="B40" i="34"/>
  <c r="B39" i="34"/>
  <c r="B38" i="34"/>
  <c r="B36" i="34"/>
  <c r="B35" i="34"/>
  <c r="B34" i="34"/>
  <c r="B32" i="34"/>
  <c r="B31" i="34"/>
  <c r="B30" i="34"/>
  <c r="B28" i="34"/>
  <c r="B27" i="34"/>
  <c r="B59" i="34"/>
  <c r="B175" i="34"/>
  <c r="B173" i="34"/>
  <c r="B172" i="34"/>
  <c r="B171" i="34"/>
  <c r="B164" i="34"/>
  <c r="B163" i="34"/>
  <c r="B162" i="34"/>
  <c r="B158" i="34"/>
  <c r="B157" i="34"/>
  <c r="B156" i="34"/>
  <c r="B155" i="34"/>
  <c r="B133" i="34"/>
  <c r="B132" i="34"/>
  <c r="B130" i="34"/>
  <c r="B129" i="34"/>
  <c r="B143" i="34"/>
  <c r="B142" i="34"/>
  <c r="B161" i="34"/>
  <c r="B160" i="34"/>
  <c r="B191" i="34"/>
  <c r="B187" i="34"/>
  <c r="B186" i="34"/>
  <c r="B23" i="34"/>
  <c r="B147" i="34"/>
  <c r="B146" i="34"/>
  <c r="B151" i="34"/>
  <c r="B92" i="34"/>
  <c r="B91" i="34"/>
  <c r="B89" i="34"/>
  <c r="B88" i="34"/>
  <c r="U146" i="34" l="1"/>
  <c r="Z146" i="34"/>
  <c r="W146" i="34"/>
  <c r="A146" i="34"/>
  <c r="U187" i="34"/>
  <c r="Z187" i="34"/>
  <c r="W187" i="34"/>
  <c r="A187" i="34"/>
  <c r="Z129" i="34"/>
  <c r="W129" i="34"/>
  <c r="U129" i="34"/>
  <c r="A129" i="34"/>
  <c r="Z155" i="34"/>
  <c r="W155" i="34"/>
  <c r="U155" i="34"/>
  <c r="A155" i="34"/>
  <c r="W162" i="34"/>
  <c r="U162" i="34"/>
  <c r="Z162" i="34"/>
  <c r="A162" i="34"/>
  <c r="U172" i="34"/>
  <c r="Z172" i="34"/>
  <c r="W172" i="34"/>
  <c r="A172" i="34"/>
  <c r="U30" i="34"/>
  <c r="Z30" i="34"/>
  <c r="W30" i="34"/>
  <c r="A30" i="34"/>
  <c r="U35" i="34"/>
  <c r="Z35" i="34"/>
  <c r="W35" i="34"/>
  <c r="A35" i="34"/>
  <c r="W40" i="34"/>
  <c r="U40" i="34"/>
  <c r="Z40" i="34"/>
  <c r="A40" i="34"/>
  <c r="W60" i="34"/>
  <c r="U60" i="34"/>
  <c r="Z60" i="34"/>
  <c r="A60" i="34"/>
  <c r="Z100" i="34"/>
  <c r="W100" i="34"/>
  <c r="U100" i="34"/>
  <c r="A100" i="34"/>
  <c r="Z108" i="34"/>
  <c r="W108" i="34"/>
  <c r="U108" i="34"/>
  <c r="A108" i="34"/>
  <c r="W91" i="34"/>
  <c r="U91" i="34"/>
  <c r="Z91" i="34"/>
  <c r="A91" i="34"/>
  <c r="U191" i="34"/>
  <c r="Z191" i="34"/>
  <c r="W191" i="34"/>
  <c r="A191" i="34"/>
  <c r="U130" i="34"/>
  <c r="Z130" i="34"/>
  <c r="W130" i="34"/>
  <c r="A130" i="34"/>
  <c r="U156" i="34"/>
  <c r="Z156" i="34"/>
  <c r="W156" i="34"/>
  <c r="A156" i="34"/>
  <c r="Z163" i="34"/>
  <c r="W163" i="34"/>
  <c r="U163" i="34"/>
  <c r="A163" i="34"/>
  <c r="W173" i="34"/>
  <c r="U173" i="34"/>
  <c r="Z173" i="34"/>
  <c r="A173" i="34"/>
  <c r="U31" i="34"/>
  <c r="Z31" i="34"/>
  <c r="W31" i="34"/>
  <c r="A31" i="34"/>
  <c r="W36" i="34"/>
  <c r="U36" i="34"/>
  <c r="Z36" i="34"/>
  <c r="A36" i="34"/>
  <c r="U42" i="34"/>
  <c r="Z42" i="34"/>
  <c r="W42" i="34"/>
  <c r="A42" i="34"/>
  <c r="Z61" i="34"/>
  <c r="W61" i="34"/>
  <c r="U61" i="34"/>
  <c r="A61" i="34"/>
  <c r="U110" i="34"/>
  <c r="Z110" i="34"/>
  <c r="W110" i="34"/>
  <c r="A110" i="34"/>
  <c r="U101" i="34"/>
  <c r="Z101" i="34"/>
  <c r="W101" i="34"/>
  <c r="A101" i="34"/>
  <c r="U77" i="34"/>
  <c r="Z77" i="34"/>
  <c r="W77" i="34"/>
  <c r="A77" i="34"/>
  <c r="U89" i="34"/>
  <c r="Z89" i="34"/>
  <c r="W89" i="34"/>
  <c r="A89" i="34"/>
  <c r="Z92" i="34"/>
  <c r="W92" i="34"/>
  <c r="U92" i="34"/>
  <c r="A92" i="34"/>
  <c r="U23" i="34"/>
  <c r="Z23" i="34"/>
  <c r="W23" i="34"/>
  <c r="A23" i="34"/>
  <c r="U160" i="34"/>
  <c r="Z160" i="34"/>
  <c r="W160" i="34"/>
  <c r="A160" i="34"/>
  <c r="U142" i="34"/>
  <c r="Z142" i="34"/>
  <c r="W142" i="34"/>
  <c r="A142" i="34"/>
  <c r="W132" i="34"/>
  <c r="U132" i="34"/>
  <c r="Z132" i="34"/>
  <c r="A132" i="34"/>
  <c r="U157" i="34"/>
  <c r="Z157" i="34"/>
  <c r="W157" i="34"/>
  <c r="A157" i="34"/>
  <c r="U164" i="34"/>
  <c r="Z164" i="34"/>
  <c r="W164" i="34"/>
  <c r="A164" i="34"/>
  <c r="U175" i="34"/>
  <c r="Z175" i="34"/>
  <c r="W175" i="34"/>
  <c r="A175" i="34"/>
  <c r="U27" i="34"/>
  <c r="Z27" i="34"/>
  <c r="W27" i="34"/>
  <c r="A27" i="34"/>
  <c r="W32" i="34"/>
  <c r="U32" i="34"/>
  <c r="Z32" i="34"/>
  <c r="A32" i="34"/>
  <c r="U38" i="34"/>
  <c r="Z38" i="34"/>
  <c r="W38" i="34"/>
  <c r="A38" i="34"/>
  <c r="U43" i="34"/>
  <c r="Z43" i="34"/>
  <c r="W43" i="34"/>
  <c r="A43" i="34"/>
  <c r="Z84" i="34"/>
  <c r="W84" i="34"/>
  <c r="U84" i="34"/>
  <c r="A84" i="34"/>
  <c r="U86" i="34"/>
  <c r="Z86" i="34"/>
  <c r="W86" i="34"/>
  <c r="A86" i="34"/>
  <c r="U102" i="34"/>
  <c r="Z102" i="34"/>
  <c r="W102" i="34"/>
  <c r="A102" i="34"/>
  <c r="U78" i="34"/>
  <c r="Z78" i="34"/>
  <c r="W78" i="34"/>
  <c r="A78" i="34"/>
  <c r="U147" i="34"/>
  <c r="Z147" i="34"/>
  <c r="W147" i="34"/>
  <c r="A147" i="34"/>
  <c r="Z88" i="34"/>
  <c r="W88" i="34"/>
  <c r="U88" i="34"/>
  <c r="A88" i="34"/>
  <c r="U151" i="34"/>
  <c r="Z151" i="34"/>
  <c r="W151" i="34"/>
  <c r="A151" i="34"/>
  <c r="Z186" i="34"/>
  <c r="W186" i="34"/>
  <c r="U186" i="34"/>
  <c r="A186" i="34"/>
  <c r="U161" i="34"/>
  <c r="Z161" i="34"/>
  <c r="W161" i="34"/>
  <c r="A161" i="34"/>
  <c r="U143" i="34"/>
  <c r="Z143" i="34"/>
  <c r="W143" i="34"/>
  <c r="A143" i="34"/>
  <c r="Z133" i="34"/>
  <c r="W133" i="34"/>
  <c r="U133" i="34"/>
  <c r="A133" i="34"/>
  <c r="W158" i="34"/>
  <c r="U158" i="34"/>
  <c r="Z158" i="34"/>
  <c r="A158" i="34"/>
  <c r="U171" i="34"/>
  <c r="Z171" i="34"/>
  <c r="W171" i="34"/>
  <c r="A171" i="34"/>
  <c r="U59" i="34"/>
  <c r="Z59" i="34"/>
  <c r="W59" i="34"/>
  <c r="A59" i="34"/>
  <c r="W28" i="34"/>
  <c r="U28" i="34"/>
  <c r="Z28" i="34"/>
  <c r="A28" i="34"/>
  <c r="U34" i="34"/>
  <c r="Z34" i="34"/>
  <c r="W34" i="34"/>
  <c r="A34" i="34"/>
  <c r="U39" i="34"/>
  <c r="Z39" i="34"/>
  <c r="W39" i="34"/>
  <c r="A39" i="34"/>
  <c r="Z25" i="34"/>
  <c r="W25" i="34"/>
  <c r="U25" i="34"/>
  <c r="A25" i="34"/>
  <c r="U113" i="34"/>
  <c r="Z113" i="34"/>
  <c r="W113" i="34"/>
  <c r="A113" i="34"/>
  <c r="W107" i="34"/>
  <c r="U107" i="34"/>
  <c r="Z107" i="34"/>
  <c r="A107" i="34"/>
  <c r="W87" i="34"/>
  <c r="U87" i="34"/>
  <c r="Z87" i="34"/>
  <c r="A87" i="34"/>
  <c r="B138" i="34"/>
  <c r="B136" i="34"/>
  <c r="U138" i="34" l="1"/>
  <c r="Z138" i="34"/>
  <c r="W138" i="34"/>
  <c r="A138" i="34"/>
  <c r="W136" i="34"/>
  <c r="U136" i="34"/>
  <c r="Z136" i="34"/>
  <c r="A136" i="34"/>
  <c r="B203" i="34"/>
  <c r="U203" i="34" l="1"/>
  <c r="Z203" i="34"/>
  <c r="W203" i="34"/>
  <c r="A203" i="34"/>
  <c r="B58" i="34" l="1"/>
  <c r="U58" i="34" l="1"/>
  <c r="Z58" i="34"/>
  <c r="W58" i="34"/>
  <c r="A58" i="34"/>
  <c r="F59" i="55"/>
  <c r="B218" i="34" l="1"/>
  <c r="B166" i="34"/>
  <c r="B141" i="34"/>
  <c r="B206" i="34"/>
  <c r="I7" i="12"/>
  <c r="I8" i="12"/>
  <c r="I6" i="12"/>
  <c r="R141" i="34" l="1"/>
  <c r="Z141" i="34"/>
  <c r="S141" i="34"/>
  <c r="W141" i="34"/>
  <c r="T141" i="34"/>
  <c r="U141" i="34"/>
  <c r="A141" i="34"/>
  <c r="S166" i="34"/>
  <c r="W166" i="34"/>
  <c r="T166" i="34"/>
  <c r="U166" i="34"/>
  <c r="R166" i="34"/>
  <c r="Z166" i="34"/>
  <c r="A166" i="34"/>
  <c r="Z206" i="34"/>
  <c r="W206" i="34"/>
  <c r="U206" i="34"/>
  <c r="A206" i="34"/>
  <c r="T218" i="34"/>
  <c r="U218" i="34"/>
  <c r="R218" i="34"/>
  <c r="Z218" i="34"/>
  <c r="S218" i="34"/>
  <c r="W218" i="34"/>
  <c r="A218" i="34"/>
  <c r="O5" i="78"/>
  <c r="N5" i="78"/>
  <c r="B180" i="34"/>
  <c r="B153" i="34"/>
  <c r="B148" i="34"/>
  <c r="U153" i="34" l="1"/>
  <c r="Z153" i="34"/>
  <c r="W153" i="34"/>
  <c r="A153" i="34"/>
  <c r="Z180" i="34"/>
  <c r="W180" i="34"/>
  <c r="U180" i="34"/>
  <c r="A180" i="34"/>
  <c r="W148" i="34"/>
  <c r="U148" i="34"/>
  <c r="Z148" i="34"/>
  <c r="A148" i="34"/>
  <c r="B329" i="34"/>
  <c r="B328" i="34"/>
  <c r="B299" i="34"/>
  <c r="B298" i="34"/>
  <c r="B297" i="34"/>
  <c r="B296" i="34"/>
  <c r="B295" i="34"/>
  <c r="B291" i="34"/>
  <c r="B290" i="34"/>
  <c r="B289" i="34"/>
  <c r="B288" i="34"/>
  <c r="B287" i="34"/>
  <c r="B286" i="34"/>
  <c r="B285" i="34"/>
  <c r="B201" i="34"/>
  <c r="B200" i="34"/>
  <c r="B198" i="34"/>
  <c r="B197" i="34"/>
  <c r="B196" i="34"/>
  <c r="B183" i="34"/>
  <c r="B182" i="34"/>
  <c r="B181" i="34"/>
  <c r="B168" i="34"/>
  <c r="B167" i="34"/>
  <c r="B152" i="34"/>
  <c r="B149" i="34"/>
  <c r="B145" i="34"/>
  <c r="B144" i="34"/>
  <c r="B139" i="34"/>
  <c r="U328" i="34" l="1"/>
  <c r="Z328" i="34"/>
  <c r="W328" i="34"/>
  <c r="A328" i="34"/>
  <c r="Z329" i="34"/>
  <c r="W329" i="34"/>
  <c r="U329" i="34"/>
  <c r="W181" i="34"/>
  <c r="U181" i="34"/>
  <c r="Z181" i="34"/>
  <c r="A181" i="34"/>
  <c r="U139" i="34"/>
  <c r="Z139" i="34"/>
  <c r="W139" i="34"/>
  <c r="A139" i="34"/>
  <c r="Z182" i="34"/>
  <c r="W182" i="34"/>
  <c r="U182" i="34"/>
  <c r="A182" i="34"/>
  <c r="Z167" i="34"/>
  <c r="U167" i="34"/>
  <c r="W167" i="34"/>
  <c r="A167" i="34"/>
  <c r="Z145" i="34"/>
  <c r="W145" i="34"/>
  <c r="U145" i="34"/>
  <c r="A145" i="34"/>
  <c r="U168" i="34"/>
  <c r="Z168" i="34"/>
  <c r="W168" i="34"/>
  <c r="A168" i="34"/>
  <c r="U196" i="34"/>
  <c r="Z196" i="34"/>
  <c r="W196" i="34"/>
  <c r="A196" i="34"/>
  <c r="W201" i="34"/>
  <c r="U201" i="34"/>
  <c r="Z201" i="34"/>
  <c r="A201" i="34"/>
  <c r="Z288" i="34"/>
  <c r="W288" i="34"/>
  <c r="U288" i="34"/>
  <c r="A288" i="34"/>
  <c r="W295" i="34"/>
  <c r="U295" i="34"/>
  <c r="Z295" i="34"/>
  <c r="A295" i="34"/>
  <c r="W299" i="34"/>
  <c r="U299" i="34"/>
  <c r="Z299" i="34"/>
  <c r="A299" i="34"/>
  <c r="Z149" i="34"/>
  <c r="W149" i="34"/>
  <c r="U149" i="34"/>
  <c r="A149" i="34"/>
  <c r="U285" i="34"/>
  <c r="Z285" i="34"/>
  <c r="W285" i="34"/>
  <c r="A285" i="34"/>
  <c r="Z296" i="34"/>
  <c r="W296" i="34"/>
  <c r="U296" i="34"/>
  <c r="A296" i="34"/>
  <c r="W197" i="34"/>
  <c r="U197" i="34"/>
  <c r="Z197" i="34"/>
  <c r="A197" i="34"/>
  <c r="U152" i="34"/>
  <c r="Z152" i="34"/>
  <c r="W152" i="34"/>
  <c r="A152" i="34"/>
  <c r="Z198" i="34"/>
  <c r="W198" i="34"/>
  <c r="U198" i="34"/>
  <c r="A198" i="34"/>
  <c r="U286" i="34"/>
  <c r="Z286" i="34"/>
  <c r="W286" i="34"/>
  <c r="A286" i="34"/>
  <c r="U290" i="34"/>
  <c r="Z290" i="34"/>
  <c r="W290" i="34"/>
  <c r="A290" i="34"/>
  <c r="U297" i="34"/>
  <c r="Z297" i="34"/>
  <c r="W297" i="34"/>
  <c r="A297" i="34"/>
  <c r="U289" i="34"/>
  <c r="Z289" i="34"/>
  <c r="W289" i="34"/>
  <c r="A289" i="34"/>
  <c r="W144" i="34"/>
  <c r="U144" i="34"/>
  <c r="Z144" i="34"/>
  <c r="A144" i="34"/>
  <c r="U183" i="34"/>
  <c r="Z183" i="34"/>
  <c r="W183" i="34"/>
  <c r="A183" i="34"/>
  <c r="U200" i="34"/>
  <c r="Z200" i="34"/>
  <c r="W200" i="34"/>
  <c r="A200" i="34"/>
  <c r="W287" i="34"/>
  <c r="U287" i="34"/>
  <c r="Z287" i="34"/>
  <c r="A287" i="34"/>
  <c r="W291" i="34"/>
  <c r="U291" i="34"/>
  <c r="Z291" i="34"/>
  <c r="A291" i="34"/>
  <c r="U298" i="34"/>
  <c r="Z298" i="34"/>
  <c r="W298" i="34"/>
  <c r="A298" i="34"/>
  <c r="A329" i="34"/>
  <c r="B98" i="34"/>
  <c r="B99" i="34"/>
  <c r="B82" i="34"/>
  <c r="U82" i="34" l="1"/>
  <c r="Z82" i="34"/>
  <c r="W82" i="34"/>
  <c r="A82" i="34"/>
  <c r="S99" i="34"/>
  <c r="W99" i="34"/>
  <c r="T99" i="34"/>
  <c r="U99" i="34"/>
  <c r="R99" i="34"/>
  <c r="Z99" i="34"/>
  <c r="A99" i="34"/>
  <c r="T98" i="34"/>
  <c r="U98" i="34"/>
  <c r="R98" i="34"/>
  <c r="Z98" i="34"/>
  <c r="S98" i="34"/>
  <c r="W98" i="34"/>
  <c r="A98" i="34"/>
  <c r="I16" i="54"/>
  <c r="N11" i="34" l="1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U18" i="34" l="1"/>
  <c r="U14" i="34"/>
  <c r="B125" i="34"/>
  <c r="B118" i="34"/>
  <c r="W118" i="34" l="1"/>
  <c r="U118" i="34"/>
  <c r="Z118" i="34"/>
  <c r="A118" i="34"/>
  <c r="Z125" i="34"/>
  <c r="W125" i="34"/>
  <c r="U125" i="34"/>
  <c r="A125" i="34"/>
  <c r="B126" i="34"/>
  <c r="D5" i="61"/>
  <c r="R8" i="60"/>
  <c r="C8" i="60" s="1"/>
  <c r="X7" i="60"/>
  <c r="R7" i="60"/>
  <c r="C7" i="60" s="1"/>
  <c r="I9" i="70"/>
  <c r="I7" i="70"/>
  <c r="I14" i="70"/>
  <c r="I8" i="70"/>
  <c r="I15" i="70"/>
  <c r="H12" i="61"/>
  <c r="C12" i="61"/>
  <c r="I12" i="61"/>
  <c r="D12" i="61"/>
  <c r="E12" i="61"/>
  <c r="G12" i="61"/>
  <c r="F12" i="61"/>
  <c r="U126" i="34" l="1"/>
  <c r="Z126" i="34"/>
  <c r="W126" i="34"/>
  <c r="A126" i="34"/>
  <c r="R37" i="60"/>
  <c r="X37" i="60"/>
  <c r="C26" i="15" l="1"/>
  <c r="C27" i="15" s="1"/>
  <c r="Q3" i="56" l="1"/>
  <c r="P3" i="56"/>
  <c r="W18" i="34" l="1"/>
  <c r="W14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63" i="34" l="1"/>
  <c r="B54" i="34"/>
  <c r="U54" i="34" l="1"/>
  <c r="R54" i="34"/>
  <c r="Z54" i="34"/>
  <c r="S54" i="34"/>
  <c r="W54" i="34"/>
  <c r="T54" i="34"/>
  <c r="A54" i="34"/>
  <c r="T63" i="34"/>
  <c r="U63" i="34"/>
  <c r="R63" i="34"/>
  <c r="Z63" i="34"/>
  <c r="S63" i="34"/>
  <c r="W63" i="34"/>
  <c r="A63" i="34"/>
  <c r="S10" i="34"/>
  <c r="A3" i="15" l="1"/>
  <c r="A2" i="15"/>
  <c r="N8" i="73"/>
  <c r="M8" i="73"/>
  <c r="A2" i="73"/>
  <c r="A1" i="73"/>
  <c r="Z14" i="34" l="1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Q326" i="34" l="1"/>
  <c r="P327" i="34"/>
  <c r="O328" i="34"/>
  <c r="P328" i="34"/>
  <c r="Q328" i="34"/>
  <c r="Q327" i="34"/>
  <c r="O329" i="34"/>
  <c r="Q325" i="34"/>
  <c r="P326" i="34"/>
  <c r="O327" i="34"/>
  <c r="Q329" i="34"/>
  <c r="O325" i="34"/>
  <c r="P325" i="34"/>
  <c r="O326" i="34"/>
  <c r="P329" i="34"/>
  <c r="O68" i="34"/>
  <c r="O121" i="34"/>
  <c r="Q244" i="34"/>
  <c r="Q245" i="34"/>
  <c r="Q122" i="34"/>
  <c r="P188" i="34"/>
  <c r="O188" i="34"/>
  <c r="O70" i="34"/>
  <c r="Q188" i="34"/>
  <c r="P190" i="34"/>
  <c r="Q70" i="34"/>
  <c r="P70" i="34"/>
  <c r="Q121" i="34"/>
  <c r="O244" i="34"/>
  <c r="Q189" i="34"/>
  <c r="P245" i="34"/>
  <c r="P123" i="34"/>
  <c r="O69" i="34"/>
  <c r="P243" i="34"/>
  <c r="P68" i="34"/>
  <c r="P121" i="34"/>
  <c r="O189" i="34"/>
  <c r="Q123" i="34"/>
  <c r="Q68" i="34"/>
  <c r="P244" i="34"/>
  <c r="O245" i="34"/>
  <c r="O123" i="34"/>
  <c r="P69" i="34"/>
  <c r="Q190" i="34"/>
  <c r="P122" i="34"/>
  <c r="Q243" i="34"/>
  <c r="P189" i="34"/>
  <c r="Q69" i="34"/>
  <c r="O190" i="34"/>
  <c r="O243" i="34"/>
  <c r="O122" i="34"/>
  <c r="P74" i="34"/>
  <c r="Q74" i="34"/>
  <c r="O74" i="34"/>
  <c r="Q269" i="34"/>
  <c r="P273" i="34"/>
  <c r="O281" i="34"/>
  <c r="P246" i="34"/>
  <c r="O246" i="34"/>
  <c r="Q250" i="34"/>
  <c r="P262" i="34"/>
  <c r="O262" i="34"/>
  <c r="P301" i="34"/>
  <c r="P309" i="34"/>
  <c r="Q313" i="34"/>
  <c r="O313" i="34"/>
  <c r="P270" i="34"/>
  <c r="O270" i="34"/>
  <c r="Q274" i="34"/>
  <c r="O247" i="34"/>
  <c r="P255" i="34"/>
  <c r="Q259" i="34"/>
  <c r="O263" i="34"/>
  <c r="Q302" i="34"/>
  <c r="O310" i="34"/>
  <c r="P314" i="34"/>
  <c r="O318" i="34"/>
  <c r="P322" i="34"/>
  <c r="Q267" i="34"/>
  <c r="O271" i="34"/>
  <c r="P279" i="34"/>
  <c r="Q283" i="34"/>
  <c r="Q248" i="34"/>
  <c r="O252" i="34"/>
  <c r="P260" i="34"/>
  <c r="Q264" i="34"/>
  <c r="P303" i="34"/>
  <c r="O311" i="34"/>
  <c r="P323" i="34"/>
  <c r="Q268" i="34"/>
  <c r="O272" i="34"/>
  <c r="P280" i="34"/>
  <c r="Q284" i="34"/>
  <c r="P249" i="34"/>
  <c r="O257" i="34"/>
  <c r="Q261" i="34"/>
  <c r="P265" i="34"/>
  <c r="P304" i="34"/>
  <c r="O312" i="34"/>
  <c r="P312" i="34"/>
  <c r="O316" i="34"/>
  <c r="P300" i="34"/>
  <c r="Q304" i="34"/>
  <c r="O308" i="34"/>
  <c r="P269" i="34"/>
  <c r="O277" i="34"/>
  <c r="Q281" i="34"/>
  <c r="Q246" i="34"/>
  <c r="P258" i="34"/>
  <c r="O258" i="34"/>
  <c r="Q262" i="34"/>
  <c r="O305" i="34"/>
  <c r="Q309" i="34"/>
  <c r="P317" i="34"/>
  <c r="P266" i="34"/>
  <c r="O266" i="34"/>
  <c r="Q270" i="34"/>
  <c r="P282" i="34"/>
  <c r="O282" i="34"/>
  <c r="P251" i="34"/>
  <c r="Q255" i="34"/>
  <c r="O259" i="34"/>
  <c r="O306" i="34"/>
  <c r="P310" i="34"/>
  <c r="Q314" i="34"/>
  <c r="O267" i="34"/>
  <c r="P275" i="34"/>
  <c r="Q279" i="34"/>
  <c r="O283" i="34"/>
  <c r="O248" i="34"/>
  <c r="P256" i="34"/>
  <c r="Q260" i="34"/>
  <c r="O264" i="34"/>
  <c r="Q303" i="34"/>
  <c r="O307" i="34"/>
  <c r="Q307" i="34"/>
  <c r="Q311" i="34"/>
  <c r="P319" i="34"/>
  <c r="O268" i="34"/>
  <c r="P276" i="34"/>
  <c r="Q280" i="34"/>
  <c r="O284" i="34"/>
  <c r="O253" i="34"/>
  <c r="Q257" i="34"/>
  <c r="P261" i="34"/>
  <c r="P316" i="34"/>
  <c r="Q320" i="34"/>
  <c r="O273" i="34"/>
  <c r="Q277" i="34"/>
  <c r="P281" i="34"/>
  <c r="P254" i="34"/>
  <c r="O254" i="34"/>
  <c r="Q258" i="34"/>
  <c r="O301" i="34"/>
  <c r="Q305" i="34"/>
  <c r="P305" i="34"/>
  <c r="O309" i="34"/>
  <c r="O317" i="34"/>
  <c r="P321" i="34"/>
  <c r="O321" i="34"/>
  <c r="Q266" i="34"/>
  <c r="P278" i="34"/>
  <c r="O278" i="34"/>
  <c r="Q282" i="34"/>
  <c r="P247" i="34"/>
  <c r="Q251" i="34"/>
  <c r="O255" i="34"/>
  <c r="P263" i="34"/>
  <c r="P306" i="34"/>
  <c r="Q310" i="34"/>
  <c r="O322" i="34"/>
  <c r="Q322" i="34"/>
  <c r="P271" i="34"/>
  <c r="Q275" i="34"/>
  <c r="O279" i="34"/>
  <c r="P252" i="34"/>
  <c r="Q256" i="34"/>
  <c r="O260" i="34"/>
  <c r="O324" i="34"/>
  <c r="O303" i="34"/>
  <c r="P311" i="34"/>
  <c r="P315" i="34"/>
  <c r="O319" i="34"/>
  <c r="Q319" i="34"/>
  <c r="O323" i="34"/>
  <c r="Q323" i="34"/>
  <c r="P272" i="34"/>
  <c r="Q276" i="34"/>
  <c r="O280" i="34"/>
  <c r="O249" i="34"/>
  <c r="Q253" i="34"/>
  <c r="P257" i="34"/>
  <c r="O265" i="34"/>
  <c r="Q300" i="34"/>
  <c r="O304" i="34"/>
  <c r="P308" i="34"/>
  <c r="Q312" i="34"/>
  <c r="P320" i="34"/>
  <c r="O320" i="34"/>
  <c r="O269" i="34"/>
  <c r="Q273" i="34"/>
  <c r="P277" i="34"/>
  <c r="P250" i="34"/>
  <c r="O250" i="34"/>
  <c r="Q254" i="34"/>
  <c r="Q301" i="34"/>
  <c r="P313" i="34"/>
  <c r="Q317" i="34"/>
  <c r="Q321" i="34"/>
  <c r="P274" i="34"/>
  <c r="O274" i="34"/>
  <c r="Q278" i="34"/>
  <c r="Q247" i="34"/>
  <c r="O251" i="34"/>
  <c r="P259" i="34"/>
  <c r="Q263" i="34"/>
  <c r="P302" i="34"/>
  <c r="O302" i="34"/>
  <c r="Q306" i="34"/>
  <c r="O314" i="34"/>
  <c r="P318" i="34"/>
  <c r="Q318" i="34"/>
  <c r="P267" i="34"/>
  <c r="Q271" i="34"/>
  <c r="O275" i="34"/>
  <c r="P283" i="34"/>
  <c r="P248" i="34"/>
  <c r="Q252" i="34"/>
  <c r="O256" i="34"/>
  <c r="P264" i="34"/>
  <c r="Q324" i="34"/>
  <c r="P324" i="34"/>
  <c r="P307" i="34"/>
  <c r="O315" i="34"/>
  <c r="Q315" i="34"/>
  <c r="P268" i="34"/>
  <c r="Q272" i="34"/>
  <c r="O276" i="34"/>
  <c r="P284" i="34"/>
  <c r="Q249" i="34"/>
  <c r="P253" i="34"/>
  <c r="O261" i="34"/>
  <c r="Q265" i="34"/>
  <c r="O300" i="34"/>
  <c r="Q308" i="34"/>
  <c r="Q316" i="34"/>
  <c r="O140" i="34"/>
  <c r="O170" i="34"/>
  <c r="P137" i="34"/>
  <c r="O154" i="34"/>
  <c r="O96" i="34"/>
  <c r="Q128" i="34"/>
  <c r="Q150" i="34"/>
  <c r="O57" i="34"/>
  <c r="O221" i="34"/>
  <c r="O209" i="34"/>
  <c r="Q119" i="34"/>
  <c r="P119" i="34"/>
  <c r="Q137" i="34"/>
  <c r="P226" i="34"/>
  <c r="O128" i="34"/>
  <c r="P150" i="34"/>
  <c r="Q221" i="34"/>
  <c r="P140" i="34"/>
  <c r="P170" i="34"/>
  <c r="P106" i="34"/>
  <c r="O106" i="34"/>
  <c r="O137" i="34"/>
  <c r="P154" i="34"/>
  <c r="P96" i="34"/>
  <c r="Q226" i="34"/>
  <c r="P57" i="34"/>
  <c r="P184" i="34"/>
  <c r="O184" i="34"/>
  <c r="P221" i="34"/>
  <c r="P209" i="34"/>
  <c r="O119" i="34"/>
  <c r="Q140" i="34"/>
  <c r="Q170" i="34"/>
  <c r="Q106" i="34"/>
  <c r="Q154" i="34"/>
  <c r="Q96" i="34"/>
  <c r="O226" i="34"/>
  <c r="P128" i="34"/>
  <c r="O150" i="34"/>
  <c r="Q57" i="34"/>
  <c r="Q184" i="34"/>
  <c r="Q209" i="34"/>
  <c r="O44" i="34"/>
  <c r="O195" i="34"/>
  <c r="Q33" i="34"/>
  <c r="Q90" i="34"/>
  <c r="Q205" i="34"/>
  <c r="O103" i="34"/>
  <c r="Q131" i="34"/>
  <c r="Q174" i="34"/>
  <c r="P112" i="34"/>
  <c r="Q62" i="34"/>
  <c r="O37" i="34"/>
  <c r="Q234" i="34"/>
  <c r="P41" i="34"/>
  <c r="Q109" i="34"/>
  <c r="P134" i="34"/>
  <c r="P79" i="34"/>
  <c r="P159" i="34"/>
  <c r="Q195" i="34"/>
  <c r="O33" i="34"/>
  <c r="O205" i="34"/>
  <c r="Q112" i="34"/>
  <c r="P62" i="34"/>
  <c r="P44" i="34"/>
  <c r="Q79" i="34"/>
  <c r="Q159" i="34"/>
  <c r="P195" i="34"/>
  <c r="P165" i="34"/>
  <c r="O165" i="34"/>
  <c r="P103" i="34"/>
  <c r="O174" i="34"/>
  <c r="O112" i="34"/>
  <c r="P37" i="34"/>
  <c r="Q41" i="34"/>
  <c r="P109" i="34"/>
  <c r="Q44" i="34"/>
  <c r="O79" i="34"/>
  <c r="O159" i="34"/>
  <c r="P33" i="34"/>
  <c r="P90" i="34"/>
  <c r="O90" i="34"/>
  <c r="Q165" i="34"/>
  <c r="P205" i="34"/>
  <c r="Q103" i="34"/>
  <c r="P131" i="34"/>
  <c r="O131" i="34"/>
  <c r="P174" i="34"/>
  <c r="O62" i="34"/>
  <c r="Q37" i="34"/>
  <c r="O41" i="34"/>
  <c r="O134" i="34"/>
  <c r="P234" i="34"/>
  <c r="O234" i="34"/>
  <c r="O109" i="34"/>
  <c r="Q134" i="34"/>
  <c r="Q85" i="34"/>
  <c r="Q83" i="34"/>
  <c r="P85" i="34"/>
  <c r="P111" i="34"/>
  <c r="Q111" i="34"/>
  <c r="Q26" i="34"/>
  <c r="O83" i="34"/>
  <c r="O85" i="34"/>
  <c r="O111" i="34"/>
  <c r="P26" i="34"/>
  <c r="P83" i="34"/>
  <c r="O26" i="34"/>
  <c r="Q146" i="34"/>
  <c r="P187" i="34"/>
  <c r="P129" i="34"/>
  <c r="Q155" i="34"/>
  <c r="Q172" i="34"/>
  <c r="Q30" i="34"/>
  <c r="Q35" i="34"/>
  <c r="P40" i="34"/>
  <c r="Q60" i="34"/>
  <c r="O100" i="34"/>
  <c r="Q91" i="34"/>
  <c r="Q191" i="34"/>
  <c r="O156" i="34"/>
  <c r="Q163" i="34"/>
  <c r="O36" i="34"/>
  <c r="P42" i="34"/>
  <c r="Q101" i="34"/>
  <c r="P77" i="34"/>
  <c r="P92" i="34"/>
  <c r="P23" i="34"/>
  <c r="O23" i="34"/>
  <c r="P160" i="34"/>
  <c r="Q132" i="34"/>
  <c r="P157" i="34"/>
  <c r="O157" i="34"/>
  <c r="P164" i="34"/>
  <c r="P175" i="34"/>
  <c r="O32" i="34"/>
  <c r="P38" i="34"/>
  <c r="P84" i="34"/>
  <c r="P86" i="34"/>
  <c r="O86" i="34"/>
  <c r="Q102" i="34"/>
  <c r="Q88" i="34"/>
  <c r="Q151" i="34"/>
  <c r="P143" i="34"/>
  <c r="O143" i="34"/>
  <c r="O133" i="34"/>
  <c r="P158" i="34"/>
  <c r="P171" i="34"/>
  <c r="P59" i="34"/>
  <c r="O59" i="34"/>
  <c r="Q25" i="34"/>
  <c r="P113" i="34"/>
  <c r="Q107" i="34"/>
  <c r="O87" i="34"/>
  <c r="Q59" i="34"/>
  <c r="P28" i="34"/>
  <c r="P87" i="34"/>
  <c r="P146" i="34"/>
  <c r="Q129" i="34"/>
  <c r="O155" i="34"/>
  <c r="P162" i="34"/>
  <c r="P30" i="34"/>
  <c r="Q40" i="34"/>
  <c r="O60" i="34"/>
  <c r="P108" i="34"/>
  <c r="O91" i="34"/>
  <c r="P191" i="34"/>
  <c r="O130" i="34"/>
  <c r="Q156" i="34"/>
  <c r="O163" i="34"/>
  <c r="P173" i="34"/>
  <c r="P31" i="34"/>
  <c r="O31" i="34"/>
  <c r="P61" i="34"/>
  <c r="P110" i="34"/>
  <c r="O110" i="34"/>
  <c r="P101" i="34"/>
  <c r="O89" i="34"/>
  <c r="Q92" i="34"/>
  <c r="Q23" i="34"/>
  <c r="O142" i="34"/>
  <c r="O132" i="34"/>
  <c r="Q157" i="34"/>
  <c r="P27" i="34"/>
  <c r="O27" i="34"/>
  <c r="Q84" i="34"/>
  <c r="Q86" i="34"/>
  <c r="P147" i="34"/>
  <c r="O147" i="34"/>
  <c r="O88" i="34"/>
  <c r="P186" i="34"/>
  <c r="P161" i="34"/>
  <c r="O161" i="34"/>
  <c r="Q143" i="34"/>
  <c r="Q158" i="34"/>
  <c r="Q171" i="34"/>
  <c r="O34" i="34"/>
  <c r="P39" i="34"/>
  <c r="O39" i="34"/>
  <c r="O25" i="34"/>
  <c r="O113" i="34"/>
  <c r="O107" i="34"/>
  <c r="O187" i="34"/>
  <c r="O129" i="34"/>
  <c r="Q162" i="34"/>
  <c r="P172" i="34"/>
  <c r="O40" i="34"/>
  <c r="P100" i="34"/>
  <c r="Q108" i="34"/>
  <c r="Q130" i="34"/>
  <c r="P156" i="34"/>
  <c r="Q173" i="34"/>
  <c r="Q31" i="34"/>
  <c r="P36" i="34"/>
  <c r="O42" i="34"/>
  <c r="Q61" i="34"/>
  <c r="Q110" i="34"/>
  <c r="O77" i="34"/>
  <c r="Q89" i="34"/>
  <c r="O92" i="34"/>
  <c r="O160" i="34"/>
  <c r="Q142" i="34"/>
  <c r="O164" i="34"/>
  <c r="Q175" i="34"/>
  <c r="Q27" i="34"/>
  <c r="P32" i="34"/>
  <c r="O38" i="34"/>
  <c r="P43" i="34"/>
  <c r="O43" i="34"/>
  <c r="O84" i="34"/>
  <c r="P78" i="34"/>
  <c r="O78" i="34"/>
  <c r="Q147" i="34"/>
  <c r="Q186" i="34"/>
  <c r="Q161" i="34"/>
  <c r="P133" i="34"/>
  <c r="O158" i="34"/>
  <c r="Q28" i="34"/>
  <c r="Q34" i="34"/>
  <c r="Q39" i="34"/>
  <c r="Q113" i="34"/>
  <c r="O146" i="34"/>
  <c r="Q187" i="34"/>
  <c r="P155" i="34"/>
  <c r="O162" i="34"/>
  <c r="O172" i="34"/>
  <c r="O30" i="34"/>
  <c r="P35" i="34"/>
  <c r="O35" i="34"/>
  <c r="P60" i="34"/>
  <c r="Q100" i="34"/>
  <c r="O108" i="34"/>
  <c r="P91" i="34"/>
  <c r="O191" i="34"/>
  <c r="P130" i="34"/>
  <c r="P163" i="34"/>
  <c r="O173" i="34"/>
  <c r="Q36" i="34"/>
  <c r="Q42" i="34"/>
  <c r="O61" i="34"/>
  <c r="O101" i="34"/>
  <c r="Q77" i="34"/>
  <c r="P89" i="34"/>
  <c r="Q160" i="34"/>
  <c r="P142" i="34"/>
  <c r="P132" i="34"/>
  <c r="Q164" i="34"/>
  <c r="O175" i="34"/>
  <c r="Q32" i="34"/>
  <c r="Q38" i="34"/>
  <c r="Q43" i="34"/>
  <c r="P102" i="34"/>
  <c r="O102" i="34"/>
  <c r="Q78" i="34"/>
  <c r="P88" i="34"/>
  <c r="P151" i="34"/>
  <c r="O151" i="34"/>
  <c r="O186" i="34"/>
  <c r="Q133" i="34"/>
  <c r="O171" i="34"/>
  <c r="O28" i="34"/>
  <c r="P34" i="34"/>
  <c r="P25" i="34"/>
  <c r="P107" i="34"/>
  <c r="Q87" i="34"/>
  <c r="Q138" i="34"/>
  <c r="Q136" i="34"/>
  <c r="P136" i="34"/>
  <c r="O138" i="34"/>
  <c r="O136" i="34"/>
  <c r="P138" i="34"/>
  <c r="Q203" i="34"/>
  <c r="O203" i="34"/>
  <c r="P203" i="34"/>
  <c r="Q58" i="34"/>
  <c r="O58" i="34"/>
  <c r="P58" i="34"/>
  <c r="Q206" i="34"/>
  <c r="P141" i="34"/>
  <c r="P166" i="34"/>
  <c r="O206" i="34"/>
  <c r="Q218" i="34"/>
  <c r="O218" i="34"/>
  <c r="P206" i="34"/>
  <c r="P218" i="34"/>
  <c r="O141" i="34"/>
  <c r="O166" i="34"/>
  <c r="Q141" i="34"/>
  <c r="Q166" i="34"/>
  <c r="P153" i="34"/>
  <c r="O153" i="34"/>
  <c r="P148" i="34"/>
  <c r="Q153" i="34"/>
  <c r="Q148" i="34"/>
  <c r="O180" i="34"/>
  <c r="O148" i="34"/>
  <c r="P180" i="34"/>
  <c r="Q180" i="34"/>
  <c r="O181" i="34"/>
  <c r="Q139" i="34"/>
  <c r="Q167" i="34"/>
  <c r="Q145" i="34"/>
  <c r="Q201" i="34"/>
  <c r="Q288" i="34"/>
  <c r="P299" i="34"/>
  <c r="P149" i="34"/>
  <c r="Q285" i="34"/>
  <c r="O296" i="34"/>
  <c r="P197" i="34"/>
  <c r="O152" i="34"/>
  <c r="Q198" i="34"/>
  <c r="Q286" i="34"/>
  <c r="O297" i="34"/>
  <c r="Q289" i="34"/>
  <c r="O287" i="34"/>
  <c r="P289" i="34"/>
  <c r="P144" i="34"/>
  <c r="O183" i="34"/>
  <c r="O200" i="34"/>
  <c r="P182" i="34"/>
  <c r="O145" i="34"/>
  <c r="P168" i="34"/>
  <c r="O201" i="34"/>
  <c r="O288" i="34"/>
  <c r="P295" i="34"/>
  <c r="Q299" i="34"/>
  <c r="Q149" i="34"/>
  <c r="P285" i="34"/>
  <c r="Q197" i="34"/>
  <c r="Q152" i="34"/>
  <c r="O198" i="34"/>
  <c r="Q297" i="34"/>
  <c r="P291" i="34"/>
  <c r="P181" i="34"/>
  <c r="Q182" i="34"/>
  <c r="O167" i="34"/>
  <c r="O168" i="34"/>
  <c r="P196" i="34"/>
  <c r="O196" i="34"/>
  <c r="Q295" i="34"/>
  <c r="O299" i="34"/>
  <c r="O149" i="34"/>
  <c r="P296" i="34"/>
  <c r="O197" i="34"/>
  <c r="P152" i="34"/>
  <c r="P290" i="34"/>
  <c r="O290" i="34"/>
  <c r="P297" i="34"/>
  <c r="Q144" i="34"/>
  <c r="Q183" i="34"/>
  <c r="Q200" i="34"/>
  <c r="P287" i="34"/>
  <c r="Q291" i="34"/>
  <c r="P298" i="34"/>
  <c r="O298" i="34"/>
  <c r="Q181" i="34"/>
  <c r="P139" i="34"/>
  <c r="O139" i="34"/>
  <c r="O182" i="34"/>
  <c r="P167" i="34"/>
  <c r="P145" i="34"/>
  <c r="Q168" i="34"/>
  <c r="Q196" i="34"/>
  <c r="P201" i="34"/>
  <c r="P288" i="34"/>
  <c r="O295" i="34"/>
  <c r="O285" i="34"/>
  <c r="Q296" i="34"/>
  <c r="P198" i="34"/>
  <c r="P286" i="34"/>
  <c r="O286" i="34"/>
  <c r="Q290" i="34"/>
  <c r="O289" i="34"/>
  <c r="O144" i="34"/>
  <c r="P183" i="34"/>
  <c r="Q287" i="34"/>
  <c r="O291" i="34"/>
  <c r="Q298" i="34"/>
  <c r="P200" i="34"/>
  <c r="P82" i="34"/>
  <c r="O82" i="34"/>
  <c r="Q99" i="34"/>
  <c r="Q82" i="34"/>
  <c r="P98" i="34"/>
  <c r="P99" i="34"/>
  <c r="O99" i="34"/>
  <c r="Q98" i="34"/>
  <c r="O98" i="34"/>
  <c r="O118" i="34"/>
  <c r="O125" i="34"/>
  <c r="Q118" i="34"/>
  <c r="P125" i="34"/>
  <c r="Q125" i="34"/>
  <c r="P118" i="34"/>
  <c r="Q126" i="34"/>
  <c r="P126" i="34"/>
  <c r="O126" i="34"/>
  <c r="Q54" i="34"/>
  <c r="O54" i="34"/>
  <c r="Q63" i="34"/>
  <c r="O63" i="34"/>
  <c r="P63" i="34"/>
  <c r="P5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0" i="34" l="1"/>
  <c r="B224" i="34"/>
  <c r="B225" i="34"/>
  <c r="B67" i="34"/>
  <c r="B120" i="34"/>
  <c r="B207" i="34"/>
  <c r="B208" i="34"/>
  <c r="P208" i="34" l="1"/>
  <c r="Q208" i="34"/>
  <c r="U208" i="34"/>
  <c r="Z208" i="34"/>
  <c r="O208" i="34"/>
  <c r="W208" i="34"/>
  <c r="A208" i="34"/>
  <c r="O225" i="34"/>
  <c r="W225" i="34"/>
  <c r="P225" i="34"/>
  <c r="Q225" i="34"/>
  <c r="U225" i="34"/>
  <c r="Z225" i="34"/>
  <c r="A225" i="34"/>
  <c r="Q207" i="34"/>
  <c r="U207" i="34"/>
  <c r="Z207" i="34"/>
  <c r="O207" i="34"/>
  <c r="W207" i="34"/>
  <c r="P207" i="34"/>
  <c r="A207" i="34"/>
  <c r="P224" i="34"/>
  <c r="Q224" i="34"/>
  <c r="U224" i="34"/>
  <c r="O224" i="34"/>
  <c r="Z224" i="34"/>
  <c r="W224" i="34"/>
  <c r="A224" i="34"/>
  <c r="Q120" i="34"/>
  <c r="U120" i="34"/>
  <c r="W120" i="34"/>
  <c r="O120" i="34"/>
  <c r="P120" i="34"/>
  <c r="Z120" i="34"/>
  <c r="A120" i="34"/>
  <c r="Z220" i="34"/>
  <c r="O220" i="34"/>
  <c r="W220" i="34"/>
  <c r="P220" i="34"/>
  <c r="Q220" i="34"/>
  <c r="U220" i="34"/>
  <c r="A220" i="34"/>
  <c r="P67" i="34"/>
  <c r="Q67" i="34"/>
  <c r="U67" i="34"/>
  <c r="Z67" i="34"/>
  <c r="O67" i="34"/>
  <c r="W67" i="34"/>
  <c r="A67" i="34"/>
  <c r="B105" i="34"/>
  <c r="B114" i="34"/>
  <c r="B115" i="34"/>
  <c r="B116" i="34"/>
  <c r="B117" i="34"/>
  <c r="B215" i="34"/>
  <c r="B216" i="34"/>
  <c r="B217" i="34"/>
  <c r="B219" i="34"/>
  <c r="B65" i="34"/>
  <c r="B66" i="34"/>
  <c r="B75" i="34"/>
  <c r="B76" i="34"/>
  <c r="B81" i="34"/>
  <c r="B93" i="34"/>
  <c r="B94" i="34"/>
  <c r="B95" i="34"/>
  <c r="B104" i="34"/>
  <c r="B56" i="34"/>
  <c r="B194" i="34"/>
  <c r="B55" i="34"/>
  <c r="B135" i="34"/>
  <c r="B127" i="34"/>
  <c r="B294" i="34"/>
  <c r="B193" i="34"/>
  <c r="B240" i="34"/>
  <c r="B230" i="34"/>
  <c r="B211" i="34"/>
  <c r="B212" i="34"/>
  <c r="B235" i="34"/>
  <c r="B236" i="34"/>
  <c r="B228" i="34"/>
  <c r="B229" i="34"/>
  <c r="B222" i="34"/>
  <c r="B48" i="34"/>
  <c r="B49" i="34"/>
  <c r="B242" i="34"/>
  <c r="B292" i="34"/>
  <c r="B293" i="34"/>
  <c r="B45" i="34"/>
  <c r="B178" i="34"/>
  <c r="B199" i="34"/>
  <c r="B177" i="34"/>
  <c r="B185" i="34"/>
  <c r="B72" i="34"/>
  <c r="B73" i="34"/>
  <c r="B80" i="34"/>
  <c r="B97" i="34"/>
  <c r="B64" i="34"/>
  <c r="B71" i="34"/>
  <c r="B204" i="34"/>
  <c r="B241" i="34"/>
  <c r="B210" i="34"/>
  <c r="B24" i="34"/>
  <c r="B29" i="34"/>
  <c r="B223" i="34"/>
  <c r="B239" i="34"/>
  <c r="B231" i="34"/>
  <c r="B232" i="34"/>
  <c r="B233" i="34"/>
  <c r="B192" i="34"/>
  <c r="B176" i="34"/>
  <c r="B46" i="34"/>
  <c r="B47" i="34"/>
  <c r="B51" i="34"/>
  <c r="B52" i="34"/>
  <c r="B227" i="34"/>
  <c r="B237" i="34"/>
  <c r="B238" i="34"/>
  <c r="Q237" i="34" l="1"/>
  <c r="U237" i="34"/>
  <c r="R237" i="34"/>
  <c r="Z237" i="34"/>
  <c r="O237" i="34"/>
  <c r="S237" i="34"/>
  <c r="W237" i="34"/>
  <c r="P237" i="34"/>
  <c r="T237" i="34"/>
  <c r="A237" i="34"/>
  <c r="O239" i="34"/>
  <c r="W239" i="34"/>
  <c r="P239" i="34"/>
  <c r="Q239" i="34"/>
  <c r="U239" i="34"/>
  <c r="Z239" i="34"/>
  <c r="A239" i="34"/>
  <c r="O72" i="34"/>
  <c r="R72" i="34"/>
  <c r="Z72" i="34"/>
  <c r="S72" i="34"/>
  <c r="W72" i="34"/>
  <c r="P72" i="34"/>
  <c r="T72" i="34"/>
  <c r="Q72" i="34"/>
  <c r="U72" i="34"/>
  <c r="A72" i="34"/>
  <c r="P242" i="34"/>
  <c r="Q242" i="34"/>
  <c r="U242" i="34"/>
  <c r="Z242" i="34"/>
  <c r="O242" i="34"/>
  <c r="W242" i="34"/>
  <c r="A242" i="34"/>
  <c r="O193" i="34"/>
  <c r="W193" i="34"/>
  <c r="P193" i="34"/>
  <c r="Q193" i="34"/>
  <c r="U193" i="34"/>
  <c r="Z193" i="34"/>
  <c r="A193" i="34"/>
  <c r="O219" i="34"/>
  <c r="W219" i="34"/>
  <c r="P219" i="34"/>
  <c r="Q219" i="34"/>
  <c r="U219" i="34"/>
  <c r="Z219" i="34"/>
  <c r="A219" i="34"/>
  <c r="Q227" i="34"/>
  <c r="U227" i="34"/>
  <c r="R227" i="34"/>
  <c r="Z227" i="34"/>
  <c r="O227" i="34"/>
  <c r="P227" i="34"/>
  <c r="W227" i="34"/>
  <c r="S227" i="34"/>
  <c r="T227" i="34"/>
  <c r="A227" i="34"/>
  <c r="Q233" i="34"/>
  <c r="U233" i="34"/>
  <c r="Z233" i="34"/>
  <c r="O233" i="34"/>
  <c r="W233" i="34"/>
  <c r="P233" i="34"/>
  <c r="A233" i="34"/>
  <c r="O223" i="34"/>
  <c r="W223" i="34"/>
  <c r="Q223" i="34"/>
  <c r="U223" i="34"/>
  <c r="Z223" i="34"/>
  <c r="P223" i="34"/>
  <c r="A223" i="34"/>
  <c r="Q97" i="34"/>
  <c r="U97" i="34"/>
  <c r="R97" i="34"/>
  <c r="Z97" i="34"/>
  <c r="O97" i="34"/>
  <c r="S97" i="34"/>
  <c r="W97" i="34"/>
  <c r="P97" i="34"/>
  <c r="T97" i="34"/>
  <c r="A97" i="34"/>
  <c r="O185" i="34"/>
  <c r="S185" i="34"/>
  <c r="W185" i="34"/>
  <c r="P185" i="34"/>
  <c r="T185" i="34"/>
  <c r="Q185" i="34"/>
  <c r="U185" i="34"/>
  <c r="R185" i="34"/>
  <c r="Z185" i="34"/>
  <c r="A185" i="34"/>
  <c r="Z49" i="34"/>
  <c r="O49" i="34"/>
  <c r="W49" i="34"/>
  <c r="P49" i="34"/>
  <c r="Q49" i="34"/>
  <c r="U49" i="34"/>
  <c r="A49" i="34"/>
  <c r="P228" i="34"/>
  <c r="Q228" i="34"/>
  <c r="U228" i="34"/>
  <c r="O228" i="34"/>
  <c r="Z228" i="34"/>
  <c r="W228" i="34"/>
  <c r="A228" i="34"/>
  <c r="O211" i="34"/>
  <c r="W211" i="34"/>
  <c r="P211" i="34"/>
  <c r="Q211" i="34"/>
  <c r="U211" i="34"/>
  <c r="Z211" i="34"/>
  <c r="A211" i="34"/>
  <c r="Z194" i="34"/>
  <c r="O194" i="34"/>
  <c r="W194" i="34"/>
  <c r="P194" i="34"/>
  <c r="Q194" i="34"/>
  <c r="U194" i="34"/>
  <c r="A194" i="34"/>
  <c r="P94" i="34"/>
  <c r="Q94" i="34"/>
  <c r="U94" i="34"/>
  <c r="Z94" i="34"/>
  <c r="O94" i="34"/>
  <c r="W94" i="34"/>
  <c r="A94" i="34"/>
  <c r="O75" i="34"/>
  <c r="W75" i="34"/>
  <c r="P75" i="34"/>
  <c r="Q75" i="34"/>
  <c r="U75" i="34"/>
  <c r="Z75" i="34"/>
  <c r="A75" i="34"/>
  <c r="Q217" i="34"/>
  <c r="U217" i="34"/>
  <c r="Z217" i="34"/>
  <c r="O217" i="34"/>
  <c r="W217" i="34"/>
  <c r="P217" i="34"/>
  <c r="A217" i="34"/>
  <c r="Q116" i="34"/>
  <c r="U116" i="34"/>
  <c r="O116" i="34"/>
  <c r="P116" i="34"/>
  <c r="Z116" i="34"/>
  <c r="W116" i="34"/>
  <c r="A116" i="34"/>
  <c r="O52" i="34"/>
  <c r="W52" i="34"/>
  <c r="P52" i="34"/>
  <c r="Q52" i="34"/>
  <c r="U52" i="34"/>
  <c r="Z52" i="34"/>
  <c r="A52" i="34"/>
  <c r="P232" i="34"/>
  <c r="Z232" i="34"/>
  <c r="W232" i="34"/>
  <c r="O232" i="34"/>
  <c r="Q232" i="34"/>
  <c r="U232" i="34"/>
  <c r="A232" i="34"/>
  <c r="R29" i="34"/>
  <c r="Z29" i="34"/>
  <c r="O29" i="34"/>
  <c r="S29" i="34"/>
  <c r="W29" i="34"/>
  <c r="P29" i="34"/>
  <c r="T29" i="34"/>
  <c r="Q29" i="34"/>
  <c r="U29" i="34"/>
  <c r="A29" i="34"/>
  <c r="P204" i="34"/>
  <c r="Q204" i="34"/>
  <c r="U204" i="34"/>
  <c r="Z204" i="34"/>
  <c r="O204" i="34"/>
  <c r="W204" i="34"/>
  <c r="A204" i="34"/>
  <c r="R80" i="34"/>
  <c r="Z80" i="34"/>
  <c r="O80" i="34"/>
  <c r="S80" i="34"/>
  <c r="W80" i="34"/>
  <c r="P80" i="34"/>
  <c r="T80" i="34"/>
  <c r="Q80" i="34"/>
  <c r="U80" i="34"/>
  <c r="A80" i="34"/>
  <c r="O177" i="34"/>
  <c r="S177" i="34"/>
  <c r="W177" i="34"/>
  <c r="R177" i="34"/>
  <c r="T177" i="34"/>
  <c r="P177" i="34"/>
  <c r="U177" i="34"/>
  <c r="Z177" i="34"/>
  <c r="Q177" i="34"/>
  <c r="A177" i="34"/>
  <c r="Q293" i="34"/>
  <c r="U293" i="34"/>
  <c r="Z293" i="34"/>
  <c r="O293" i="34"/>
  <c r="W293" i="34"/>
  <c r="P293" i="34"/>
  <c r="A293" i="34"/>
  <c r="O48" i="34"/>
  <c r="W48" i="34"/>
  <c r="P48" i="34"/>
  <c r="Q48" i="34"/>
  <c r="U48" i="34"/>
  <c r="Z48" i="34"/>
  <c r="A48" i="34"/>
  <c r="Z236" i="34"/>
  <c r="O236" i="34"/>
  <c r="W236" i="34"/>
  <c r="P236" i="34"/>
  <c r="Q236" i="34"/>
  <c r="U236" i="34"/>
  <c r="A236" i="34"/>
  <c r="Z230" i="34"/>
  <c r="O230" i="34"/>
  <c r="W230" i="34"/>
  <c r="P230" i="34"/>
  <c r="Q230" i="34"/>
  <c r="U230" i="34"/>
  <c r="A230" i="34"/>
  <c r="P127" i="34"/>
  <c r="Q127" i="34"/>
  <c r="U127" i="34"/>
  <c r="Z127" i="34"/>
  <c r="O127" i="34"/>
  <c r="W127" i="34"/>
  <c r="A127" i="34"/>
  <c r="O56" i="34"/>
  <c r="W56" i="34"/>
  <c r="P56" i="34"/>
  <c r="Q56" i="34"/>
  <c r="U56" i="34"/>
  <c r="Z56" i="34"/>
  <c r="A56" i="34"/>
  <c r="Q93" i="34"/>
  <c r="U93" i="34"/>
  <c r="Z93" i="34"/>
  <c r="O93" i="34"/>
  <c r="W93" i="34"/>
  <c r="P93" i="34"/>
  <c r="A93" i="34"/>
  <c r="Q66" i="34"/>
  <c r="U66" i="34"/>
  <c r="Z66" i="34"/>
  <c r="O66" i="34"/>
  <c r="W66" i="34"/>
  <c r="P66" i="34"/>
  <c r="A66" i="34"/>
  <c r="Z216" i="34"/>
  <c r="O216" i="34"/>
  <c r="W216" i="34"/>
  <c r="P216" i="34"/>
  <c r="Q216" i="34"/>
  <c r="U216" i="34"/>
  <c r="A216" i="34"/>
  <c r="O115" i="34"/>
  <c r="W115" i="34"/>
  <c r="Z115" i="34"/>
  <c r="P115" i="34"/>
  <c r="Q115" i="34"/>
  <c r="U115" i="34"/>
  <c r="A115" i="34"/>
  <c r="P238" i="34"/>
  <c r="T238" i="34"/>
  <c r="Q238" i="34"/>
  <c r="U238" i="34"/>
  <c r="R238" i="34"/>
  <c r="Z238" i="34"/>
  <c r="O238" i="34"/>
  <c r="S238" i="34"/>
  <c r="W238" i="34"/>
  <c r="A238" i="34"/>
  <c r="P51" i="34"/>
  <c r="Q51" i="34"/>
  <c r="U51" i="34"/>
  <c r="Z51" i="34"/>
  <c r="O51" i="34"/>
  <c r="W51" i="34"/>
  <c r="A51" i="34"/>
  <c r="P176" i="34"/>
  <c r="Z176" i="34"/>
  <c r="W176" i="34"/>
  <c r="O176" i="34"/>
  <c r="Q176" i="34"/>
  <c r="U176" i="34"/>
  <c r="A176" i="34"/>
  <c r="Q231" i="34"/>
  <c r="U231" i="34"/>
  <c r="P231" i="34"/>
  <c r="Z231" i="34"/>
  <c r="W231" i="34"/>
  <c r="O231" i="34"/>
  <c r="A231" i="34"/>
  <c r="O24" i="34"/>
  <c r="S24" i="34"/>
  <c r="W24" i="34"/>
  <c r="P24" i="34"/>
  <c r="T24" i="34"/>
  <c r="Q24" i="34"/>
  <c r="U24" i="34"/>
  <c r="R24" i="34"/>
  <c r="Z24" i="34"/>
  <c r="A24" i="34"/>
  <c r="P71" i="34"/>
  <c r="T71" i="34"/>
  <c r="O71" i="34"/>
  <c r="S71" i="34"/>
  <c r="Z71" i="34"/>
  <c r="Q71" i="34"/>
  <c r="W71" i="34"/>
  <c r="R71" i="34"/>
  <c r="U71" i="34"/>
  <c r="A71" i="34"/>
  <c r="Q73" i="34"/>
  <c r="U73" i="34"/>
  <c r="R73" i="34"/>
  <c r="Z73" i="34"/>
  <c r="O73" i="34"/>
  <c r="S73" i="34"/>
  <c r="W73" i="34"/>
  <c r="P73" i="34"/>
  <c r="T73" i="34"/>
  <c r="A73" i="34"/>
  <c r="Q199" i="34"/>
  <c r="U199" i="34"/>
  <c r="R199" i="34"/>
  <c r="Z199" i="34"/>
  <c r="O199" i="34"/>
  <c r="S199" i="34"/>
  <c r="W199" i="34"/>
  <c r="P199" i="34"/>
  <c r="T199" i="34"/>
  <c r="A199" i="34"/>
  <c r="Z292" i="34"/>
  <c r="O292" i="34"/>
  <c r="W292" i="34"/>
  <c r="P292" i="34"/>
  <c r="Q292" i="34"/>
  <c r="U292" i="34"/>
  <c r="A292" i="34"/>
  <c r="P222" i="34"/>
  <c r="Z222" i="34"/>
  <c r="O222" i="34"/>
  <c r="W222" i="34"/>
  <c r="Q222" i="34"/>
  <c r="U222" i="34"/>
  <c r="A222" i="34"/>
  <c r="O235" i="34"/>
  <c r="W235" i="34"/>
  <c r="P235" i="34"/>
  <c r="Q235" i="34"/>
  <c r="U235" i="34"/>
  <c r="Z235" i="34"/>
  <c r="A235" i="34"/>
  <c r="Z240" i="34"/>
  <c r="O240" i="34"/>
  <c r="W240" i="34"/>
  <c r="P240" i="34"/>
  <c r="Q240" i="34"/>
  <c r="U240" i="34"/>
  <c r="A240" i="34"/>
  <c r="P135" i="34"/>
  <c r="Q135" i="34"/>
  <c r="U135" i="34"/>
  <c r="Z135" i="34"/>
  <c r="O135" i="34"/>
  <c r="W135" i="34"/>
  <c r="A135" i="34"/>
  <c r="Z104" i="34"/>
  <c r="O104" i="34"/>
  <c r="W104" i="34"/>
  <c r="P104" i="34"/>
  <c r="Q104" i="34"/>
  <c r="U104" i="34"/>
  <c r="A104" i="34"/>
  <c r="Q81" i="34"/>
  <c r="U81" i="34"/>
  <c r="Z81" i="34"/>
  <c r="O81" i="34"/>
  <c r="W81" i="34"/>
  <c r="P81" i="34"/>
  <c r="A81" i="34"/>
  <c r="Z65" i="34"/>
  <c r="O65" i="34"/>
  <c r="W65" i="34"/>
  <c r="P65" i="34"/>
  <c r="Q65" i="34"/>
  <c r="U65" i="34"/>
  <c r="A65" i="34"/>
  <c r="O215" i="34"/>
  <c r="W215" i="34"/>
  <c r="P215" i="34"/>
  <c r="Q215" i="34"/>
  <c r="U215" i="34"/>
  <c r="Z215" i="34"/>
  <c r="A215" i="34"/>
  <c r="P114" i="34"/>
  <c r="O114" i="34"/>
  <c r="W114" i="34"/>
  <c r="Q114" i="34"/>
  <c r="U114" i="34"/>
  <c r="Z114" i="34"/>
  <c r="A114" i="34"/>
  <c r="P192" i="34"/>
  <c r="Q192" i="34"/>
  <c r="U192" i="34"/>
  <c r="Z192" i="34"/>
  <c r="O192" i="34"/>
  <c r="W192" i="34"/>
  <c r="A192" i="34"/>
  <c r="O64" i="34"/>
  <c r="S64" i="34"/>
  <c r="W64" i="34"/>
  <c r="P64" i="34"/>
  <c r="T64" i="34"/>
  <c r="Q64" i="34"/>
  <c r="U64" i="34"/>
  <c r="R64" i="34"/>
  <c r="Z64" i="34"/>
  <c r="A64" i="34"/>
  <c r="O229" i="34"/>
  <c r="W229" i="34"/>
  <c r="P229" i="34"/>
  <c r="Q229" i="34"/>
  <c r="U229" i="34"/>
  <c r="Z229" i="34"/>
  <c r="A229" i="34"/>
  <c r="P55" i="34"/>
  <c r="Q55" i="34"/>
  <c r="U55" i="34"/>
  <c r="Z55" i="34"/>
  <c r="O55" i="34"/>
  <c r="W55" i="34"/>
  <c r="A55" i="34"/>
  <c r="Z76" i="34"/>
  <c r="O76" i="34"/>
  <c r="W76" i="34"/>
  <c r="P76" i="34"/>
  <c r="Q76" i="34"/>
  <c r="U76" i="34"/>
  <c r="A76" i="34"/>
  <c r="P117" i="34"/>
  <c r="Q117" i="34"/>
  <c r="U117" i="34"/>
  <c r="Z117" i="34"/>
  <c r="W117" i="34"/>
  <c r="O117" i="34"/>
  <c r="A117" i="34"/>
  <c r="Q105" i="34"/>
  <c r="U105" i="34"/>
  <c r="Z105" i="34"/>
  <c r="O105" i="34"/>
  <c r="W105" i="34"/>
  <c r="P105" i="34"/>
  <c r="A105" i="34"/>
  <c r="P47" i="34"/>
  <c r="Q47" i="34"/>
  <c r="U47" i="34"/>
  <c r="Z47" i="34"/>
  <c r="O47" i="34"/>
  <c r="W47" i="34"/>
  <c r="A47" i="34"/>
  <c r="Z210" i="34"/>
  <c r="O210" i="34"/>
  <c r="W210" i="34"/>
  <c r="P210" i="34"/>
  <c r="Q210" i="34"/>
  <c r="U210" i="34"/>
  <c r="A210" i="34"/>
  <c r="R178" i="34"/>
  <c r="Z178" i="34"/>
  <c r="O178" i="34"/>
  <c r="T178" i="34"/>
  <c r="P178" i="34"/>
  <c r="U178" i="34"/>
  <c r="Q178" i="34"/>
  <c r="S178" i="34"/>
  <c r="W178" i="34"/>
  <c r="A178" i="34"/>
  <c r="Z212" i="34"/>
  <c r="O212" i="34"/>
  <c r="W212" i="34"/>
  <c r="P212" i="34"/>
  <c r="Q212" i="34"/>
  <c r="U212" i="34"/>
  <c r="A212" i="34"/>
  <c r="O95" i="34"/>
  <c r="W95" i="34"/>
  <c r="P95" i="34"/>
  <c r="Q95" i="34"/>
  <c r="U95" i="34"/>
  <c r="Z95" i="34"/>
  <c r="A95" i="34"/>
  <c r="Q46" i="34"/>
  <c r="U46" i="34"/>
  <c r="Z46" i="34"/>
  <c r="O46" i="34"/>
  <c r="W46" i="34"/>
  <c r="P46" i="34"/>
  <c r="A46" i="34"/>
  <c r="Q241" i="34"/>
  <c r="U241" i="34"/>
  <c r="Z241" i="34"/>
  <c r="O241" i="34"/>
  <c r="W241" i="34"/>
  <c r="P241" i="34"/>
  <c r="A241" i="34"/>
  <c r="Z45" i="34"/>
  <c r="O45" i="34"/>
  <c r="W45" i="34"/>
  <c r="P45" i="34"/>
  <c r="Q45" i="34"/>
  <c r="U45" i="34"/>
  <c r="A45" i="34"/>
  <c r="P294" i="34"/>
  <c r="Q294" i="34"/>
  <c r="U294" i="34"/>
  <c r="Z294" i="34"/>
  <c r="O294" i="34"/>
  <c r="W294" i="34"/>
  <c r="A294" i="34"/>
  <c r="B214" i="34"/>
  <c r="B213" i="34"/>
  <c r="B169" i="34"/>
  <c r="B179" i="34"/>
  <c r="B124" i="34"/>
  <c r="Q179" i="34" l="1"/>
  <c r="U179" i="34"/>
  <c r="P179" i="34"/>
  <c r="Z179" i="34"/>
  <c r="W179" i="34"/>
  <c r="O179" i="34"/>
  <c r="A179" i="34"/>
  <c r="O124" i="34"/>
  <c r="S124" i="34"/>
  <c r="W124" i="34"/>
  <c r="P124" i="34"/>
  <c r="T124" i="34"/>
  <c r="Q124" i="34"/>
  <c r="U124" i="34"/>
  <c r="R124" i="34"/>
  <c r="Z124" i="34"/>
  <c r="A124" i="34"/>
  <c r="P214" i="34"/>
  <c r="Q214" i="34"/>
  <c r="U214" i="34"/>
  <c r="Z214" i="34"/>
  <c r="O214" i="34"/>
  <c r="W214" i="34"/>
  <c r="A214" i="34"/>
  <c r="P169" i="34"/>
  <c r="O169" i="34"/>
  <c r="W169" i="34"/>
  <c r="Q169" i="34"/>
  <c r="U169" i="34"/>
  <c r="Z169" i="34"/>
  <c r="A169" i="34"/>
  <c r="Q213" i="34"/>
  <c r="U213" i="34"/>
  <c r="Z213" i="34"/>
  <c r="O213" i="34"/>
  <c r="W213" i="34"/>
  <c r="P213" i="34"/>
  <c r="A213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0" i="34"/>
  <c r="B202" i="34"/>
  <c r="Z202" i="34" l="1"/>
  <c r="O202" i="34"/>
  <c r="W202" i="34"/>
  <c r="P202" i="34"/>
  <c r="Q202" i="34"/>
  <c r="U202" i="34"/>
  <c r="A202" i="34"/>
  <c r="Q50" i="34"/>
  <c r="U50" i="34"/>
  <c r="Z50" i="34"/>
  <c r="O50" i="34"/>
  <c r="W50" i="34"/>
  <c r="P50" i="34"/>
  <c r="A50" i="34"/>
  <c r="B53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Z53" i="34" l="1"/>
  <c r="O53" i="34"/>
  <c r="W53" i="34"/>
  <c r="P53" i="34"/>
  <c r="Q53" i="34"/>
  <c r="U53" i="34"/>
  <c r="A5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E19" i="75"/>
  <c r="E20" i="75"/>
  <c r="J20" i="75" s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18" i="75" l="1"/>
  <c r="K17" i="77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31" i="15"/>
  <c r="C49" i="15" s="1"/>
  <c r="D31" i="15"/>
  <c r="D49" i="15" s="1"/>
  <c r="F36" i="74" l="1"/>
  <c r="F37" i="74" s="1"/>
  <c r="G34" i="77"/>
  <c r="F33" i="77"/>
  <c r="F34" i="77" s="1"/>
  <c r="G28" i="78"/>
  <c r="G24" i="75"/>
  <c r="F23" i="75"/>
  <c r="F24" i="75" s="1"/>
  <c r="G37" i="74"/>
  <c r="D33" i="15"/>
  <c r="G29" i="78" l="1"/>
  <c r="F28" i="78"/>
  <c r="F29" i="78" s="1"/>
  <c r="B11" i="61"/>
  <c r="I37" i="60"/>
  <c r="G37" i="60"/>
  <c r="C37" i="60"/>
  <c r="A24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B15" i="58" l="1"/>
  <c r="F15" i="58" s="1"/>
  <c r="C16" i="58"/>
  <c r="G16" i="58"/>
  <c r="D17" i="58"/>
  <c r="H17" i="58"/>
  <c r="E18" i="58"/>
  <c r="B19" i="58"/>
  <c r="F19" i="58" s="1"/>
  <c r="B20" i="58"/>
  <c r="F20" i="58" s="1"/>
  <c r="B21" i="58"/>
  <c r="F21" i="58" s="1"/>
  <c r="B22" i="58"/>
  <c r="F22" i="58" s="1"/>
  <c r="B23" i="58"/>
  <c r="F23" i="58" s="1"/>
  <c r="H14" i="58"/>
  <c r="C15" i="58"/>
  <c r="G15" i="58"/>
  <c r="D16" i="58"/>
  <c r="H16" i="58"/>
  <c r="E17" i="58"/>
  <c r="B18" i="58"/>
  <c r="F18" i="58" s="1"/>
  <c r="C19" i="58"/>
  <c r="G19" i="58"/>
  <c r="C20" i="58"/>
  <c r="G20" i="58"/>
  <c r="C21" i="58"/>
  <c r="G21" i="58"/>
  <c r="C22" i="58"/>
  <c r="G22" i="58"/>
  <c r="C23" i="58"/>
  <c r="G23" i="58"/>
  <c r="D15" i="58"/>
  <c r="H15" i="58"/>
  <c r="E16" i="58"/>
  <c r="B17" i="58"/>
  <c r="F17" i="58" s="1"/>
  <c r="C18" i="58"/>
  <c r="G18" i="58"/>
  <c r="D19" i="58"/>
  <c r="H19" i="58"/>
  <c r="D20" i="58"/>
  <c r="H20" i="58"/>
  <c r="D21" i="58"/>
  <c r="H21" i="58"/>
  <c r="D22" i="58"/>
  <c r="H22" i="58"/>
  <c r="D23" i="58"/>
  <c r="H23" i="58"/>
  <c r="E15" i="58"/>
  <c r="B16" i="58"/>
  <c r="F16" i="58" s="1"/>
  <c r="C17" i="58"/>
  <c r="G17" i="58"/>
  <c r="D18" i="58"/>
  <c r="H18" i="58"/>
  <c r="E19" i="58"/>
  <c r="I19" i="58" s="1"/>
  <c r="E20" i="58"/>
  <c r="I20" i="58" s="1"/>
  <c r="E21" i="58"/>
  <c r="I21" i="58" s="1"/>
  <c r="E22" i="58"/>
  <c r="I22" i="58" s="1"/>
  <c r="E23" i="58"/>
  <c r="I23" i="58" s="1"/>
  <c r="C14" i="58"/>
  <c r="G14" i="58"/>
  <c r="D14" i="58"/>
  <c r="V27" i="34"/>
  <c r="V32" i="34"/>
  <c r="V36" i="34"/>
  <c r="V40" i="34"/>
  <c r="V44" i="34"/>
  <c r="V48" i="34"/>
  <c r="V52" i="34"/>
  <c r="V57" i="34"/>
  <c r="V61" i="34"/>
  <c r="V67" i="34"/>
  <c r="V75" i="34"/>
  <c r="V79" i="34"/>
  <c r="V80" i="34"/>
  <c r="V84" i="34"/>
  <c r="V88" i="34"/>
  <c r="V92" i="34"/>
  <c r="V96" i="34"/>
  <c r="V97" i="34"/>
  <c r="V98" i="34"/>
  <c r="V99" i="34"/>
  <c r="V103" i="34"/>
  <c r="V107" i="34"/>
  <c r="V111" i="34"/>
  <c r="V115" i="34"/>
  <c r="V119" i="34"/>
  <c r="V123" i="34"/>
  <c r="V124" i="34"/>
  <c r="V128" i="34"/>
  <c r="V132" i="34"/>
  <c r="V136" i="34"/>
  <c r="V140" i="34"/>
  <c r="V141" i="34"/>
  <c r="V145" i="34"/>
  <c r="V149" i="34"/>
  <c r="V153" i="34"/>
  <c r="V157" i="34"/>
  <c r="V161" i="34"/>
  <c r="V165" i="34"/>
  <c r="V166" i="34"/>
  <c r="V170" i="34"/>
  <c r="V174" i="34"/>
  <c r="V180" i="34"/>
  <c r="V184" i="34"/>
  <c r="V185" i="34"/>
  <c r="V189" i="34"/>
  <c r="V193" i="34"/>
  <c r="V197" i="34"/>
  <c r="V202" i="34"/>
  <c r="V206" i="34"/>
  <c r="V210" i="34"/>
  <c r="V214" i="34"/>
  <c r="V219" i="34"/>
  <c r="V223" i="34"/>
  <c r="V228" i="34"/>
  <c r="V232" i="34"/>
  <c r="V236" i="34"/>
  <c r="V237" i="34"/>
  <c r="V238" i="34"/>
  <c r="V242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328" i="34"/>
  <c r="V313" i="34"/>
  <c r="V26" i="34"/>
  <c r="V31" i="34"/>
  <c r="V35" i="34"/>
  <c r="V39" i="34"/>
  <c r="V43" i="34"/>
  <c r="V47" i="34"/>
  <c r="V51" i="34"/>
  <c r="V56" i="34"/>
  <c r="V60" i="34"/>
  <c r="V66" i="34"/>
  <c r="V70" i="34"/>
  <c r="V71" i="34"/>
  <c r="V72" i="34"/>
  <c r="V73" i="34"/>
  <c r="V74" i="34"/>
  <c r="V78" i="34"/>
  <c r="V83" i="34"/>
  <c r="V87" i="34"/>
  <c r="V91" i="34"/>
  <c r="V95" i="34"/>
  <c r="V102" i="34"/>
  <c r="V106" i="34"/>
  <c r="V110" i="34"/>
  <c r="V114" i="34"/>
  <c r="V118" i="34"/>
  <c r="V122" i="34"/>
  <c r="V127" i="34"/>
  <c r="V131" i="34"/>
  <c r="V135" i="34"/>
  <c r="V139" i="34"/>
  <c r="V144" i="34"/>
  <c r="V148" i="34"/>
  <c r="V152" i="34"/>
  <c r="V156" i="34"/>
  <c r="V160" i="34"/>
  <c r="V164" i="34"/>
  <c r="V169" i="34"/>
  <c r="V173" i="34"/>
  <c r="V179" i="34"/>
  <c r="V183" i="34"/>
  <c r="V188" i="34"/>
  <c r="V192" i="34"/>
  <c r="V196" i="34"/>
  <c r="V201" i="34"/>
  <c r="V205" i="34"/>
  <c r="V209" i="34"/>
  <c r="V213" i="34"/>
  <c r="V217" i="34"/>
  <c r="V218" i="34"/>
  <c r="V222" i="34"/>
  <c r="V226" i="34"/>
  <c r="V227" i="34"/>
  <c r="V231" i="34"/>
  <c r="V235" i="34"/>
  <c r="V241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25" i="34"/>
  <c r="V30" i="34"/>
  <c r="V34" i="34"/>
  <c r="V38" i="34"/>
  <c r="V42" i="34"/>
  <c r="V46" i="34"/>
  <c r="V50" i="34"/>
  <c r="V55" i="34"/>
  <c r="V59" i="34"/>
  <c r="V65" i="34"/>
  <c r="V69" i="34"/>
  <c r="V77" i="34"/>
  <c r="V82" i="34"/>
  <c r="V86" i="34"/>
  <c r="V90" i="34"/>
  <c r="V94" i="34"/>
  <c r="V101" i="34"/>
  <c r="V105" i="34"/>
  <c r="V109" i="34"/>
  <c r="V113" i="34"/>
  <c r="V117" i="34"/>
  <c r="V121" i="34"/>
  <c r="V126" i="34"/>
  <c r="V130" i="34"/>
  <c r="V134" i="34"/>
  <c r="V138" i="34"/>
  <c r="V143" i="34"/>
  <c r="V147" i="34"/>
  <c r="V151" i="34"/>
  <c r="V155" i="34"/>
  <c r="V159" i="34"/>
  <c r="V163" i="34"/>
  <c r="V168" i="34"/>
  <c r="V172" i="34"/>
  <c r="V176" i="34"/>
  <c r="V177" i="34"/>
  <c r="V178" i="34"/>
  <c r="V182" i="34"/>
  <c r="V187" i="34"/>
  <c r="V191" i="34"/>
  <c r="V195" i="34"/>
  <c r="V200" i="34"/>
  <c r="V204" i="34"/>
  <c r="V208" i="34"/>
  <c r="V212" i="34"/>
  <c r="V216" i="34"/>
  <c r="V221" i="34"/>
  <c r="V225" i="34"/>
  <c r="V230" i="34"/>
  <c r="V234" i="34"/>
  <c r="V240" i="34"/>
  <c r="V244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23" i="34"/>
  <c r="V24" i="34"/>
  <c r="V28" i="34"/>
  <c r="V29" i="34"/>
  <c r="V33" i="34"/>
  <c r="V37" i="34"/>
  <c r="V41" i="34"/>
  <c r="V45" i="34"/>
  <c r="V49" i="34"/>
  <c r="V53" i="34"/>
  <c r="V54" i="34"/>
  <c r="V58" i="34"/>
  <c r="V62" i="34"/>
  <c r="V63" i="34"/>
  <c r="V64" i="34"/>
  <c r="V68" i="34"/>
  <c r="V76" i="34"/>
  <c r="V81" i="34"/>
  <c r="V85" i="34"/>
  <c r="V89" i="34"/>
  <c r="V93" i="34"/>
  <c r="V100" i="34"/>
  <c r="V104" i="34"/>
  <c r="V108" i="34"/>
  <c r="V112" i="34"/>
  <c r="V116" i="34"/>
  <c r="V120" i="34"/>
  <c r="V125" i="34"/>
  <c r="V129" i="34"/>
  <c r="V133" i="34"/>
  <c r="V137" i="34"/>
  <c r="V142" i="34"/>
  <c r="V146" i="34"/>
  <c r="V150" i="34"/>
  <c r="V154" i="34"/>
  <c r="V158" i="34"/>
  <c r="V162" i="34"/>
  <c r="V167" i="34"/>
  <c r="V171" i="34"/>
  <c r="V175" i="34"/>
  <c r="V181" i="34"/>
  <c r="V186" i="34"/>
  <c r="V190" i="34"/>
  <c r="V194" i="34"/>
  <c r="V198" i="34"/>
  <c r="V199" i="34"/>
  <c r="V203" i="34"/>
  <c r="V207" i="34"/>
  <c r="V211" i="34"/>
  <c r="V215" i="34"/>
  <c r="V220" i="34"/>
  <c r="V224" i="34"/>
  <c r="V229" i="34"/>
  <c r="V233" i="34"/>
  <c r="V239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6" i="34"/>
  <c r="V329" i="34"/>
  <c r="V317" i="34"/>
  <c r="V325" i="34"/>
  <c r="V321" i="34"/>
  <c r="V324" i="34"/>
  <c r="V323" i="34"/>
  <c r="V327" i="34"/>
  <c r="G15" i="57"/>
  <c r="G17" i="57"/>
  <c r="I15" i="57"/>
  <c r="I17" i="57"/>
  <c r="G16" i="57"/>
  <c r="G18" i="57"/>
  <c r="I14" i="57"/>
  <c r="I16" i="57"/>
  <c r="I18" i="57"/>
  <c r="G14" i="57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V18" i="34"/>
  <c r="V13" i="34"/>
  <c r="V14" i="34"/>
  <c r="V19" i="34"/>
  <c r="V11" i="34"/>
  <c r="V15" i="34"/>
  <c r="V20" i="34"/>
  <c r="V12" i="34"/>
  <c r="V16" i="34"/>
  <c r="V21" i="34"/>
  <c r="V17" i="34"/>
  <c r="V22" i="34"/>
  <c r="W12" i="34"/>
  <c r="W15" i="34"/>
  <c r="W17" i="34"/>
  <c r="W20" i="34"/>
  <c r="W22" i="34"/>
  <c r="W11" i="34"/>
  <c r="W16" i="34"/>
  <c r="W21" i="34"/>
  <c r="W13" i="34"/>
  <c r="W19" i="34"/>
  <c r="A12" i="56"/>
  <c r="H2" i="55"/>
  <c r="I59" i="55"/>
  <c r="L14" i="54"/>
  <c r="L16" i="54"/>
  <c r="L17" i="54" s="1"/>
  <c r="D8" i="60"/>
  <c r="F8" i="60"/>
  <c r="D7" i="60"/>
  <c r="D15" i="57"/>
  <c r="D16" i="57"/>
  <c r="D14" i="57"/>
  <c r="D18" i="57"/>
  <c r="D17" i="57"/>
  <c r="E14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V10" i="34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B14" i="58"/>
  <c r="I29" i="58" s="1"/>
  <c r="C17" i="57"/>
  <c r="F16" i="57"/>
  <c r="B16" i="57"/>
  <c r="C18" i="57"/>
  <c r="F17" i="57"/>
  <c r="B17" i="57"/>
  <c r="C14" i="57"/>
  <c r="J3" i="57" s="1"/>
  <c r="F18" i="57"/>
  <c r="H18" i="57" s="1"/>
  <c r="B18" i="57"/>
  <c r="C15" i="57"/>
  <c r="F14" i="57"/>
  <c r="B14" i="57"/>
  <c r="A14" i="57" s="1"/>
  <c r="J23" i="57" s="1"/>
  <c r="C16" i="57"/>
  <c r="F15" i="57"/>
  <c r="B15" i="57"/>
  <c r="I13" i="61"/>
  <c r="I14" i="61" s="1"/>
  <c r="C13" i="61"/>
  <c r="C14" i="61" s="1"/>
  <c r="H17" i="57" l="1"/>
  <c r="H16" i="57"/>
  <c r="H15" i="57"/>
  <c r="A30" i="47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31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28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J14" i="14"/>
  <c r="G25" i="58"/>
  <c r="A18" i="47"/>
  <c r="C16" i="47"/>
  <c r="A15" i="47"/>
  <c r="E59" i="47" s="1"/>
  <c r="G20" i="47"/>
  <c r="H25" i="58"/>
  <c r="I14" i="58"/>
  <c r="I15" i="58" s="1"/>
  <c r="I16" i="58" s="1"/>
  <c r="I17" i="58" s="1"/>
  <c r="I18" i="58" s="1"/>
  <c r="F14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25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4" i="55" l="1"/>
  <c r="L46" i="55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3" i="42"/>
  <c r="I84" i="42"/>
  <c r="H27" i="56"/>
  <c r="I16" i="71"/>
  <c r="J16" i="71"/>
  <c r="J16" i="14"/>
  <c r="G31" i="43"/>
  <c r="I16" i="14"/>
  <c r="G7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E94" i="42"/>
  <c r="H79" i="42"/>
  <c r="A29" i="56"/>
  <c r="J17" i="71" l="1"/>
  <c r="I17" i="71"/>
  <c r="I17" i="14"/>
  <c r="J17" i="14"/>
  <c r="I80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J40" i="14"/>
  <c r="I40" i="14"/>
  <c r="H32" i="47" l="1"/>
  <c r="I32" i="47"/>
  <c r="I41" i="14"/>
  <c r="J41" i="14"/>
  <c r="I33" i="47" l="1"/>
  <c r="H33" i="47"/>
  <c r="J42" i="14"/>
  <c r="I42" i="14"/>
  <c r="H34" i="47" l="1"/>
  <c r="I34" i="47"/>
  <c r="I43" i="14"/>
  <c r="J43" i="14"/>
  <c r="I35" i="47" l="1"/>
  <c r="H35" i="47"/>
  <c r="J44" i="14"/>
  <c r="I44" i="14"/>
  <c r="H36" i="47" l="1"/>
  <c r="I36" i="47"/>
  <c r="I45" i="14"/>
  <c r="J45" i="14"/>
  <c r="I37" i="47" l="1"/>
  <c r="H37" i="47"/>
  <c r="J46" i="14"/>
  <c r="I46" i="14"/>
  <c r="H38" i="47" l="1"/>
  <c r="I38" i="47"/>
  <c r="I47" i="14"/>
  <c r="J47" i="14"/>
  <c r="I39" i="47" l="1"/>
  <c r="H39" i="47"/>
  <c r="J48" i="14"/>
  <c r="I48" i="14"/>
  <c r="H40" i="47" l="1"/>
  <c r="I40" i="47"/>
  <c r="I49" i="14"/>
  <c r="J49" i="14"/>
  <c r="I41" i="47" l="1"/>
  <c r="H41" i="47"/>
  <c r="J20" i="57"/>
  <c r="H42" i="47" l="1"/>
  <c r="I42" i="47"/>
  <c r="I24" i="73"/>
  <c r="H24" i="73"/>
  <c r="H10" i="73"/>
  <c r="I10" i="73"/>
  <c r="H20" i="57"/>
  <c r="L20" i="57" s="1"/>
  <c r="I43" i="47" l="1"/>
  <c r="H43" i="47"/>
  <c r="I52" i="73"/>
  <c r="H52" i="73"/>
  <c r="H44" i="47" l="1"/>
  <c r="I44" i="47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E25" i="15" a="1"/>
  <c r="E25" i="15" s="1"/>
  <c r="E7" i="12" a="1"/>
  <c r="E7" i="12" s="1"/>
  <c r="E21" i="15" a="1"/>
  <c r="E21" i="15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F7" i="70" a="1"/>
  <c r="F7" i="70" s="1"/>
  <c r="F34" i="15" a="1"/>
  <c r="F34" i="15" s="1"/>
  <c r="E20" i="15" a="1"/>
  <c r="E20" i="1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I43" i="15" l="1"/>
  <c r="I45" i="47"/>
  <c r="H45" i="47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0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0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H46" i="47" l="1"/>
  <c r="I46" i="47"/>
  <c r="E49" i="15"/>
  <c r="F49" i="15"/>
  <c r="G6" i="70"/>
  <c r="G11" i="70"/>
  <c r="H33" i="15"/>
  <c r="G13" i="70"/>
  <c r="H12" i="70"/>
  <c r="H29" i="15"/>
  <c r="L59" i="55"/>
  <c r="H11" i="70"/>
  <c r="H13" i="70"/>
  <c r="G12" i="70"/>
  <c r="H6" i="70"/>
  <c r="G18" i="15"/>
  <c r="G27" i="15"/>
  <c r="J59" i="55"/>
  <c r="G9" i="12"/>
  <c r="F16" i="70"/>
  <c r="F17" i="70" s="1"/>
  <c r="E16" i="70"/>
  <c r="E17" i="70" s="1"/>
  <c r="H10" i="70"/>
  <c r="H18" i="15"/>
  <c r="H59" i="55"/>
  <c r="H9" i="12"/>
  <c r="G16" i="15"/>
  <c r="H27" i="15"/>
  <c r="G33" i="15"/>
  <c r="G36" i="15"/>
  <c r="H36" i="15"/>
  <c r="G29" i="15"/>
  <c r="I47" i="47" l="1"/>
  <c r="H47" i="47"/>
  <c r="H49" i="15"/>
  <c r="G49" i="15"/>
  <c r="F51" i="15"/>
  <c r="G16" i="70"/>
  <c r="H16" i="70"/>
  <c r="H48" i="47" l="1"/>
  <c r="I48" i="47"/>
  <c r="H51" i="15"/>
  <c r="I49" i="47" l="1"/>
  <c r="H49" i="47"/>
  <c r="H50" i="47" l="1"/>
  <c r="I50" i="47"/>
  <c r="I51" i="47" l="1"/>
  <c r="H51" i="47"/>
</calcChain>
</file>

<file path=xl/sharedStrings.xml><?xml version="1.0" encoding="utf-8"?>
<sst xmlns="http://schemas.openxmlformats.org/spreadsheetml/2006/main" count="3270" uniqueCount="778">
  <si>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</si>
  <si>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</si>
  <si>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</si>
  <si>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</si>
  <si>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</si>
  <si>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</si>
  <si>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</si>
  <si>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</si>
  <si>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</si>
  <si>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</si>
  <si>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</si>
  <si>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</si>
  <si>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</si>
  <si>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</si>
  <si>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</si>
  <si>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</si>
  <si>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</si>
  <si>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</si>
  <si>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</si>
  <si>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</si>
  <si>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</si>
  <si>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</si>
  <si>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</si>
  <si>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</si>
  <si>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</si>
  <si>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</si>
  <si>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</si>
  <si>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</si>
  <si>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</si>
  <si>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</si>
  <si>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</si>
  <si>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</si>
  <si>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</si>
  <si>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</si>
  <si>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</si>
  <si>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</si>
  <si>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</si>
  <si>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</si>
  <si>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</si>
  <si>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</si>
  <si>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</si>
  <si>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</si>
  <si>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</si>
  <si>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</si>
  <si>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</si>
  <si>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</si>
  <si>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</si>
  <si>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</si>
  <si>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</si>
  <si>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</si>
  <si>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</si>
  <si>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</si>
  <si>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</si>
  <si>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</si>
  <si>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</si>
  <si>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</si>
  <si>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</si>
  <si>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</si>
  <si>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</si>
  <si>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</si>
  <si>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</si>
  <si>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</si>
  <si>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</si>
  <si>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</si>
  <si>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</si>
  <si>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</si>
  <si>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</si>
  <si>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</si>
  <si>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</si>
  <si>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</si>
  <si>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</si>
  <si>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</si>
  <si>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</si>
  <si>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</si>
  <si>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</si>
  <si>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</si>
  <si>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</si>
  <si>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</si>
  <si>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</si>
  <si>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</si>
  <si>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</si>
  <si>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</si>
  <si>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</si>
  <si>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</si>
  <si>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</si>
  <si>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</si>
  <si>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</si>
  <si>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</si>
  <si>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</si>
  <si>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</si>
  <si>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</si>
  <si>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</si>
  <si>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</si>
  <si>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</si>
  <si>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</si>
  <si>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</si>
  <si>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</si>
  <si>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</si>
  <si>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</si>
  <si>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</si>
  <si>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</si>
  <si>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</si>
  <si>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</si>
  <si>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</si>
  <si>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</si>
  <si>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</si>
  <si>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</si>
  <si>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</si>
  <si>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</si>
  <si>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</si>
  <si>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</si>
  <si>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</si>
  <si>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</si>
  <si>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</si>
  <si>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</si>
  <si>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</si>
  <si>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</si>
  <si>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</si>
  <si>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</si>
  <si>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</si>
  <si>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</si>
  <si>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</si>
  <si>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</si>
  <si>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</si>
  <si>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</si>
  <si>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</si>
  <si>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</si>
  <si>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</si>
  <si>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</si>
  <si>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</si>
  <si>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</si>
  <si>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</si>
  <si>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</si>
  <si>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</si>
  <si>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</si>
  <si>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</si>
  <si>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</si>
  <si>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</si>
  <si>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</si>
  <si>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</si>
  <si>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</si>
  <si>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</si>
  <si>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</si>
  <si>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</si>
  <si>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</si>
  <si>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</si>
  <si>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</si>
  <si>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</si>
  <si>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</si>
  <si>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</si>
  <si>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</si>
  <si>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</si>
  <si>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</si>
  <si>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</si>
  <si>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</si>
  <si>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</si>
  <si>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</si>
  <si>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</si>
  <si>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</si>
  <si>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</si>
  <si>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</si>
  <si>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</si>
  <si>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</si>
  <si>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</si>
  <si>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</si>
  <si>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</si>
  <si>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</si>
  <si>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</si>
  <si>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</si>
  <si>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</si>
  <si>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</si>
  <si>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</si>
  <si>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</si>
  <si>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</si>
  <si>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</si>
  <si>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</si>
  <si>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</si>
  <si>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</si>
  <si>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</si>
  <si>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</si>
  <si>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</si>
  <si>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</si>
  <si>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</si>
  <si>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</si>
  <si>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</si>
  <si>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</si>
  <si>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</si>
  <si>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</si>
  <si>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</si>
  <si>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</si>
  <si>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</si>
  <si>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</si>
  <si>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</si>
  <si>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</si>
  <si>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</si>
  <si>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</si>
  <si>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</si>
  <si>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</si>
  <si>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</si>
  <si>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</si>
  <si>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</si>
  <si>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</si>
  <si>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</si>
  <si>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</si>
  <si>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</si>
  <si>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</si>
  <si>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</si>
  <si>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</si>
  <si>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</si>
  <si>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</si>
  <si>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</si>
  <si>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</si>
  <si>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</si>
  <si>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</si>
  <si>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</si>
  <si>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</si>
  <si>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</si>
  <si>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</si>
  <si>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</si>
  <si>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</si>
  <si>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</si>
  <si>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</si>
  <si>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</si>
  <si>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</si>
  <si>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</si>
  <si>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</si>
  <si>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</si>
  <si>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</si>
  <si>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</si>
  <si>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</si>
  <si>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</si>
  <si>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</si>
  <si>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</si>
  <si>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</si>
  <si>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</si>
  <si>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</si>
  <si>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</si>
  <si>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</si>
  <si>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</si>
  <si>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</si>
  <si>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</si>
  <si>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</si>
  <si>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</si>
  <si>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</si>
  <si>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</si>
  <si>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</si>
  <si>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</si>
  <si>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</si>
  <si>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</si>
  <si>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</si>
  <si>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</si>
  <si>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</si>
  <si>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</si>
  <si>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</si>
  <si>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</si>
  <si>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</si>
  <si>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</si>
  <si>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</si>
  <si>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</si>
  <si>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</si>
  <si>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</si>
  <si>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</si>
  <si>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</si>
  <si>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</si>
  <si>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</si>
  <si>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</si>
  <si>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</si>
  <si>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</si>
  <si>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</si>
  <si>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</si>
  <si>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</si>
  <si>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</si>
  <si>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</si>
  <si>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</si>
  <si>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</si>
  <si>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</si>
  <si>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</si>
  <si>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</si>
  <si>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</si>
  <si>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</si>
  <si>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</si>
  <si>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</si>
  <si>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</si>
  <si>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</si>
  <si>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</si>
  <si>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</si>
  <si>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</si>
  <si>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</si>
  <si>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</si>
  <si>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</si>
  <si>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</si>
  <si>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</si>
  <si>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</si>
  <si>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</si>
  <si>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</si>
  <si>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</si>
  <si>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</si>
  <si>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trả trước ngắn hạn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</si>
  <si>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</si>
  <si>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</si>
  <si>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</si>
  <si>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</si>
  <si>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</si>
  <si>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</si>
  <si>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</si>
  <si>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</si>
  <si>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</si>
  <si>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</si>
  <si>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</si>
  <si>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</si>
  <si>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</si>
  <si>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</si>
  <si>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</si>
  <si>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</si>
  <si>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</si>
  <si>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</si>
  <si>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</si>
  <si>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</si>
  <si>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</si>
  <si>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</si>
  <si>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</si>
  <si>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</si>
  <si>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</si>
  <si>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</si>
  <si>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</si>
  <si>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</si>
  <si>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</si>
  <si>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cái</t>
  </si>
  <si>
    <t>Ghi Nợ tài khoản : 641</t>
  </si>
  <si>
    <t>- Tài khoản : 641</t>
  </si>
  <si>
    <t>- Ghi có TK : 641</t>
  </si>
  <si>
    <t>Quý III</t>
  </si>
  <si>
    <t>Quý IV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</si>
  <si>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</si>
  <si>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</si>
  <si>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</si>
  <si>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</si>
  <si>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</si>
  <si>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</si>
  <si>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</si>
  <si>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</si>
  <si>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</si>
  <si>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</si>
  <si>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</si>
  <si>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</si>
  <si>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</si>
  <si>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</si>
  <si>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</si>
  <si>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</si>
  <si>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</si>
  <si>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</si>
  <si>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</si>
  <si>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</si>
  <si>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</si>
  <si>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</si>
  <si>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</si>
  <si>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</si>
  <si>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</si>
  <si>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3295876, 875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</si>
  <si>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</si>
  <si>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</si>
  <si>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</si>
  <si>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</si>
  <si>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</si>
  <si>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</si>
  <si>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</si>
  <si>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</si>
  <si>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</si>
  <si>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</si>
  <si>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</si>
  <si>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</si>
  <si>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</si>
  <si>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</si>
  <si>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</si>
  <si>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</si>
  <si>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</si>
  <si>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</si>
  <si>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</si>
  <si>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</si>
  <si>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</si>
  <si>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</si>
  <si>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</si>
  <si>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</si>
  <si>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</si>
  <si>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</si>
  <si>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</si>
  <si>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</si>
  <si>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</si>
  <si>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</si>
  <si>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</si>
  <si>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</si>
  <si>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</si>
  <si>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</si>
  <si>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</si>
  <si>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</si>
  <si>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</si>
  <si>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</si>
  <si>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</si>
  <si>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</si>
  <si>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</si>
  <si>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</si>
  <si>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</si>
  <si>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</si>
  <si>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</si>
  <si>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</si>
  <si>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</si>
  <si>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</si>
  <si>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</si>
  <si>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</si>
  <si>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</si>
  <si>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</si>
  <si>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</si>
  <si>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</si>
  <si>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</si>
  <si>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</si>
  <si>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</si>
  <si>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</si>
  <si>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</si>
  <si>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</si>
  <si>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</si>
  <si>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</si>
  <si>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</si>
  <si>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</si>
  <si>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</si>
  <si>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</si>
  <si>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</si>
  <si>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</si>
  <si>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</si>
  <si>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</si>
  <si>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</si>
  <si>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</si>
  <si>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</si>
  <si>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</si>
  <si>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</si>
  <si>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</si>
  <si>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</si>
  <si>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</si>
  <si>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</si>
  <si>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</si>
  <si>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</si>
  <si>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</si>
  <si>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</si>
  <si>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</si>
  <si>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</si>
  <si>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</si>
  <si>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</si>
  <si>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</si>
  <si>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</si>
  <si>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</si>
  <si>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</si>
  <si>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</si>
  <si>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</si>
  <si>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</si>
  <si>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</si>
  <si>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</si>
  <si>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</si>
  <si>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</si>
  <si>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</si>
  <si>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</si>
  <si>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</si>
  <si>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</si>
  <si>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</si>
  <si>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</si>
  <si>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</si>
  <si>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</si>
  <si>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</si>
  <si>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</si>
  <si>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</si>
  <si>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</si>
  <si>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</si>
  <si>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</si>
  <si>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</si>
  <si>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</si>
  <si>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</si>
  <si>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</si>
  <si>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</si>
  <si>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</si>
  <si>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</si>
  <si>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</si>
  <si>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</si>
  <si>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</si>
  <si>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</si>
  <si>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</si>
  <si>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</si>
  <si>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</si>
  <si>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</si>
  <si>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</si>
  <si>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</si>
  <si>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</si>
  <si>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</si>
  <si>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</si>
  <si>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</si>
  <si>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</si>
  <si>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</si>
  <si>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</si>
  <si>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</si>
  <si>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</si>
  <si>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</si>
  <si>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</si>
  <si>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</si>
  <si>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</si>
  <si>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</si>
  <si>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</si>
  <si>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</si>
  <si>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</si>
  <si>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</si>
  <si>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</si>
  <si>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</si>
  <si>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</si>
  <si>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</si>
  <si>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</si>
  <si>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</si>
  <si>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</si>
  <si>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</si>
  <si>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</si>
  <si>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</si>
  <si>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</si>
  <si>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</si>
  <si>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</si>
  <si>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</si>
  <si>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</si>
  <si>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</si>
  <si>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</si>
  <si>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</si>
  <si>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</si>
  <si>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</si>
  <si>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</si>
  <si>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</si>
  <si>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</si>
  <si>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</si>
  <si>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</si>
  <si>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</si>
  <si>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</si>
  <si>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</si>
  <si>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</si>
  <si>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</si>
  <si>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</si>
  <si>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</si>
  <si>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</si>
  <si>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</si>
  <si>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</si>
  <si>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</si>
  <si>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</si>
  <si>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</si>
  <si>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</si>
  <si>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</si>
  <si>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</si>
  <si>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</si>
  <si>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</si>
  <si>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</si>
  <si>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</si>
  <si>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</si>
  <si>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</si>
  <si>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</si>
  <si>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</si>
  <si>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</si>
  <si>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</si>
  <si>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</si>
  <si>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</si>
  <si>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</si>
  <si>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</si>
  <si>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</si>
  <si>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</si>
  <si>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</si>
  <si>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</si>
  <si>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XTP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</si>
  <si>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</si>
  <si>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</si>
  <si>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</si>
  <si>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</si>
  <si>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</si>
  <si>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</si>
  <si>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</si>
  <si>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</si>
  <si>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</si>
  <si>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</si>
  <si>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</si>
  <si>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</si>
  <si>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</si>
  <si>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</si>
  <si>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</si>
  <si>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</si>
  <si>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</si>
  <si>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</si>
  <si>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</si>
  <si>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</si>
  <si>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</si>
  <si>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</si>
  <si>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</si>
  <si>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</si>
  <si>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</si>
  <si>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</si>
  <si>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</si>
  <si>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</si>
  <si>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</si>
  <si>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</si>
  <si>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</si>
  <si>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</si>
  <si>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</si>
  <si>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</si>
  <si>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</si>
  <si>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</si>
  <si>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</si>
  <si>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</si>
  <si>
    <t>Nguyễn Đức Hải</t>
  </si>
  <si>
    <t>Năm: 2012</t>
  </si>
  <si>
    <t>Công ty TNHH Hải sản An Lạc</t>
  </si>
  <si>
    <t>Địa chỉ: Lô A14, đường 4A, KCN Hải Sơn, Đức Hòa, Long An</t>
  </si>
  <si>
    <t>CẬP NHẬT THÔNG TIN NGƯỜI LAO ĐỘNG  HÀNG THÁNG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</si>
  <si>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</si>
  <si>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</si>
  <si>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</si>
  <si>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</si>
  <si>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</si>
  <si>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</si>
  <si>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</si>
  <si>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</si>
  <si>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</si>
  <si>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</si>
  <si>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</si>
  <si>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</si>
  <si>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QL01</t>
  </si>
  <si>
    <t>QL02</t>
  </si>
  <si>
    <t>Quản Đốc</t>
  </si>
  <si>
    <t>QL03</t>
  </si>
  <si>
    <t>Kinh Doanh</t>
  </si>
  <si>
    <t>CN01</t>
  </si>
  <si>
    <t>CN02</t>
  </si>
  <si>
    <t>CN03</t>
  </si>
  <si>
    <t>Công nhân</t>
  </si>
  <si>
    <t>CN04</t>
  </si>
  <si>
    <t>TQL</t>
  </si>
  <si>
    <t>SLĐ</t>
  </si>
  <si>
    <t>TL - Chi</t>
  </si>
  <si>
    <t>Long An, Ngày     tháng     năm 2012</t>
  </si>
  <si>
    <t>Lập biểu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</si>
  <si>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</si>
  <si>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</si>
  <si>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</si>
  <si>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</si>
  <si>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</si>
  <si>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</si>
  <si>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</si>
  <si>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</si>
  <si>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</si>
  <si>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</si>
  <si>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</si>
  <si>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</si>
  <si>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</si>
  <si>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</si>
  <si>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</si>
  <si>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</si>
  <si>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</si>
  <si>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</si>
  <si>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</si>
  <si>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</si>
  <si>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</si>
  <si>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</si>
  <si>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</si>
  <si>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</si>
  <si>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</si>
  <si>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</si>
  <si>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</si>
  <si>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</si>
  <si>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</si>
  <si>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</si>
  <si>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</si>
  <si>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</si>
  <si>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</si>
  <si>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</si>
  <si>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</si>
  <si>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</si>
  <si>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</si>
  <si>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</si>
  <si>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</si>
  <si>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</si>
  <si>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</si>
  <si>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</si>
  <si>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</si>
  <si>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</si>
  <si>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</si>
  <si>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</si>
  <si>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</si>
  <si>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</si>
  <si>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</si>
  <si>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</si>
  <si>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</si>
  <si>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</si>
  <si>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</si>
  <si>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</si>
  <si>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</si>
  <si>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</si>
  <si>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</si>
  <si>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</si>
  <si>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</si>
  <si>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</si>
  <si>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</si>
  <si>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</si>
  <si>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</si>
  <si>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</si>
  <si>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</si>
  <si>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</si>
  <si>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</si>
  <si>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</si>
  <si>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</si>
  <si>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</si>
  <si>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</si>
  <si>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</si>
  <si>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</si>
  <si>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</si>
  <si>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</si>
  <si>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</si>
  <si>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</si>
  <si>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</si>
  <si>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</si>
  <si>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</si>
  <si>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</si>
  <si>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</si>
  <si>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</si>
  <si>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</si>
  <si>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</si>
  <si>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</si>
  <si>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</si>
  <si>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</si>
  <si>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</si>
  <si>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</si>
  <si>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</si>
  <si>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</si>
  <si>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</si>
  <si>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</si>
  <si>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</si>
  <si>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</si>
  <si>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</si>
  <si>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</si>
  <si>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</si>
  <si>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</si>
  <si>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</si>
  <si>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</si>
  <si>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</si>
  <si>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</si>
  <si>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</si>
  <si>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</si>
  <si>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</si>
  <si>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</si>
  <si>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</si>
  <si>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</si>
  <si>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</si>
  <si>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</si>
  <si>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</si>
  <si>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</si>
  <si>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</si>
  <si>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</si>
  <si>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</si>
  <si>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</si>
  <si>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</si>
  <si>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</si>
  <si>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</si>
  <si>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</si>
  <si>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</si>
  <si>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</si>
  <si>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</si>
  <si>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Huỳnh Hoàng Đạo</t>
  </si>
  <si>
    <t>Võ Ngọc Thùy Lan</t>
  </si>
  <si>
    <t>Nguyễn Thị Thu Hà</t>
  </si>
  <si>
    <t>Kế Toán</t>
  </si>
  <si>
    <t>QL04</t>
  </si>
  <si>
    <t>Nguyễn Thị Thanh Thúy</t>
  </si>
  <si>
    <t>Huỳnh Đoàn Viết Thanh</t>
  </si>
  <si>
    <t>Trần Ngọc Thoại</t>
  </si>
  <si>
    <t>Nguyễn Đức Huy</t>
  </si>
  <si>
    <t>Lương bộ phận sản xuất</t>
  </si>
  <si>
    <t>Lương bộ phận quản lý</t>
  </si>
  <si>
    <t>Thanh toán lương T9/2012</t>
  </si>
  <si>
    <t>Thanh toán lương T10/2012</t>
  </si>
  <si>
    <t>Thanh toán lương T11/2012</t>
  </si>
  <si>
    <t>Thanh toán lương T12/2012</t>
  </si>
  <si>
    <t>C34</t>
  </si>
  <si>
    <t>K/C lỗ SXKD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</si>
</sst>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#,###"/>
    <numFmt numFmtId="169" formatCode="&quot;Ngày&quot;\ dd&quot; tháng&quot;\ mm&quot; năm&quot;\ yyyy"/>
    <numFmt numFmtId="170" formatCode="&quot;Ngày  &quot;dd&quot; tháng &quot;mm&quot; năm &quot;yyyy"/>
    <numFmt numFmtId="171" formatCode="_(* #,##0.0_);_(* \(#,##0.0\);_(* &quot;-&quot;??_);_(@_)"/>
    <numFmt numFmtId="172" formatCode="dd"/>
    <numFmt numFmtId="173" formatCode="0.0"/>
    <numFmt numFmtId="174" formatCode="#,##0.0_);\(#,##0.0\)"/>
    <numFmt numFmtId="175" formatCode="_-&quot;ñ&quot;* #,##0_-;\-&quot;ñ&quot;* #,##0_-;_-&quot;ñ&quot;* &quot;-&quot;_-;_-@_-"/>
    <numFmt numFmtId="176" formatCode="##.##%"/>
    <numFmt numFmtId="177" formatCode="00.000"/>
    <numFmt numFmtId="178" formatCode="_-* #,##0\ _F_-;\-* #,##0\ _F_-;_-* &quot;-&quot;\ _F_-;_-@_-"/>
    <numFmt numFmtId="179" formatCode="&quot;?&quot;#,##0;&quot;?&quot;\-#,##0"/>
    <numFmt numFmtId="180" formatCode="_ * #,##0.00_ ;_ * \-#,##0.00_ ;_ * &quot;-&quot;??_ ;_ @_ "/>
    <numFmt numFmtId="181" formatCode="_ * #,##0_ ;_ * \-#,##0_ ;_ * &quot;-&quot;_ ;_ @_ "/>
    <numFmt numFmtId="182" formatCode="_-* #,##0_-;\-* #,##0_-;_-* &quot;-&quot;_-;_-@_-"/>
    <numFmt numFmtId="183" formatCode="_-* #,##0\ &quot;F&quot;_-;\-* #,##0\ &quot;F&quot;_-;_-* &quot;-&quot;\ &quot;F&quot;_-;_-@_-"/>
    <numFmt numFmtId="184" formatCode="_-* #,##0\ &quot;$&quot;_-;\-* #,##0\ &quot;$&quot;_-;_-* &quot;-&quot;\ &quot;$&quot;_-;_-@_-"/>
    <numFmt numFmtId="185" formatCode="_-&quot;$&quot;* #,##0_-;\-&quot;$&quot;* #,##0_-;_-&quot;$&quot;* &quot;-&quot;_-;_-@_-"/>
    <numFmt numFmtId="186" formatCode="_-* #,##0.00_-;\-* #,##0.00_-;_-* &quot;-&quot;??_-;_-@_-"/>
    <numFmt numFmtId="187" formatCode="_-* #,##0.00\ _V_N_D_-;\-* #,##0.00\ _V_N_D_-;_-* &quot;-&quot;??\ _V_N_D_-;_-@_-"/>
    <numFmt numFmtId="188" formatCode="_-* #,##0.00\ _F_-;\-* #,##0.00\ _F_-;_-* &quot;-&quot;??\ _F_-;_-@_-"/>
    <numFmt numFmtId="189" formatCode="_-* #,##0.00\ _ñ_-;\-* #,##0.00\ _ñ_-;_-* &quot;-&quot;??\ _ñ_-;_-@_-"/>
    <numFmt numFmtId="190" formatCode="_(&quot;$&quot;\ * #,##0_);_(&quot;$&quot;\ * \(#,##0\);_(&quot;$&quot;\ * &quot;-&quot;_);_(@_)"/>
    <numFmt numFmtId="191" formatCode="_-* #,##0\ &quot;ñ&quot;_-;\-* #,##0\ &quot;ñ&quot;_-;_-* &quot;-&quot;\ &quot;ñ&quot;_-;_-@_-"/>
    <numFmt numFmtId="192" formatCode="_-* #,##0\ _V_N_D_-;\-* #,##0\ _V_N_D_-;_-* &quot;-&quot;\ _V_N_D_-;_-@_-"/>
    <numFmt numFmtId="193" formatCode="_-* #,##0\ _$_-;\-* #,##0\ _$_-;_-* &quot;-&quot;\ _$_-;_-@_-"/>
    <numFmt numFmtId="194" formatCode="_-* #,##0\ _ñ_-;\-* #,##0\ _ñ_-;_-* &quot;-&quot;\ _ñ_-;_-@_-"/>
    <numFmt numFmtId="195" formatCode="&quot;SFr.&quot;\ #,##0.00;[Red]&quot;SFr.&quot;\ \-#,##0.00"/>
    <numFmt numFmtId="196" formatCode="_ &quot;SFr.&quot;\ * #,##0_ ;_ &quot;SFr.&quot;\ * \-#,##0_ ;_ &quot;SFr.&quot;\ * &quot;-&quot;_ ;_ @_ "/>
    <numFmt numFmtId="197" formatCode="_ &quot;\&quot;* #,##0.00_ ;_ &quot;\&quot;* \-#,##0.00_ ;_ &quot;\&quot;* &quot;-&quot;??_ ;_ @_ "/>
    <numFmt numFmtId="198" formatCode="_ * #,##0_ ;_ * &quot;\&quot;&quot;\&quot;&quot;\&quot;&quot;\&quot;&quot;\&quot;&quot;\&quot;&quot;\&quot;&quot;\&quot;&quot;\&quot;&quot;\&quot;&quot;\&quot;&quot;\&quot;\-#,##0_ ;_ * &quot;-&quot;_ ;_ @_ "/>
    <numFmt numFmtId="19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00" formatCode="_ * #,##0.00_ ;_ * &quot;\&quot;&quot;\&quot;&quot;\&quot;&quot;\&quot;&quot;\&quot;&quot;\&quot;&quot;\&quot;&quot;\&quot;&quot;\&quot;&quot;\&quot;&quot;\&quot;&quot;\&quot;\-#,##0.00_ ;_ * &quot;-&quot;??_ ;_ @_ "/>
    <numFmt numFmtId="201" formatCode="&quot;\&quot;#,##0;&quot;\&quot;&quot;\&quot;&quot;\&quot;&quot;\&quot;&quot;\&quot;&quot;\&quot;&quot;\&quot;&quot;\&quot;&quot;\&quot;&quot;\&quot;&quot;\&quot;&quot;\&quot;&quot;\&quot;&quot;\&quot;\-#,##0"/>
    <numFmt numFmtId="202" formatCode="&quot;\&quot;#,##0;[Red]&quot;\&quot;&quot;\&quot;&quot;\&quot;&quot;\&quot;&quot;\&quot;&quot;\&quot;&quot;\&quot;&quot;\&quot;&quot;\&quot;&quot;\&quot;&quot;\&quot;&quot;\&quot;&quot;\&quot;&quot;\&quot;\-#,##0"/>
    <numFmt numFmtId="203" formatCode="&quot;\&quot;#,##0.00;&quot;\&quot;&quot;\&quot;&quot;\&quot;&quot;\&quot;&quot;\&quot;&quot;\&quot;&quot;\&quot;&quot;\&quot;&quot;\&quot;&quot;\&quot;&quot;\&quot;&quot;\&quot;&quot;\&quot;&quot;\&quot;\-#,##0.00"/>
    <numFmt numFmtId="204" formatCode="##,###.##"/>
    <numFmt numFmtId="205" formatCode="_-* #,##0.00\ &quot;F&quot;_-;\-* #,##0.00\ &quot;F&quot;_-;_-* &quot;-&quot;??\ &quot;F&quot;_-;_-@_-"/>
    <numFmt numFmtId="206" formatCode="#0.##"/>
    <numFmt numFmtId="207" formatCode="_-* #,##0\ _k_r_-;\-* #,##0\ _k_r_-;_-* &quot;-&quot;\ _k_r_-;_-@_-"/>
    <numFmt numFmtId="208" formatCode="#,##0;\(#,##0\)"/>
    <numFmt numFmtId="209" formatCode="##,##0%"/>
    <numFmt numFmtId="210" formatCode="#,###%"/>
    <numFmt numFmtId="211" formatCode="##.##"/>
    <numFmt numFmtId="212" formatCode="###,###"/>
    <numFmt numFmtId="213" formatCode="###.###"/>
    <numFmt numFmtId="214" formatCode="##,###.####"/>
    <numFmt numFmtId="215" formatCode="\t0.00%"/>
    <numFmt numFmtId="216" formatCode="##,##0.##"/>
    <numFmt numFmtId="217" formatCode="m\o\n\th\ \D\,\ \y\y\y\y"/>
    <numFmt numFmtId="218" formatCode="_(* #,##0.000_);_(* \(#,##0.000\);_(* &quot;-&quot;??_);_(@_)"/>
    <numFmt numFmtId="219" formatCode="_(* #,##0.0000_);_(* \(#,##0.0000\);_(* &quot;-&quot;??_);_(@_)"/>
    <numFmt numFmtId="220" formatCode="\t#\ ??/??"/>
    <numFmt numFmtId="221" formatCode="#,##0\ &quot;$&quot;_);[Red]\(#,##0\ &quot;$&quot;\)"/>
    <numFmt numFmtId="222" formatCode="&quot;$&quot;###,0&quot;.&quot;00_);[Red]\(&quot;$&quot;###,0&quot;.&quot;00\)"/>
    <numFmt numFmtId="223" formatCode="m/d"/>
    <numFmt numFmtId="224" formatCode="&quot;ß&quot;#,##0;\-&quot;&quot;\ß&quot;&quot;#,##0"/>
    <numFmt numFmtId="225" formatCode="0##,###.00"/>
    <numFmt numFmtId="22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7" formatCode="#,##0.00\ &quot;F&quot;;[Red]\-#,##0.00\ &quot;F&quot;"/>
    <numFmt numFmtId="228" formatCode="#,##0.00\ \ "/>
    <numFmt numFmtId="229" formatCode="_ * #,##0_ ;_ * \-#,##0_ ;_ * &quot;-&quot;??_ ;_ @_ "/>
    <numFmt numFmtId="230" formatCode="&quot;\&quot;#,##0.00;[Red]&quot;\&quot;&quot;\&quot;&quot;\&quot;&quot;\&quot;&quot;\&quot;&quot;\&quot;&quot;\&quot;&quot;\&quot;&quot;\&quot;&quot;\&quot;&quot;\&quot;&quot;\&quot;&quot;\&quot;&quot;\&quot;\-#,##0.00"/>
    <numFmt numFmtId="23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32" formatCode="_-&quot;$&quot;* #,##0.00_-;\-&quot;$&quot;* #,##0.00_-;_-&quot;$&quot;* &quot;-&quot;??_-;_-@_-"/>
    <numFmt numFmtId="233" formatCode="#,##0\ &quot;F&quot;;[Red]\-#,##0\ &quot;F&quot;"/>
    <numFmt numFmtId="234" formatCode="#,##0.00\ &quot;F&quot;;\-#,##0.00\ &quot;F&quot;"/>
    <numFmt numFmtId="235" formatCode="0.000"/>
    <numFmt numFmtId="236" formatCode="_-* #,##0\ &quot;€&quot;_-;\-* #,##0\ &quot;€&quot;_-;_-* &quot;-&quot;\ &quot;€&quot;_-;_-@_-"/>
    <numFmt numFmtId="237" formatCode="_-* #,##0.00\ &quot;€&quot;_-;\-* #,##0.00\ &quot;€&quot;_-;_-* &quot;-&quot;??\ &quot;€&quot;_-;_-@_-"/>
    <numFmt numFmtId="238" formatCode="_-* #,##0_-;&quot;\&quot;\!\-* #,##0_-;_-* &quot;-&quot;_-;_-@_-"/>
    <numFmt numFmtId="239" formatCode="_-* #,##0.00\ _k_r_._-;\-* #,##0.00\ _k_r_._-;_-* &quot;-&quot;??\ _k_r_._-;_-@_-"/>
    <numFmt numFmtId="240" formatCode="_-&quot;£&quot;* #,##0_-;\-&quot;£&quot;* #,##0_-;_-&quot;£&quot;* &quot;-&quot;_-;_-@_-"/>
    <numFmt numFmtId="241" formatCode="_-&quot;£&quot;* #,##0.00_-;\-&quot;£&quot;* #,##0.00_-;_-&quot;£&quot;* &quot;-&quot;??_-;_-@_-"/>
  </numFmts>
  <fonts count="15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indexed="9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b/>
      <sz val="9"/>
      <color theme="0"/>
      <name val="Times New Roman"/>
      <family val="1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4"/>
      <name val=".VnTimeH"/>
      <family val="2"/>
    </font>
    <font>
      <sz val="12"/>
      <name val="NTTimes/Cyrillic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2"/>
      <name val="바탕체"/>
      <family val="3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6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68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5" fillId="0" borderId="0"/>
    <xf numFmtId="0" fontId="3" fillId="0" borderId="0"/>
    <xf numFmtId="0" fontId="3" fillId="0" borderId="0"/>
    <xf numFmtId="175" fontId="57" fillId="0" borderId="0" applyFont="0" applyFill="0" applyBorder="0" applyAlignment="0" applyProtection="0"/>
    <xf numFmtId="176" fontId="99" fillId="0" borderId="26">
      <alignment horizontal="center"/>
      <protection hidden="1"/>
    </xf>
    <xf numFmtId="0" fontId="100" fillId="0" borderId="16" applyNumberFormat="0"/>
    <xf numFmtId="177" fontId="101" fillId="0" borderId="0" applyFont="0" applyFill="0" applyBorder="0" applyAlignment="0" applyProtection="0"/>
    <xf numFmtId="178" fontId="37" fillId="0" borderId="0" applyFont="0" applyFill="0" applyBorder="0" applyAlignment="0" applyProtection="0"/>
    <xf numFmtId="179" fontId="101" fillId="0" borderId="0" applyFont="0" applyFill="0" applyBorder="0" applyAlignment="0" applyProtection="0"/>
    <xf numFmtId="0" fontId="102" fillId="0" borderId="0"/>
    <xf numFmtId="180" fontId="103" fillId="0" borderId="0" applyFont="0" applyFill="0" applyBorder="0" applyAlignment="0" applyProtection="0"/>
    <xf numFmtId="181" fontId="103" fillId="0" borderId="0" applyFont="0" applyFill="0" applyBorder="0" applyAlignment="0" applyProtection="0"/>
    <xf numFmtId="182" fontId="104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18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183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82" fontId="5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7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89" fontId="37" fillId="0" borderId="0" applyFont="0" applyFill="0" applyBorder="0" applyAlignment="0" applyProtection="0"/>
    <xf numFmtId="185" fontId="57" fillId="0" borderId="0" applyFont="0" applyFill="0" applyBorder="0" applyAlignment="0" applyProtection="0"/>
    <xf numFmtId="185" fontId="57" fillId="0" borderId="0" applyFont="0" applyFill="0" applyBorder="0" applyAlignment="0" applyProtection="0"/>
    <xf numFmtId="175" fontId="57" fillId="0" borderId="0" applyFont="0" applyFill="0" applyBorder="0" applyAlignment="0" applyProtection="0"/>
    <xf numFmtId="186" fontId="5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3" fillId="0" borderId="0"/>
    <xf numFmtId="0" fontId="100" fillId="0" borderId="16"/>
    <xf numFmtId="0" fontId="100" fillId="0" borderId="16"/>
    <xf numFmtId="0" fontId="110" fillId="35" borderId="0"/>
    <xf numFmtId="9" fontId="111" fillId="0" borderId="0" applyBorder="0" applyAlignment="0" applyProtection="0"/>
    <xf numFmtId="0" fontId="112" fillId="35" borderId="0"/>
    <xf numFmtId="0" fontId="113" fillId="35" borderId="0"/>
    <xf numFmtId="0" fontId="114" fillId="0" borderId="0">
      <alignment wrapText="1"/>
    </xf>
    <xf numFmtId="0" fontId="115" fillId="0" borderId="0"/>
    <xf numFmtId="195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6" fontId="3" fillId="0" borderId="0" applyFont="0" applyFill="0" applyBorder="0" applyAlignment="0" applyProtection="0"/>
    <xf numFmtId="0" fontId="116" fillId="0" borderId="0" applyFont="0" applyFill="0" applyBorder="0" applyAlignment="0" applyProtection="0"/>
    <xf numFmtId="197" fontId="117" fillId="0" borderId="0" applyFont="0" applyFill="0" applyBorder="0" applyAlignment="0" applyProtection="0"/>
    <xf numFmtId="181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1" fontId="117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180" fontId="117" fillId="0" borderId="0" applyFont="0" applyFill="0" applyBorder="0" applyAlignment="0" applyProtection="0"/>
    <xf numFmtId="185" fontId="5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6" fillId="0" borderId="0"/>
    <xf numFmtId="0" fontId="34" fillId="0" borderId="0"/>
    <xf numFmtId="0" fontId="116" fillId="0" borderId="0"/>
    <xf numFmtId="0" fontId="119" fillId="0" borderId="0"/>
    <xf numFmtId="198" fontId="3" fillId="0" borderId="0" applyFill="0" applyBorder="0" applyAlignment="0"/>
    <xf numFmtId="199" fontId="3" fillId="0" borderId="0" applyFill="0" applyBorder="0" applyAlignment="0"/>
    <xf numFmtId="200" fontId="3" fillId="0" borderId="0" applyFill="0" applyBorder="0" applyAlignment="0"/>
    <xf numFmtId="201" fontId="3" fillId="0" borderId="0" applyFill="0" applyBorder="0" applyAlignment="0"/>
    <xf numFmtId="202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0" fontId="120" fillId="0" borderId="0"/>
    <xf numFmtId="204" fontId="121" fillId="0" borderId="54" applyBorder="0"/>
    <xf numFmtId="204" fontId="122" fillId="0" borderId="16">
      <protection locked="0"/>
    </xf>
    <xf numFmtId="205" fontId="37" fillId="0" borderId="0" applyFont="0" applyFill="0" applyBorder="0" applyAlignment="0" applyProtection="0"/>
    <xf numFmtId="206" fontId="123" fillId="0" borderId="16"/>
    <xf numFmtId="198" fontId="3" fillId="0" borderId="0" applyFont="0" applyFill="0" applyBorder="0" applyAlignment="0" applyProtection="0"/>
    <xf numFmtId="207" fontId="3" fillId="0" borderId="0" applyFont="0" applyFill="0" applyBorder="0" applyProtection="0"/>
    <xf numFmtId="207" fontId="3" fillId="0" borderId="0"/>
    <xf numFmtId="208" fontId="34" fillId="0" borderId="0"/>
    <xf numFmtId="209" fontId="124" fillId="0" borderId="0">
      <protection locked="0"/>
    </xf>
    <xf numFmtId="210" fontId="124" fillId="0" borderId="0">
      <protection locked="0"/>
    </xf>
    <xf numFmtId="211" fontId="125" fillId="0" borderId="52">
      <protection locked="0"/>
    </xf>
    <xf numFmtId="212" fontId="124" fillId="0" borderId="0">
      <protection locked="0"/>
    </xf>
    <xf numFmtId="213" fontId="124" fillId="0" borderId="0">
      <protection locked="0"/>
    </xf>
    <xf numFmtId="212" fontId="124" fillId="0" borderId="0" applyNumberFormat="0">
      <protection locked="0"/>
    </xf>
    <xf numFmtId="212" fontId="124" fillId="0" borderId="0">
      <protection locked="0"/>
    </xf>
    <xf numFmtId="204" fontId="126" fillId="0" borderId="26"/>
    <xf numFmtId="214" fontId="126" fillId="0" borderId="26"/>
    <xf numFmtId="199" fontId="3" fillId="0" borderId="0" applyFont="0" applyFill="0" applyBorder="0" applyAlignment="0" applyProtection="0"/>
    <xf numFmtId="215" fontId="3" fillId="0" borderId="0"/>
    <xf numFmtId="204" fontId="99" fillId="0" borderId="26">
      <alignment horizontal="center"/>
      <protection hidden="1"/>
    </xf>
    <xf numFmtId="181" fontId="127" fillId="0" borderId="0" applyFont="0" applyFill="0" applyBorder="0" applyAlignment="0" applyProtection="0"/>
    <xf numFmtId="181" fontId="31" fillId="0" borderId="0" applyFont="0" applyFill="0" applyBorder="0" applyAlignment="0" applyProtection="0"/>
    <xf numFmtId="216" fontId="128" fillId="0" borderId="26">
      <alignment horizontal="center"/>
      <protection hidden="1"/>
    </xf>
    <xf numFmtId="2" fontId="99" fillId="0" borderId="26">
      <alignment horizontal="center"/>
      <protection hidden="1"/>
    </xf>
    <xf numFmtId="14" fontId="129" fillId="0" borderId="0" applyFill="0" applyBorder="0" applyAlignment="0"/>
    <xf numFmtId="217" fontId="130" fillId="0" borderId="0">
      <protection locked="0"/>
    </xf>
    <xf numFmtId="218" fontId="57" fillId="0" borderId="0" applyFont="0" applyFill="0" applyBorder="0" applyAlignment="0" applyProtection="0"/>
    <xf numFmtId="219" fontId="57" fillId="0" borderId="0" applyFont="0" applyFill="0" applyBorder="0" applyAlignment="0" applyProtection="0"/>
    <xf numFmtId="220" fontId="3" fillId="0" borderId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38" fontId="131" fillId="35" borderId="0" applyNumberFormat="0" applyBorder="0" applyAlignment="0" applyProtection="0"/>
    <xf numFmtId="0" fontId="132" fillId="0" borderId="0">
      <alignment horizontal="left"/>
    </xf>
    <xf numFmtId="0" fontId="42" fillId="0" borderId="0" applyProtection="0"/>
    <xf numFmtId="0" fontId="25" fillId="0" borderId="0" applyProtection="0"/>
    <xf numFmtId="49" fontId="133" fillId="0" borderId="2">
      <alignment vertical="center"/>
    </xf>
    <xf numFmtId="194" fontId="37" fillId="0" borderId="0" applyFont="0" applyFill="0" applyBorder="0" applyAlignment="0" applyProtection="0"/>
    <xf numFmtId="0" fontId="134" fillId="0" borderId="0"/>
    <xf numFmtId="10" fontId="131" fillId="36" borderId="2" applyNumberFormat="0" applyBorder="0" applyAlignment="0" applyProtection="0"/>
    <xf numFmtId="2" fontId="75" fillId="0" borderId="24" applyBorder="0"/>
    <xf numFmtId="0" fontId="135" fillId="0" borderId="0"/>
    <xf numFmtId="2" fontId="136" fillId="0" borderId="17" applyBorder="0"/>
    <xf numFmtId="2" fontId="137" fillId="0" borderId="0" applyNumberFormat="0" applyFill="0">
      <alignment horizontal="center"/>
    </xf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204" fontId="131" fillId="0" borderId="54" applyFont="0"/>
    <xf numFmtId="3" fontId="3" fillId="0" borderId="31"/>
    <xf numFmtId="38" fontId="138" fillId="0" borderId="0" applyFont="0" applyFill="0" applyBorder="0" applyAlignment="0" applyProtection="0"/>
    <xf numFmtId="40" fontId="138" fillId="0" borderId="0" applyFont="0" applyFill="0" applyBorder="0" applyAlignment="0" applyProtection="0"/>
    <xf numFmtId="0" fontId="139" fillId="0" borderId="16"/>
    <xf numFmtId="0" fontId="140" fillId="0" borderId="55"/>
    <xf numFmtId="221" fontId="138" fillId="0" borderId="0" applyFont="0" applyFill="0" applyBorder="0" applyAlignment="0" applyProtection="0"/>
    <xf numFmtId="222" fontId="138" fillId="0" borderId="0" applyFont="0" applyFill="0" applyBorder="0" applyAlignment="0" applyProtection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141" fillId="0" borderId="0" applyNumberFormat="0" applyFont="0" applyFill="0" applyAlignment="0"/>
    <xf numFmtId="0" fontId="126" fillId="0" borderId="0">
      <alignment horizontal="justify" vertical="top"/>
    </xf>
    <xf numFmtId="0" fontId="34" fillId="0" borderId="0"/>
    <xf numFmtId="37" fontId="142" fillId="0" borderId="0"/>
    <xf numFmtId="0" fontId="143" fillId="0" borderId="0"/>
    <xf numFmtId="225" fontId="144" fillId="0" borderId="0"/>
    <xf numFmtId="0" fontId="135" fillId="0" borderId="0"/>
    <xf numFmtId="0" fontId="3" fillId="0" borderId="0" applyFont="0" applyFill="0" applyBorder="0" applyAlignment="0" applyProtection="0"/>
    <xf numFmtId="0" fontId="34" fillId="0" borderId="0"/>
    <xf numFmtId="202" fontId="3" fillId="0" borderId="0" applyFont="0" applyFill="0" applyBorder="0" applyAlignment="0" applyProtection="0"/>
    <xf numFmtId="226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98" fontId="3" fillId="0" borderId="0" applyFill="0" applyBorder="0" applyAlignment="0"/>
    <xf numFmtId="199" fontId="3" fillId="0" borderId="0" applyFill="0" applyBorder="0" applyAlignment="0"/>
    <xf numFmtId="198" fontId="3" fillId="0" borderId="0" applyFill="0" applyBorder="0" applyAlignment="0"/>
    <xf numFmtId="203" fontId="3" fillId="0" borderId="0" applyFill="0" applyBorder="0" applyAlignment="0"/>
    <xf numFmtId="199" fontId="3" fillId="0" borderId="0" applyFill="0" applyBorder="0" applyAlignment="0"/>
    <xf numFmtId="194" fontId="37" fillId="0" borderId="0" applyFont="0" applyFill="0" applyBorder="0" applyAlignment="0" applyProtection="0"/>
    <xf numFmtId="3" fontId="37" fillId="0" borderId="56">
      <alignment horizontal="right" wrapText="1"/>
    </xf>
    <xf numFmtId="0" fontId="108" fillId="0" borderId="0" applyNumberForma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193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83" fontId="57" fillId="0" borderId="0" applyFont="0" applyFill="0" applyBorder="0" applyAlignment="0" applyProtection="0"/>
    <xf numFmtId="184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0" fontId="37" fillId="0" borderId="0" applyFont="0" applyFill="0" applyBorder="0" applyAlignment="0" applyProtection="0"/>
    <xf numFmtId="183" fontId="37" fillId="0" borderId="0" applyFont="0" applyFill="0" applyBorder="0" applyAlignment="0" applyProtection="0"/>
    <xf numFmtId="191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81" fontId="37" fillId="0" borderId="0" applyFont="0" applyFill="0" applyBorder="0" applyAlignment="0" applyProtection="0"/>
    <xf numFmtId="178" fontId="57" fillId="0" borderId="0" applyFont="0" applyFill="0" applyBorder="0" applyAlignment="0" applyProtection="0"/>
    <xf numFmtId="0" fontId="140" fillId="0" borderId="0"/>
    <xf numFmtId="227" fontId="145" fillId="0" borderId="24">
      <alignment horizontal="right" vertical="center"/>
    </xf>
    <xf numFmtId="228" fontId="37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9" fontId="3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27" fontId="145" fillId="0" borderId="24">
      <alignment horizontal="right" vertical="center"/>
    </xf>
    <xf numFmtId="204" fontId="126" fillId="0" borderId="26">
      <protection hidden="1"/>
    </xf>
    <xf numFmtId="49" fontId="129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183" fontId="145" fillId="0" borderId="24">
      <alignment horizontal="center"/>
    </xf>
    <xf numFmtId="0" fontId="135" fillId="0" borderId="57"/>
    <xf numFmtId="49" fontId="146" fillId="0" borderId="0">
      <alignment horizontal="justify" vertical="center" wrapText="1"/>
    </xf>
    <xf numFmtId="40" fontId="36" fillId="0" borderId="0"/>
    <xf numFmtId="0" fontId="147" fillId="0" borderId="16"/>
    <xf numFmtId="182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232" fontId="3" fillId="0" borderId="0" applyFont="0" applyFill="0" applyBorder="0" applyAlignment="0" applyProtection="0"/>
    <xf numFmtId="233" fontId="145" fillId="0" borderId="0"/>
    <xf numFmtId="234" fontId="145" fillId="0" borderId="2"/>
    <xf numFmtId="0" fontId="148" fillId="0" borderId="23">
      <alignment horizontal="left" vertical="center"/>
    </xf>
    <xf numFmtId="23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>
      <alignment horizontal="left" wrapText="1"/>
    </xf>
    <xf numFmtId="236" fontId="151" fillId="0" borderId="0" applyFont="0" applyFill="0" applyBorder="0" applyAlignment="0" applyProtection="0"/>
    <xf numFmtId="237" fontId="151" fillId="0" borderId="0" applyFont="0" applyFill="0" applyBorder="0" applyAlignment="0" applyProtection="0"/>
    <xf numFmtId="0" fontId="151" fillId="0" borderId="0"/>
    <xf numFmtId="0" fontId="152" fillId="0" borderId="0" applyFont="0" applyFill="0" applyBorder="0" applyAlignment="0" applyProtection="0"/>
    <xf numFmtId="0" fontId="152" fillId="0" borderId="0" applyFont="0" applyFill="0" applyBorder="0" applyAlignment="0" applyProtection="0"/>
    <xf numFmtId="0" fontId="66" fillId="0" borderId="0">
      <alignment vertical="center"/>
    </xf>
    <xf numFmtId="9" fontId="153" fillId="0" borderId="0" applyFont="0" applyFill="0" applyBorder="0" applyAlignment="0" applyProtection="0"/>
    <xf numFmtId="238" fontId="154" fillId="0" borderId="0" applyFont="0" applyFill="0" applyBorder="0" applyAlignment="0" applyProtection="0"/>
    <xf numFmtId="239" fontId="3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41" fillId="0" borderId="0"/>
    <xf numFmtId="182" fontId="155" fillId="0" borderId="0" applyFont="0" applyFill="0" applyBorder="0" applyAlignment="0" applyProtection="0"/>
    <xf numFmtId="186" fontId="155" fillId="0" borderId="0" applyFont="0" applyFill="0" applyBorder="0" applyAlignment="0" applyProtection="0"/>
    <xf numFmtId="180" fontId="156" fillId="0" borderId="0" applyFont="0" applyFill="0" applyBorder="0" applyAlignment="0" applyProtection="0"/>
    <xf numFmtId="181" fontId="156" fillId="0" borderId="0" applyFont="0" applyFill="0" applyBorder="0" applyAlignment="0" applyProtection="0"/>
    <xf numFmtId="0" fontId="156" fillId="0" borderId="0"/>
    <xf numFmtId="240" fontId="155" fillId="0" borderId="0" applyFont="0" applyFill="0" applyBorder="0" applyAlignment="0" applyProtection="0"/>
    <xf numFmtId="6" fontId="157" fillId="0" borderId="0" applyFont="0" applyFill="0" applyBorder="0" applyAlignment="0" applyProtection="0"/>
    <xf numFmtId="241" fontId="155" fillId="0" borderId="0" applyFont="0" applyFill="0" applyBorder="0" applyAlignment="0" applyProtection="0"/>
    <xf numFmtId="237" fontId="156" fillId="0" borderId="0" applyFont="0" applyFill="0" applyBorder="0" applyAlignment="0" applyProtection="0"/>
    <xf numFmtId="236" fontId="156" fillId="0" borderId="0" applyFont="0" applyFill="0" applyBorder="0" applyAlignment="0" applyProtection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3" applyFont="1" applyFill="1" applyAlignment="1">
      <alignment horizontal="left" vertical="center"/>
    </xf>
    <xf numFmtId="0" fontId="39" fillId="0" borderId="0" xfId="73" applyFont="1" applyFill="1" applyAlignment="1">
      <alignment horizontal="center" vertical="center" wrapText="1"/>
    </xf>
    <xf numFmtId="0" fontId="39" fillId="0" borderId="0" xfId="73" applyFont="1" applyFill="1" applyAlignment="1">
      <alignment vertical="center" wrapText="1"/>
    </xf>
    <xf numFmtId="1" fontId="34" fillId="0" borderId="0" xfId="73" applyNumberFormat="1" applyFont="1" applyFill="1" applyAlignment="1">
      <alignment horizontal="center" vertical="center"/>
    </xf>
    <xf numFmtId="1" fontId="34" fillId="0" borderId="0" xfId="73" applyNumberFormat="1" applyFont="1" applyFill="1" applyAlignment="1">
      <alignment horizontal="center" vertical="center" wrapText="1"/>
    </xf>
    <xf numFmtId="0" fontId="34" fillId="0" borderId="16" xfId="74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vertical="center"/>
    </xf>
    <xf numFmtId="164" fontId="34" fillId="0" borderId="16" xfId="73" applyNumberFormat="1" applyFont="1" applyFill="1" applyBorder="1" applyAlignment="1">
      <alignment horizontal="left" vertical="center"/>
    </xf>
    <xf numFmtId="0" fontId="34" fillId="0" borderId="0" xfId="73" applyFont="1" applyFill="1" applyAlignment="1">
      <alignment horizontal="center" vertical="center" wrapText="1"/>
    </xf>
    <xf numFmtId="0" fontId="34" fillId="0" borderId="0" xfId="73" applyFont="1" applyFill="1" applyAlignment="1">
      <alignment horizontal="center" vertical="center"/>
    </xf>
    <xf numFmtId="49" fontId="34" fillId="0" borderId="0" xfId="73" applyNumberFormat="1" applyFont="1" applyFill="1" applyAlignment="1">
      <alignment horizontal="center" vertical="center"/>
    </xf>
    <xf numFmtId="49" fontId="34" fillId="0" borderId="16" xfId="73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3" applyNumberFormat="1" applyFont="1" applyFill="1" applyBorder="1" applyAlignment="1">
      <alignment horizontal="center" vertical="center"/>
    </xf>
    <xf numFmtId="164" fontId="43" fillId="0" borderId="16" xfId="73" applyNumberFormat="1" applyFont="1" applyFill="1" applyBorder="1" applyAlignment="1">
      <alignment horizontal="left" vertical="center"/>
    </xf>
    <xf numFmtId="49" fontId="43" fillId="0" borderId="16" xfId="73" applyNumberFormat="1" applyFont="1" applyFill="1" applyBorder="1" applyAlignment="1">
      <alignment horizontal="left" vertical="center"/>
    </xf>
    <xf numFmtId="164" fontId="43" fillId="0" borderId="16" xfId="74" applyNumberFormat="1" applyFont="1" applyFill="1" applyBorder="1" applyAlignment="1">
      <alignment vertical="center"/>
    </xf>
    <xf numFmtId="0" fontId="43" fillId="0" borderId="16" xfId="73" quotePrefix="1" applyNumberFormat="1" applyFont="1" applyFill="1" applyBorder="1" applyAlignment="1">
      <alignment horizontal="center" vertical="center"/>
    </xf>
    <xf numFmtId="1" fontId="43" fillId="0" borderId="16" xfId="73" quotePrefix="1" applyNumberFormat="1" applyFont="1" applyFill="1" applyBorder="1" applyAlignment="1">
      <alignment horizontal="center" vertical="center"/>
    </xf>
    <xf numFmtId="49" fontId="43" fillId="0" borderId="16" xfId="73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3" applyNumberFormat="1" applyFont="1" applyFill="1" applyAlignment="1">
      <alignment vertical="center"/>
    </xf>
    <xf numFmtId="49" fontId="39" fillId="0" borderId="0" xfId="73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4" applyFont="1" applyFill="1" applyBorder="1" applyAlignment="1" applyProtection="1">
      <alignment horizontal="justify" vertical="center"/>
      <protection hidden="1"/>
    </xf>
    <xf numFmtId="0" fontId="33" fillId="0" borderId="0" xfId="74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vertical="center"/>
      <protection hidden="1"/>
    </xf>
    <xf numFmtId="0" fontId="45" fillId="0" borderId="0" xfId="74" applyFont="1" applyFill="1" applyBorder="1" applyAlignment="1" applyProtection="1">
      <alignment horizontal="center" vertical="center"/>
      <protection hidden="1"/>
    </xf>
    <xf numFmtId="0" fontId="45" fillId="0" borderId="0" xfId="74" applyFont="1" applyFill="1" applyBorder="1" applyAlignment="1" applyProtection="1">
      <alignment vertical="center"/>
      <protection hidden="1"/>
    </xf>
    <xf numFmtId="0" fontId="33" fillId="0" borderId="0" xfId="76" applyNumberFormat="1" applyFont="1" applyFill="1" applyBorder="1" applyAlignment="1" applyProtection="1">
      <alignment horizontal="center" vertical="center"/>
      <protection hidden="1"/>
    </xf>
    <xf numFmtId="0" fontId="47" fillId="0" borderId="0" xfId="74" applyFont="1" applyFill="1" applyBorder="1" applyAlignment="1" applyProtection="1">
      <alignment vertical="center"/>
      <protection hidden="1"/>
    </xf>
    <xf numFmtId="0" fontId="48" fillId="0" borderId="0" xfId="74" applyFont="1" applyFill="1" applyBorder="1" applyAlignment="1" applyProtection="1">
      <alignment vertical="center"/>
      <protection hidden="1"/>
    </xf>
    <xf numFmtId="14" fontId="33" fillId="0" borderId="0" xfId="74" applyNumberFormat="1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vertical="center"/>
      <protection hidden="1"/>
    </xf>
    <xf numFmtId="0" fontId="35" fillId="0" borderId="0" xfId="74" applyFont="1" applyFill="1" applyBorder="1" applyAlignment="1" applyProtection="1">
      <alignment horizontal="left" vertical="center"/>
      <protection hidden="1"/>
    </xf>
    <xf numFmtId="0" fontId="35" fillId="0" borderId="0" xfId="77" applyFont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vertical="center"/>
      <protection hidden="1"/>
    </xf>
    <xf numFmtId="0" fontId="50" fillId="0" borderId="0" xfId="74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center" vertical="center"/>
      <protection hidden="1"/>
    </xf>
    <xf numFmtId="10" fontId="33" fillId="0" borderId="0" xfId="76" applyNumberFormat="1" applyFont="1" applyFill="1" applyBorder="1" applyAlignment="1" applyProtection="1">
      <alignment vertical="center"/>
      <protection hidden="1"/>
    </xf>
    <xf numFmtId="169" fontId="51" fillId="0" borderId="0" xfId="74" applyNumberFormat="1" applyFont="1" applyFill="1" applyBorder="1" applyAlignment="1" applyProtection="1">
      <alignment vertical="center"/>
      <protection hidden="1"/>
    </xf>
    <xf numFmtId="0" fontId="44" fillId="0" borderId="0" xfId="74" applyFont="1" applyFill="1" applyBorder="1" applyAlignment="1" applyProtection="1">
      <alignment horizontal="center" vertical="center"/>
      <protection hidden="1"/>
    </xf>
    <xf numFmtId="0" fontId="49" fillId="0" borderId="0" xfId="74" applyFont="1" applyFill="1" applyBorder="1" applyAlignment="1" applyProtection="1">
      <alignment horizontal="center" vertical="center"/>
      <protection hidden="1"/>
    </xf>
    <xf numFmtId="10" fontId="53" fillId="0" borderId="0" xfId="78" applyNumberFormat="1" applyFont="1" applyFill="1" applyBorder="1" applyAlignment="1" applyProtection="1">
      <alignment horizontal="center" vertical="center"/>
      <protection hidden="1"/>
    </xf>
    <xf numFmtId="0" fontId="33" fillId="0" borderId="0" xfId="74" applyFont="1" applyFill="1" applyBorder="1" applyAlignment="1" applyProtection="1">
      <alignment vertical="center"/>
      <protection locked="0" hidden="1"/>
    </xf>
    <xf numFmtId="0" fontId="34" fillId="0" borderId="0" xfId="77" applyFont="1" applyAlignment="1" applyProtection="1">
      <alignment horizontal="center" vertical="center"/>
      <protection hidden="1"/>
    </xf>
    <xf numFmtId="0" fontId="54" fillId="0" borderId="0" xfId="74" applyFont="1" applyFill="1" applyBorder="1" applyAlignment="1" applyProtection="1">
      <alignment horizontal="left" vertical="center"/>
      <protection hidden="1"/>
    </xf>
    <xf numFmtId="0" fontId="54" fillId="0" borderId="0" xfId="74" applyFont="1" applyFill="1" applyBorder="1" applyAlignment="1" applyProtection="1">
      <alignment horizontal="justify" vertical="center"/>
      <protection hidden="1"/>
    </xf>
    <xf numFmtId="0" fontId="54" fillId="0" borderId="0" xfId="74" applyFont="1" applyFill="1" applyBorder="1" applyAlignment="1" applyProtection="1">
      <alignment vertical="center"/>
      <protection hidden="1"/>
    </xf>
    <xf numFmtId="169" fontId="55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vertical="center"/>
      <protection hidden="1"/>
    </xf>
    <xf numFmtId="164" fontId="54" fillId="0" borderId="0" xfId="71" applyNumberFormat="1" applyFont="1" applyFill="1" applyBorder="1" applyAlignment="1" applyProtection="1">
      <alignment vertical="center"/>
      <protection hidden="1"/>
    </xf>
    <xf numFmtId="10" fontId="54" fillId="0" borderId="0" xfId="76" applyNumberFormat="1" applyFont="1" applyFill="1" applyBorder="1" applyAlignment="1" applyProtection="1">
      <alignment vertical="center"/>
      <protection hidden="1"/>
    </xf>
    <xf numFmtId="49" fontId="56" fillId="0" borderId="0" xfId="74" applyNumberFormat="1" applyFont="1" applyFill="1" applyBorder="1" applyAlignment="1" applyProtection="1">
      <alignment vertical="center"/>
      <protection hidden="1"/>
    </xf>
    <xf numFmtId="0" fontId="39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vertical="center"/>
      <protection hidden="1"/>
    </xf>
    <xf numFmtId="0" fontId="56" fillId="0" borderId="0" xfId="74" applyFont="1" applyFill="1" applyBorder="1" applyAlignment="1" applyProtection="1">
      <alignment horizontal="left" vertical="center"/>
      <protection hidden="1"/>
    </xf>
    <xf numFmtId="0" fontId="56" fillId="0" borderId="0" xfId="74" applyNumberFormat="1" applyFont="1" applyFill="1" applyBorder="1" applyAlignment="1" applyProtection="1">
      <alignment horizontal="left" vertical="center"/>
      <protection hidden="1"/>
    </xf>
    <xf numFmtId="10" fontId="54" fillId="0" borderId="0" xfId="76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4" applyFont="1" applyFill="1" applyBorder="1" applyAlignment="1" applyProtection="1">
      <alignment horizontal="left" vertical="center"/>
      <protection hidden="1"/>
    </xf>
    <xf numFmtId="10" fontId="33" fillId="0" borderId="0" xfId="74" applyNumberFormat="1" applyFont="1" applyFill="1" applyBorder="1" applyAlignment="1" applyProtection="1">
      <alignment vertical="center"/>
      <protection hidden="1"/>
    </xf>
    <xf numFmtId="164" fontId="36" fillId="0" borderId="0" xfId="71" applyNumberFormat="1" applyFont="1" applyFill="1" applyBorder="1" applyAlignment="1" applyProtection="1">
      <alignment vertical="center"/>
      <protection hidden="1"/>
    </xf>
    <xf numFmtId="37" fontId="33" fillId="0" borderId="0" xfId="76" applyNumberFormat="1" applyFont="1" applyFill="1" applyBorder="1" applyAlignment="1" applyProtection="1">
      <alignment vertical="center"/>
      <protection hidden="1"/>
    </xf>
    <xf numFmtId="170" fontId="51" fillId="0" borderId="0" xfId="74" applyNumberFormat="1" applyFont="1" applyFill="1" applyBorder="1" applyAlignment="1" applyProtection="1">
      <alignment vertical="center"/>
      <protection hidden="1"/>
    </xf>
    <xf numFmtId="0" fontId="36" fillId="0" borderId="0" xfId="74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hidden="1"/>
    </xf>
    <xf numFmtId="170" fontId="36" fillId="0" borderId="0" xfId="74" applyNumberFormat="1" applyFont="1" applyFill="1" applyBorder="1" applyAlignment="1" applyProtection="1">
      <alignment horizontal="center" vertical="center"/>
      <protection hidden="1"/>
    </xf>
    <xf numFmtId="170" fontId="36" fillId="0" borderId="0" xfId="74" applyNumberFormat="1" applyFont="1" applyFill="1" applyBorder="1" applyAlignment="1" applyProtection="1">
      <alignment vertical="center"/>
      <protection hidden="1"/>
    </xf>
    <xf numFmtId="0" fontId="33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vertical="center"/>
      <protection locked="0" hidden="1"/>
    </xf>
    <xf numFmtId="170" fontId="55" fillId="0" borderId="0" xfId="74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4" applyNumberFormat="1" applyFont="1" applyAlignment="1">
      <alignment vertical="center"/>
    </xf>
    <xf numFmtId="164" fontId="33" fillId="0" borderId="0" xfId="74" applyNumberFormat="1" applyFont="1" applyAlignment="1">
      <alignment horizontal="left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5" fillId="0" borderId="0" xfId="74" applyNumberFormat="1" applyFont="1" applyAlignment="1">
      <alignment vertical="center"/>
    </xf>
    <xf numFmtId="164" fontId="35" fillId="0" borderId="2" xfId="74" applyNumberFormat="1" applyFont="1" applyBorder="1" applyAlignment="1">
      <alignment horizontal="center" vertical="center" wrapText="1"/>
    </xf>
    <xf numFmtId="164" fontId="36" fillId="0" borderId="0" xfId="74" applyNumberFormat="1" applyFont="1" applyAlignment="1">
      <alignment vertical="center"/>
    </xf>
    <xf numFmtId="164" fontId="36" fillId="0" borderId="21" xfId="74" applyNumberFormat="1" applyFont="1" applyBorder="1" applyAlignment="1">
      <alignment vertical="center" wrapText="1"/>
    </xf>
    <xf numFmtId="49" fontId="36" fillId="0" borderId="21" xfId="74" applyNumberFormat="1" applyFont="1" applyBorder="1" applyAlignment="1">
      <alignment vertical="center" wrapText="1"/>
    </xf>
    <xf numFmtId="164" fontId="36" fillId="0" borderId="21" xfId="74" applyNumberFormat="1" applyFont="1" applyBorder="1" applyAlignment="1">
      <alignment horizontal="left" vertical="center" wrapText="1"/>
    </xf>
    <xf numFmtId="1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4" quotePrefix="1" applyNumberFormat="1" applyFont="1" applyBorder="1" applyAlignment="1">
      <alignment horizontal="center" vertical="center" wrapText="1"/>
    </xf>
    <xf numFmtId="164" fontId="33" fillId="0" borderId="16" xfId="71" applyNumberFormat="1" applyFont="1" applyBorder="1" applyAlignment="1">
      <alignment horizontal="left" vertical="center" wrapText="1"/>
    </xf>
    <xf numFmtId="164" fontId="33" fillId="0" borderId="16" xfId="74" applyNumberFormat="1" applyFont="1" applyBorder="1" applyAlignment="1">
      <alignment vertical="center" wrapText="1"/>
    </xf>
    <xf numFmtId="14" fontId="33" fillId="0" borderId="16" xfId="74" applyNumberFormat="1" applyFont="1" applyBorder="1" applyAlignment="1">
      <alignment vertical="center" wrapText="1"/>
    </xf>
    <xf numFmtId="49" fontId="58" fillId="0" borderId="16" xfId="71" applyNumberFormat="1" applyFont="1" applyBorder="1" applyAlignment="1">
      <alignment horizontal="center"/>
    </xf>
    <xf numFmtId="164" fontId="36" fillId="0" borderId="16" xfId="74" applyNumberFormat="1" applyFont="1" applyBorder="1" applyAlignment="1">
      <alignment vertical="center" wrapText="1"/>
    </xf>
    <xf numFmtId="164" fontId="36" fillId="0" borderId="16" xfId="74" applyNumberFormat="1" applyFont="1" applyBorder="1" applyAlignment="1">
      <alignment horizontal="center" vertical="center" wrapText="1"/>
    </xf>
    <xf numFmtId="164" fontId="36" fillId="0" borderId="19" xfId="74" applyNumberFormat="1" applyFont="1" applyBorder="1" applyAlignment="1">
      <alignment vertical="center" wrapText="1"/>
    </xf>
    <xf numFmtId="164" fontId="36" fillId="0" borderId="19" xfId="74" applyNumberFormat="1" applyFont="1" applyBorder="1" applyAlignment="1">
      <alignment horizontal="center" vertical="center" wrapText="1"/>
    </xf>
    <xf numFmtId="164" fontId="33" fillId="0" borderId="19" xfId="74" applyNumberFormat="1" applyFont="1" applyBorder="1" applyAlignment="1">
      <alignment vertical="center" wrapText="1"/>
    </xf>
    <xf numFmtId="164" fontId="33" fillId="0" borderId="0" xfId="74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4" applyFont="1" applyFill="1" applyBorder="1" applyAlignment="1" applyProtection="1">
      <alignment horizontal="left" vertical="center"/>
      <protection hidden="1"/>
    </xf>
    <xf numFmtId="164" fontId="36" fillId="0" borderId="0" xfId="74" applyNumberFormat="1" applyFont="1" applyAlignment="1">
      <alignment horizontal="center" vertical="center"/>
    </xf>
    <xf numFmtId="164" fontId="36" fillId="0" borderId="21" xfId="71" applyNumberFormat="1" applyFont="1" applyBorder="1" applyAlignment="1">
      <alignment horizontal="right" vertical="center" wrapText="1"/>
    </xf>
    <xf numFmtId="0" fontId="33" fillId="0" borderId="0" xfId="84" applyFont="1" applyAlignment="1">
      <alignment vertical="center"/>
    </xf>
    <xf numFmtId="0" fontId="59" fillId="29" borderId="0" xfId="84" applyFont="1" applyFill="1" applyAlignment="1">
      <alignment horizontal="center" vertical="center" wrapText="1"/>
    </xf>
    <xf numFmtId="14" fontId="33" fillId="0" borderId="0" xfId="84" applyNumberFormat="1" applyFont="1" applyAlignment="1">
      <alignment vertical="center"/>
    </xf>
    <xf numFmtId="14" fontId="33" fillId="0" borderId="0" xfId="84" applyNumberFormat="1" applyFont="1" applyAlignment="1">
      <alignment horizontal="center" vertical="center"/>
    </xf>
    <xf numFmtId="0" fontId="33" fillId="0" borderId="0" xfId="84" applyFont="1" applyAlignment="1">
      <alignment horizontal="center" vertical="center"/>
    </xf>
    <xf numFmtId="0" fontId="34" fillId="0" borderId="0" xfId="84" applyFont="1" applyFill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4" fontId="34" fillId="0" borderId="36" xfId="84" applyNumberFormat="1" applyFont="1" applyFill="1" applyBorder="1" applyAlignment="1">
      <alignment horizontal="center" vertical="center" wrapText="1"/>
    </xf>
    <xf numFmtId="0" fontId="34" fillId="0" borderId="36" xfId="84" applyFont="1" applyFill="1" applyBorder="1" applyAlignment="1">
      <alignment horizontal="center" vertical="center" wrapText="1"/>
    </xf>
    <xf numFmtId="14" fontId="63" fillId="29" borderId="2" xfId="84" applyNumberFormat="1" applyFont="1" applyFill="1" applyBorder="1" applyAlignment="1">
      <alignment horizontal="center" vertical="center" wrapText="1"/>
    </xf>
    <xf numFmtId="0" fontId="63" fillId="29" borderId="2" xfId="84" applyFont="1" applyFill="1" applyBorder="1" applyAlignment="1">
      <alignment horizontal="center" vertical="center" wrapText="1"/>
    </xf>
    <xf numFmtId="0" fontId="35" fillId="0" borderId="0" xfId="84" applyFont="1" applyAlignment="1">
      <alignment vertical="center"/>
    </xf>
    <xf numFmtId="14" fontId="64" fillId="29" borderId="2" xfId="84" applyNumberFormat="1" applyFont="1" applyFill="1" applyBorder="1" applyAlignment="1">
      <alignment vertical="center" wrapText="1"/>
    </xf>
    <xf numFmtId="0" fontId="64" fillId="29" borderId="2" xfId="84" applyFont="1" applyFill="1" applyBorder="1" applyAlignment="1">
      <alignment horizontal="center" vertical="center" wrapText="1"/>
    </xf>
    <xf numFmtId="0" fontId="64" fillId="29" borderId="2" xfId="84" applyFont="1" applyFill="1" applyBorder="1" applyAlignment="1">
      <alignment vertical="center" wrapText="1"/>
    </xf>
    <xf numFmtId="0" fontId="34" fillId="0" borderId="0" xfId="84" applyFont="1" applyAlignment="1">
      <alignment vertical="center"/>
    </xf>
    <xf numFmtId="14" fontId="34" fillId="0" borderId="16" xfId="84" applyNumberFormat="1" applyFont="1" applyFill="1" applyBorder="1" applyAlignment="1">
      <alignment horizontal="center" vertical="center" wrapText="1"/>
    </xf>
    <xf numFmtId="14" fontId="62" fillId="29" borderId="2" xfId="84" applyNumberFormat="1" applyFont="1" applyFill="1" applyBorder="1" applyAlignment="1">
      <alignment vertical="center" wrapText="1"/>
    </xf>
    <xf numFmtId="0" fontId="62" fillId="29" borderId="2" xfId="84" applyFont="1" applyFill="1" applyBorder="1" applyAlignment="1">
      <alignment horizontal="center" vertical="center" wrapText="1"/>
    </xf>
    <xf numFmtId="0" fontId="62" fillId="29" borderId="2" xfId="84" applyFont="1" applyFill="1" applyBorder="1" applyAlignment="1">
      <alignment vertical="center" wrapText="1"/>
    </xf>
    <xf numFmtId="164" fontId="64" fillId="29" borderId="2" xfId="84" applyNumberFormat="1" applyFont="1" applyFill="1" applyBorder="1" applyAlignment="1">
      <alignment vertical="center" wrapText="1"/>
    </xf>
    <xf numFmtId="0" fontId="62" fillId="0" borderId="0" xfId="84" applyFont="1" applyBorder="1" applyAlignment="1">
      <alignment horizontal="center" vertical="center"/>
    </xf>
    <xf numFmtId="164" fontId="34" fillId="0" borderId="0" xfId="71" applyNumberFormat="1" applyFont="1" applyAlignment="1">
      <alignment vertical="center"/>
    </xf>
    <xf numFmtId="43" fontId="34" fillId="0" borderId="0" xfId="71" applyFont="1" applyAlignment="1">
      <alignment vertical="center"/>
    </xf>
    <xf numFmtId="0" fontId="34" fillId="0" borderId="0" xfId="84" applyFont="1" applyAlignment="1">
      <alignment horizontal="center" vertical="center"/>
    </xf>
    <xf numFmtId="0" fontId="64" fillId="29" borderId="0" xfId="84" applyFont="1" applyFill="1" applyAlignment="1">
      <alignment vertical="center" wrapText="1"/>
    </xf>
    <xf numFmtId="0" fontId="64" fillId="29" borderId="0" xfId="84" applyFont="1" applyFill="1" applyAlignment="1">
      <alignment horizontal="center" vertical="center" wrapText="1"/>
    </xf>
    <xf numFmtId="0" fontId="65" fillId="29" borderId="0" xfId="84" applyFont="1" applyFill="1" applyAlignment="1">
      <alignment horizontal="center" vertical="center" wrapText="1"/>
    </xf>
    <xf numFmtId="0" fontId="64" fillId="29" borderId="0" xfId="84" applyFont="1" applyFill="1" applyAlignment="1">
      <alignment horizontal="center" vertical="center"/>
    </xf>
    <xf numFmtId="164" fontId="64" fillId="29" borderId="0" xfId="71" applyNumberFormat="1" applyFont="1" applyFill="1" applyAlignment="1">
      <alignment horizontal="center" vertical="center"/>
    </xf>
    <xf numFmtId="0" fontId="39" fillId="0" borderId="0" xfId="84" applyFont="1" applyAlignment="1">
      <alignment vertical="center"/>
    </xf>
    <xf numFmtId="0" fontId="62" fillId="29" borderId="0" xfId="84" applyFont="1" applyFill="1" applyAlignment="1">
      <alignment horizontal="center" vertical="center"/>
    </xf>
    <xf numFmtId="164" fontId="62" fillId="29" borderId="0" xfId="71" applyNumberFormat="1" applyFont="1" applyFill="1" applyAlignment="1">
      <alignment horizontal="center" vertical="center"/>
    </xf>
    <xf numFmtId="0" fontId="62" fillId="29" borderId="0" xfId="84" applyFont="1" applyFill="1" applyAlignment="1">
      <alignment vertical="center" wrapText="1"/>
    </xf>
    <xf numFmtId="0" fontId="66" fillId="0" borderId="0" xfId="84" applyFont="1" applyAlignment="1">
      <alignment vertical="center"/>
    </xf>
    <xf numFmtId="14" fontId="66" fillId="0" borderId="0" xfId="84" applyNumberFormat="1" applyFont="1" applyAlignment="1">
      <alignment vertical="center"/>
    </xf>
    <xf numFmtId="0" fontId="66" fillId="0" borderId="0" xfId="84" applyFont="1" applyAlignment="1">
      <alignment horizontal="center" vertical="center"/>
    </xf>
    <xf numFmtId="0" fontId="59" fillId="29" borderId="0" xfId="84" applyFont="1" applyFill="1" applyAlignment="1">
      <alignment vertical="center" wrapText="1"/>
    </xf>
    <xf numFmtId="164" fontId="67" fillId="25" borderId="31" xfId="74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4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1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87" applyNumberFormat="1" applyFont="1" applyFill="1" applyBorder="1" applyAlignment="1">
      <alignment horizontal="center" vertical="center"/>
    </xf>
    <xf numFmtId="164" fontId="34" fillId="0" borderId="16" xfId="87" applyNumberFormat="1" applyFont="1" applyFill="1" applyBorder="1" applyAlignment="1">
      <alignment horizontal="left" vertical="center"/>
    </xf>
    <xf numFmtId="49" fontId="34" fillId="0" borderId="16" xfId="87" applyNumberFormat="1" applyFont="1" applyFill="1" applyBorder="1" applyAlignment="1">
      <alignment horizontal="left" vertical="center"/>
    </xf>
    <xf numFmtId="0" fontId="34" fillId="0" borderId="16" xfId="87" quotePrefix="1" applyNumberFormat="1" applyFont="1" applyFill="1" applyBorder="1" applyAlignment="1">
      <alignment horizontal="center" vertical="center"/>
    </xf>
    <xf numFmtId="0" fontId="47" fillId="0" borderId="0" xfId="74" applyFont="1" applyFill="1" applyBorder="1" applyAlignment="1" applyProtection="1">
      <alignment horizontal="center" vertical="center"/>
      <protection hidden="1"/>
    </xf>
    <xf numFmtId="0" fontId="40" fillId="0" borderId="0" xfId="74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4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1" applyFont="1" applyAlignment="1">
      <alignment horizontal="center" vertical="center"/>
    </xf>
    <xf numFmtId="0" fontId="62" fillId="29" borderId="0" xfId="84" applyFont="1" applyFill="1" applyAlignment="1">
      <alignment horizontal="center" vertical="center"/>
    </xf>
    <xf numFmtId="0" fontId="34" fillId="0" borderId="0" xfId="84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4" applyNumberFormat="1" applyFont="1" applyAlignment="1">
      <alignment horizontal="center"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vertical="center"/>
    </xf>
    <xf numFmtId="0" fontId="36" fillId="0" borderId="0" xfId="84" applyFont="1" applyFill="1" applyAlignment="1" applyProtection="1">
      <alignment horizontal="center" vertical="center"/>
      <protection hidden="1"/>
    </xf>
    <xf numFmtId="0" fontId="33" fillId="0" borderId="0" xfId="84" applyFont="1" applyFill="1" applyAlignment="1" applyProtection="1">
      <alignment horizontal="center" vertical="center"/>
      <protection hidden="1"/>
    </xf>
    <xf numFmtId="0" fontId="39" fillId="0" borderId="0" xfId="84" applyFont="1" applyFill="1" applyAlignment="1" applyProtection="1">
      <alignment horizontal="center" vertical="center"/>
      <protection hidden="1"/>
    </xf>
    <xf numFmtId="0" fontId="34" fillId="0" borderId="0" xfId="74" applyFont="1" applyFill="1" applyBorder="1" applyAlignment="1" applyProtection="1">
      <alignment horizontal="left" vertical="center"/>
      <protection hidden="1"/>
    </xf>
    <xf numFmtId="14" fontId="34" fillId="0" borderId="16" xfId="84" applyNumberFormat="1" applyFont="1" applyFill="1" applyBorder="1" applyAlignment="1">
      <alignment horizontal="left" vertical="center"/>
    </xf>
    <xf numFmtId="43" fontId="39" fillId="0" borderId="0" xfId="71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left" vertical="center"/>
    </xf>
    <xf numFmtId="164" fontId="34" fillId="0" borderId="16" xfId="71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1" applyNumberFormat="1" applyFont="1" applyBorder="1" applyAlignment="1">
      <alignment horizontal="center" vertical="center"/>
    </xf>
    <xf numFmtId="164" fontId="34" fillId="0" borderId="0" xfId="74" quotePrefix="1" applyNumberFormat="1" applyFont="1" applyAlignment="1">
      <alignment vertical="center"/>
    </xf>
    <xf numFmtId="0" fontId="34" fillId="0" borderId="35" xfId="84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4" applyFont="1" applyAlignment="1">
      <alignment horizontal="right" vertical="center"/>
    </xf>
    <xf numFmtId="0" fontId="72" fillId="0" borderId="0" xfId="84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/>
    <xf numFmtId="0" fontId="33" fillId="0" borderId="0" xfId="90" applyFont="1" applyAlignment="1">
      <alignment horizontal="left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73" fillId="0" borderId="0" xfId="90" applyFont="1"/>
    <xf numFmtId="0" fontId="33" fillId="0" borderId="2" xfId="90" applyFont="1" applyBorder="1" applyAlignment="1">
      <alignment horizontal="center"/>
    </xf>
    <xf numFmtId="0" fontId="33" fillId="0" borderId="20" xfId="90" applyFont="1" applyBorder="1" applyAlignment="1">
      <alignment horizontal="center"/>
    </xf>
    <xf numFmtId="0" fontId="33" fillId="0" borderId="12" xfId="90" applyFont="1" applyBorder="1"/>
    <xf numFmtId="0" fontId="33" fillId="0" borderId="12" xfId="90" quotePrefix="1" applyFont="1" applyBorder="1"/>
    <xf numFmtId="164" fontId="33" fillId="0" borderId="12" xfId="91" applyNumberFormat="1" applyFont="1" applyBorder="1"/>
    <xf numFmtId="0" fontId="33" fillId="0" borderId="16" xfId="90" applyFont="1" applyBorder="1"/>
    <xf numFmtId="0" fontId="33" fillId="0" borderId="39" xfId="90" applyFont="1" applyBorder="1"/>
    <xf numFmtId="0" fontId="33" fillId="0" borderId="17" xfId="90" quotePrefix="1" applyFont="1" applyBorder="1"/>
    <xf numFmtId="0" fontId="33" fillId="0" borderId="17" xfId="90" applyFont="1" applyBorder="1"/>
    <xf numFmtId="0" fontId="33" fillId="0" borderId="19" xfId="90" applyFont="1" applyBorder="1"/>
    <xf numFmtId="0" fontId="33" fillId="0" borderId="19" xfId="90" quotePrefix="1" applyFont="1" applyBorder="1"/>
    <xf numFmtId="164" fontId="33" fillId="0" borderId="19" xfId="90" applyNumberFormat="1" applyFont="1" applyBorder="1"/>
    <xf numFmtId="0" fontId="33" fillId="0" borderId="0" xfId="90" quotePrefix="1" applyFont="1"/>
    <xf numFmtId="0" fontId="33" fillId="0" borderId="0" xfId="90" applyFont="1" applyAlignment="1"/>
    <xf numFmtId="0" fontId="59" fillId="29" borderId="0" xfId="92" applyFont="1" applyFill="1" applyAlignment="1">
      <alignment horizontal="center" vertical="center" wrapText="1"/>
    </xf>
    <xf numFmtId="0" fontId="33" fillId="0" borderId="0" xfId="92" applyFont="1" applyAlignment="1">
      <alignment vertical="center"/>
    </xf>
    <xf numFmtId="0" fontId="59" fillId="29" borderId="0" xfId="92" applyFont="1" applyFill="1" applyAlignment="1">
      <alignment horizontal="left" vertical="center" wrapText="1"/>
    </xf>
    <xf numFmtId="0" fontId="33" fillId="0" borderId="0" xfId="93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4" applyFont="1" applyAlignment="1" applyProtection="1">
      <protection hidden="1"/>
    </xf>
    <xf numFmtId="0" fontId="33" fillId="0" borderId="0" xfId="94" applyFont="1" applyAlignment="1" applyProtection="1">
      <alignment horizontal="center"/>
      <protection hidden="1"/>
    </xf>
    <xf numFmtId="0" fontId="35" fillId="0" borderId="0" xfId="77" applyFont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40" fillId="0" borderId="0" xfId="77" applyFont="1" applyAlignment="1" applyProtection="1">
      <alignment vertical="center"/>
      <protection hidden="1"/>
    </xf>
    <xf numFmtId="0" fontId="35" fillId="0" borderId="0" xfId="77" applyFont="1" applyBorder="1" applyAlignment="1" applyProtection="1">
      <alignment vertical="center"/>
      <protection hidden="1"/>
    </xf>
    <xf numFmtId="0" fontId="44" fillId="0" borderId="0" xfId="77" applyFont="1" applyAlignment="1" applyProtection="1">
      <alignment horizontal="center" vertical="center"/>
      <protection hidden="1"/>
    </xf>
    <xf numFmtId="0" fontId="35" fillId="0" borderId="0" xfId="77" applyFont="1" applyAlignment="1" applyProtection="1">
      <alignment vertical="center"/>
      <protection locked="0" hidden="1"/>
    </xf>
    <xf numFmtId="0" fontId="35" fillId="0" borderId="0" xfId="77" applyFont="1" applyFill="1" applyBorder="1" applyAlignment="1" applyProtection="1">
      <alignment vertical="center"/>
      <protection locked="0" hidden="1"/>
    </xf>
    <xf numFmtId="0" fontId="34" fillId="0" borderId="16" xfId="93" applyNumberFormat="1" applyFont="1" applyBorder="1" applyAlignment="1" applyProtection="1">
      <alignment horizontal="center" vertical="center"/>
      <protection hidden="1"/>
    </xf>
    <xf numFmtId="0" fontId="68" fillId="0" borderId="0" xfId="77" applyFont="1" applyAlignment="1" applyProtection="1">
      <alignment horizontal="left" vertical="center"/>
      <protection hidden="1"/>
    </xf>
    <xf numFmtId="0" fontId="68" fillId="0" borderId="0" xfId="77" applyFont="1" applyAlignment="1" applyProtection="1">
      <alignment horizontal="center" vertical="center"/>
      <protection hidden="1"/>
    </xf>
    <xf numFmtId="0" fontId="47" fillId="0" borderId="0" xfId="94" applyFont="1"/>
    <xf numFmtId="0" fontId="33" fillId="0" borderId="0" xfId="94" applyFont="1"/>
    <xf numFmtId="0" fontId="33" fillId="0" borderId="0" xfId="94" applyFont="1" applyFill="1" applyBorder="1"/>
    <xf numFmtId="0" fontId="59" fillId="29" borderId="0" xfId="92" applyFont="1" applyFill="1" applyAlignment="1">
      <alignment vertical="top"/>
    </xf>
    <xf numFmtId="0" fontId="59" fillId="29" borderId="0" xfId="92" applyFont="1" applyFill="1" applyAlignment="1">
      <alignment horizontal="center" vertical="top" wrapText="1"/>
    </xf>
    <xf numFmtId="0" fontId="33" fillId="0" borderId="0" xfId="92" applyFont="1"/>
    <xf numFmtId="0" fontId="33" fillId="0" borderId="0" xfId="92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2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4" applyFont="1" applyAlignment="1">
      <alignment horizontal="center"/>
    </xf>
    <xf numFmtId="0" fontId="34" fillId="0" borderId="0" xfId="94" applyFont="1"/>
    <xf numFmtId="0" fontId="34" fillId="0" borderId="0" xfId="94" applyFont="1" applyAlignment="1">
      <alignment horizontal="center"/>
    </xf>
    <xf numFmtId="0" fontId="33" fillId="0" borderId="0" xfId="94" applyFont="1" applyAlignment="1"/>
    <xf numFmtId="0" fontId="33" fillId="0" borderId="0" xfId="94" applyFont="1" applyAlignment="1">
      <alignment horizontal="center"/>
    </xf>
    <xf numFmtId="0" fontId="33" fillId="0" borderId="0" xfId="94" applyFont="1" applyAlignment="1">
      <alignment horizontal="right"/>
    </xf>
    <xf numFmtId="0" fontId="33" fillId="0" borderId="22" xfId="94" applyFont="1" applyBorder="1" applyAlignment="1"/>
    <xf numFmtId="0" fontId="33" fillId="0" borderId="22" xfId="94" applyFont="1" applyBorder="1" applyAlignment="1">
      <alignment horizontal="center"/>
    </xf>
    <xf numFmtId="0" fontId="47" fillId="0" borderId="22" xfId="94" applyFont="1" applyBorder="1" applyAlignment="1"/>
    <xf numFmtId="0" fontId="47" fillId="0" borderId="0" xfId="94" applyFont="1" applyBorder="1" applyAlignment="1"/>
    <xf numFmtId="0" fontId="33" fillId="0" borderId="0" xfId="94" applyFont="1" applyBorder="1" applyAlignment="1">
      <alignment horizontal="center" vertical="center" wrapText="1"/>
    </xf>
    <xf numFmtId="0" fontId="33" fillId="26" borderId="2" xfId="94" applyFont="1" applyFill="1" applyBorder="1"/>
    <xf numFmtId="0" fontId="33" fillId="0" borderId="2" xfId="94" applyFont="1" applyBorder="1" applyAlignment="1">
      <alignment horizontal="center" vertical="center" wrapText="1" shrinkToFit="1"/>
    </xf>
    <xf numFmtId="0" fontId="33" fillId="0" borderId="2" xfId="94" applyFont="1" applyBorder="1" applyAlignment="1"/>
    <xf numFmtId="0" fontId="33" fillId="0" borderId="2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0" fontId="33" fillId="0" borderId="0" xfId="94" applyFont="1" applyBorder="1" applyAlignment="1">
      <alignment horizontal="center"/>
    </xf>
    <xf numFmtId="0" fontId="33" fillId="0" borderId="12" xfId="94" applyFont="1" applyBorder="1"/>
    <xf numFmtId="164" fontId="33" fillId="0" borderId="16" xfId="29" applyNumberFormat="1" applyFont="1" applyBorder="1"/>
    <xf numFmtId="0" fontId="33" fillId="0" borderId="12" xfId="94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4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4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4" applyFont="1" applyBorder="1"/>
    <xf numFmtId="164" fontId="33" fillId="0" borderId="2" xfId="29" applyNumberFormat="1" applyFont="1" applyBorder="1"/>
    <xf numFmtId="0" fontId="33" fillId="0" borderId="0" xfId="94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4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4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4" applyFont="1" applyBorder="1" applyProtection="1">
      <protection hidden="1"/>
    </xf>
    <xf numFmtId="0" fontId="33" fillId="0" borderId="39" xfId="94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4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5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5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5" applyFont="1" applyAlignment="1">
      <alignment horizontal="center" vertical="center" wrapText="1"/>
    </xf>
    <xf numFmtId="0" fontId="34" fillId="0" borderId="21" xfId="90" applyFont="1" applyBorder="1" applyAlignment="1">
      <alignment vertical="center"/>
    </xf>
    <xf numFmtId="0" fontId="34" fillId="0" borderId="16" xfId="90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0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5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5" applyNumberFormat="1" applyFont="1" applyAlignment="1">
      <alignment horizontal="center" vertical="center" wrapText="1"/>
    </xf>
    <xf numFmtId="41" fontId="33" fillId="0" borderId="2" xfId="95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5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4" applyFont="1" applyAlignment="1">
      <alignment horizontal="center"/>
    </xf>
    <xf numFmtId="0" fontId="39" fillId="25" borderId="31" xfId="84" applyFont="1" applyFill="1" applyBorder="1" applyAlignment="1">
      <alignment horizontal="center" vertical="center"/>
    </xf>
    <xf numFmtId="0" fontId="34" fillId="0" borderId="19" xfId="84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4" applyFont="1" applyFill="1" applyBorder="1" applyAlignment="1" applyProtection="1">
      <alignment vertical="center"/>
      <protection locked="0" hidden="1"/>
    </xf>
    <xf numFmtId="0" fontId="36" fillId="27" borderId="31" xfId="74" applyFont="1" applyFill="1" applyBorder="1" applyAlignment="1" applyProtection="1">
      <alignment vertical="center"/>
      <protection locked="0" hidden="1"/>
    </xf>
    <xf numFmtId="0" fontId="36" fillId="28" borderId="31" xfId="74" applyNumberFormat="1" applyFont="1" applyFill="1" applyBorder="1" applyAlignment="1" applyProtection="1">
      <alignment vertical="center"/>
      <protection locked="0" hidden="1"/>
    </xf>
    <xf numFmtId="0" fontId="33" fillId="0" borderId="17" xfId="90" applyFont="1" applyBorder="1" applyAlignment="1">
      <alignment horizontal="center"/>
    </xf>
    <xf numFmtId="0" fontId="33" fillId="0" borderId="19" xfId="90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4" applyFont="1" applyAlignment="1" applyProtection="1">
      <alignment horizontal="center"/>
      <protection hidden="1"/>
    </xf>
    <xf numFmtId="0" fontId="33" fillId="0" borderId="0" xfId="94" applyFont="1" applyAlignment="1">
      <alignment horizontal="center"/>
    </xf>
    <xf numFmtId="0" fontId="68" fillId="0" borderId="0" xfId="90" applyFont="1" applyAlignment="1">
      <alignment horizontal="center" vertical="center"/>
    </xf>
    <xf numFmtId="41" fontId="36" fillId="29" borderId="0" xfId="92" applyNumberFormat="1" applyFont="1" applyFill="1" applyAlignment="1">
      <alignment vertical="center"/>
    </xf>
    <xf numFmtId="41" fontId="36" fillId="29" borderId="0" xfId="92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4" fillId="0" borderId="0" xfId="29" applyNumberFormat="1" applyFont="1" applyAlignment="1">
      <alignment vertical="center"/>
    </xf>
    <xf numFmtId="41" fontId="74" fillId="0" borderId="0" xfId="95" applyNumberFormat="1" applyFont="1" applyAlignment="1">
      <alignment vertical="center"/>
    </xf>
    <xf numFmtId="41" fontId="33" fillId="0" borderId="0" xfId="95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5" applyNumberFormat="1" applyFont="1" applyBorder="1" applyAlignment="1">
      <alignment vertical="center"/>
    </xf>
    <xf numFmtId="41" fontId="33" fillId="0" borderId="2" xfId="95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5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0" applyFont="1" applyAlignment="1">
      <alignment horizontal="center" vertical="center"/>
    </xf>
    <xf numFmtId="164" fontId="51" fillId="0" borderId="0" xfId="91" applyNumberFormat="1" applyFont="1" applyAlignment="1">
      <alignment horizontal="center" vertical="center"/>
    </xf>
    <xf numFmtId="164" fontId="51" fillId="0" borderId="0" xfId="91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4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4" applyNumberFormat="1" applyFont="1" applyBorder="1" applyAlignment="1" applyProtection="1">
      <alignment vertical="center"/>
      <protection hidden="1"/>
    </xf>
    <xf numFmtId="164" fontId="67" fillId="0" borderId="51" xfId="74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4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2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2" applyNumberFormat="1" applyFont="1" applyFill="1" applyAlignment="1">
      <alignment vertical="center"/>
    </xf>
    <xf numFmtId="0" fontId="67" fillId="0" borderId="0" xfId="82" applyFont="1" applyAlignment="1">
      <alignment vertical="center"/>
    </xf>
    <xf numFmtId="0" fontId="66" fillId="0" borderId="0" xfId="82" applyFont="1" applyAlignment="1">
      <alignment vertical="center"/>
    </xf>
    <xf numFmtId="0" fontId="66" fillId="0" borderId="0" xfId="82" applyFont="1" applyAlignment="1">
      <alignment horizontal="center" vertical="center"/>
    </xf>
    <xf numFmtId="0" fontId="77" fillId="0" borderId="0" xfId="82" applyFont="1" applyAlignment="1">
      <alignment vertical="center"/>
    </xf>
    <xf numFmtId="0" fontId="77" fillId="0" borderId="0" xfId="82" applyFont="1" applyAlignment="1">
      <alignment horizontal="center" vertical="center"/>
    </xf>
    <xf numFmtId="0" fontId="67" fillId="0" borderId="0" xfId="82" applyFont="1" applyBorder="1" applyAlignment="1">
      <alignment vertical="center"/>
    </xf>
    <xf numFmtId="0" fontId="67" fillId="0" borderId="0" xfId="82" applyFont="1" applyBorder="1" applyAlignment="1">
      <alignment horizontal="center" vertical="center"/>
    </xf>
    <xf numFmtId="0" fontId="66" fillId="0" borderId="0" xfId="82" applyFont="1" applyBorder="1" applyAlignment="1">
      <alignment vertical="center"/>
    </xf>
    <xf numFmtId="164" fontId="78" fillId="0" borderId="0" xfId="74" applyNumberFormat="1" applyFont="1" applyBorder="1" applyAlignment="1" applyProtection="1">
      <alignment vertical="center"/>
      <protection hidden="1"/>
    </xf>
    <xf numFmtId="164" fontId="79" fillId="0" borderId="0" xfId="74" applyNumberFormat="1" applyFont="1" applyAlignment="1">
      <alignment vertical="center"/>
    </xf>
    <xf numFmtId="164" fontId="80" fillId="0" borderId="0" xfId="74" applyNumberFormat="1" applyFont="1" applyAlignment="1">
      <alignment vertical="center"/>
    </xf>
    <xf numFmtId="164" fontId="72" fillId="0" borderId="0" xfId="74" applyNumberFormat="1" applyFont="1" applyAlignment="1">
      <alignment vertical="center"/>
    </xf>
    <xf numFmtId="164" fontId="39" fillId="21" borderId="2" xfId="71" applyNumberFormat="1" applyFont="1" applyFill="1" applyBorder="1" applyAlignment="1">
      <alignment horizontal="centerContinuous" vertical="center" wrapText="1"/>
    </xf>
    <xf numFmtId="0" fontId="39" fillId="0" borderId="0" xfId="70" applyFont="1" applyAlignment="1">
      <alignment vertical="center"/>
    </xf>
    <xf numFmtId="0" fontId="34" fillId="0" borderId="0" xfId="70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1" applyNumberFormat="1" applyFont="1" applyAlignment="1">
      <alignment horizontal="centerContinuous" vertical="center"/>
    </xf>
    <xf numFmtId="164" fontId="22" fillId="0" borderId="0" xfId="71" applyNumberFormat="1" applyFont="1" applyAlignment="1">
      <alignment horizontal="center" vertical="center"/>
    </xf>
    <xf numFmtId="164" fontId="68" fillId="0" borderId="23" xfId="71" quotePrefix="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horizontal="center" vertical="center"/>
    </xf>
    <xf numFmtId="164" fontId="68" fillId="0" borderId="23" xfId="71" applyNumberFormat="1" applyFont="1" applyBorder="1" applyAlignment="1">
      <alignment vertical="center"/>
    </xf>
    <xf numFmtId="164" fontId="68" fillId="0" borderId="25" xfId="71" applyNumberFormat="1" applyFont="1" applyBorder="1" applyAlignment="1">
      <alignment vertical="center"/>
    </xf>
    <xf numFmtId="164" fontId="34" fillId="0" borderId="0" xfId="71" applyNumberFormat="1" applyFont="1" applyFill="1" applyAlignment="1">
      <alignment vertical="center"/>
    </xf>
    <xf numFmtId="164" fontId="39" fillId="0" borderId="10" xfId="71" applyNumberFormat="1" applyFont="1" applyBorder="1" applyAlignment="1">
      <alignment horizontal="left" vertical="center"/>
    </xf>
    <xf numFmtId="164" fontId="39" fillId="0" borderId="10" xfId="71" applyNumberFormat="1" applyFont="1" applyBorder="1" applyAlignment="1">
      <alignment vertical="center"/>
    </xf>
    <xf numFmtId="164" fontId="39" fillId="0" borderId="26" xfId="71" applyNumberFormat="1" applyFont="1" applyBorder="1" applyAlignment="1">
      <alignment vertical="center"/>
    </xf>
    <xf numFmtId="164" fontId="39" fillId="0" borderId="10" xfId="71" quotePrefix="1" applyNumberFormat="1" applyFont="1" applyBorder="1" applyAlignment="1">
      <alignment horizontal="left" vertical="center"/>
    </xf>
    <xf numFmtId="164" fontId="34" fillId="0" borderId="26" xfId="71" quotePrefix="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horizontal="right" vertical="center"/>
    </xf>
    <xf numFmtId="164" fontId="34" fillId="0" borderId="26" xfId="71" applyNumberFormat="1" applyFont="1" applyBorder="1" applyAlignment="1">
      <alignment vertical="center"/>
    </xf>
    <xf numFmtId="164" fontId="39" fillId="0" borderId="27" xfId="71" applyNumberFormat="1" applyFont="1" applyBorder="1" applyAlignment="1">
      <alignment vertical="center"/>
    </xf>
    <xf numFmtId="164" fontId="39" fillId="0" borderId="2" xfId="71" applyNumberFormat="1" applyFont="1" applyBorder="1" applyAlignment="1">
      <alignment vertical="center"/>
    </xf>
    <xf numFmtId="3" fontId="34" fillId="0" borderId="0" xfId="70" applyNumberFormat="1" applyFont="1" applyAlignment="1">
      <alignment vertical="center"/>
    </xf>
    <xf numFmtId="164" fontId="34" fillId="0" borderId="0" xfId="70" applyNumberFormat="1" applyFont="1" applyAlignment="1">
      <alignment vertical="center"/>
    </xf>
    <xf numFmtId="0" fontId="34" fillId="0" borderId="0" xfId="70" applyFont="1" applyBorder="1" applyAlignment="1">
      <alignment vertical="center"/>
    </xf>
    <xf numFmtId="164" fontId="67" fillId="0" borderId="0" xfId="71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4" applyNumberFormat="1" applyFont="1" applyFill="1" applyBorder="1" applyAlignment="1">
      <alignment vertical="center"/>
    </xf>
    <xf numFmtId="0" fontId="35" fillId="30" borderId="31" xfId="77" applyFont="1" applyFill="1" applyBorder="1" applyAlignment="1" applyProtection="1">
      <alignment vertical="center"/>
      <protection locked="0" hidden="1"/>
    </xf>
    <xf numFmtId="0" fontId="35" fillId="31" borderId="31" xfId="77" applyNumberFormat="1" applyFont="1" applyFill="1" applyBorder="1" applyAlignment="1" applyProtection="1">
      <alignment vertical="center"/>
      <protection locked="0" hidden="1"/>
    </xf>
    <xf numFmtId="0" fontId="81" fillId="0" borderId="0" xfId="74" applyFont="1" applyFill="1" applyBorder="1" applyAlignment="1" applyProtection="1">
      <alignment horizontal="left" vertical="center"/>
      <protection hidden="1"/>
    </xf>
    <xf numFmtId="0" fontId="82" fillId="0" borderId="0" xfId="77" applyFont="1" applyAlignment="1" applyProtection="1">
      <alignment vertical="center"/>
      <protection hidden="1"/>
    </xf>
    <xf numFmtId="0" fontId="81" fillId="0" borderId="0" xfId="77" applyFont="1" applyAlignment="1" applyProtection="1">
      <alignment horizontal="center" vertical="center"/>
      <protection hidden="1"/>
    </xf>
    <xf numFmtId="0" fontId="82" fillId="0" borderId="0" xfId="77" applyFont="1" applyFill="1" applyBorder="1" applyAlignment="1" applyProtection="1">
      <alignment vertical="center"/>
      <protection hidden="1"/>
    </xf>
    <xf numFmtId="164" fontId="83" fillId="0" borderId="0" xfId="74" applyNumberFormat="1" applyFont="1" applyBorder="1" applyAlignment="1" applyProtection="1">
      <alignment vertical="center"/>
      <protection hidden="1"/>
    </xf>
    <xf numFmtId="0" fontId="81" fillId="0" borderId="0" xfId="77" applyFont="1" applyAlignment="1" applyProtection="1">
      <alignment vertical="center"/>
      <protection hidden="1"/>
    </xf>
    <xf numFmtId="0" fontId="82" fillId="0" borderId="0" xfId="77" applyFont="1" applyBorder="1" applyAlignment="1" applyProtection="1">
      <alignment vertical="center"/>
      <protection hidden="1"/>
    </xf>
    <xf numFmtId="0" fontId="49" fillId="0" borderId="0" xfId="77" applyFont="1" applyAlignment="1" applyProtection="1">
      <alignment vertical="center"/>
      <protection hidden="1"/>
    </xf>
    <xf numFmtId="14" fontId="35" fillId="0" borderId="0" xfId="77" applyNumberFormat="1" applyFont="1" applyAlignment="1" applyProtection="1">
      <alignment horizontal="center" vertical="center"/>
      <protection hidden="1"/>
    </xf>
    <xf numFmtId="14" fontId="35" fillId="0" borderId="0" xfId="77" applyNumberFormat="1" applyFont="1" applyAlignment="1" applyProtection="1">
      <alignment vertical="center"/>
      <protection hidden="1"/>
    </xf>
    <xf numFmtId="0" fontId="35" fillId="0" borderId="0" xfId="77" applyFont="1" applyAlignment="1" applyProtection="1">
      <alignment horizontal="right" vertical="center"/>
      <protection hidden="1"/>
    </xf>
    <xf numFmtId="0" fontId="35" fillId="0" borderId="0" xfId="77" applyFont="1" applyAlignment="1" applyProtection="1">
      <alignment horizontal="left" vertical="center"/>
      <protection hidden="1"/>
    </xf>
    <xf numFmtId="0" fontId="35" fillId="0" borderId="0" xfId="77" applyFont="1" applyFill="1" applyAlignment="1" applyProtection="1">
      <alignment vertical="center"/>
      <protection hidden="1"/>
    </xf>
    <xf numFmtId="0" fontId="35" fillId="0" borderId="17" xfId="77" applyFont="1" applyBorder="1" applyAlignment="1" applyProtection="1">
      <alignment horizontal="center" vertical="center" wrapText="1"/>
      <protection hidden="1"/>
    </xf>
    <xf numFmtId="0" fontId="35" fillId="32" borderId="17" xfId="77" applyFont="1" applyFill="1" applyBorder="1" applyAlignment="1" applyProtection="1">
      <alignment horizontal="center" vertical="center"/>
      <protection hidden="1"/>
    </xf>
    <xf numFmtId="0" fontId="35" fillId="0" borderId="16" xfId="93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77" applyFont="1" applyBorder="1" applyAlignment="1" applyProtection="1">
      <alignment vertical="center"/>
      <protection hidden="1"/>
    </xf>
    <xf numFmtId="0" fontId="35" fillId="0" borderId="16" xfId="77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77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77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77" applyFont="1" applyAlignment="1" applyProtection="1">
      <alignment horizontal="left" vertical="center"/>
      <protection hidden="1"/>
    </xf>
    <xf numFmtId="0" fontId="43" fillId="0" borderId="16" xfId="74" applyNumberFormat="1" applyFont="1" applyFill="1" applyBorder="1" applyAlignment="1">
      <alignment horizontal="center" vertical="center"/>
    </xf>
    <xf numFmtId="0" fontId="84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2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4" applyNumberFormat="1" applyFont="1" applyFill="1" applyBorder="1" applyAlignment="1">
      <alignment vertical="center"/>
    </xf>
    <xf numFmtId="41" fontId="33" fillId="29" borderId="0" xfId="92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0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0" applyNumberFormat="1" applyFont="1" applyBorder="1"/>
    <xf numFmtId="164" fontId="33" fillId="0" borderId="17" xfId="90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5" applyFont="1" applyAlignment="1">
      <alignment vertical="center"/>
    </xf>
    <xf numFmtId="0" fontId="39" fillId="0" borderId="0" xfId="95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5" applyFont="1" applyBorder="1" applyAlignment="1">
      <alignment vertical="center"/>
    </xf>
    <xf numFmtId="0" fontId="39" fillId="0" borderId="2" xfId="95" applyFont="1" applyBorder="1" applyAlignment="1">
      <alignment horizontal="center" vertical="center"/>
    </xf>
    <xf numFmtId="0" fontId="39" fillId="0" borderId="0" xfId="95" applyFont="1" applyBorder="1" applyAlignment="1">
      <alignment vertical="center"/>
    </xf>
    <xf numFmtId="0" fontId="39" fillId="0" borderId="0" xfId="95" applyFont="1" applyBorder="1" applyAlignment="1">
      <alignment horizontal="center" vertical="center"/>
    </xf>
    <xf numFmtId="0" fontId="34" fillId="0" borderId="0" xfId="95" applyFont="1" applyBorder="1" applyAlignment="1">
      <alignment vertical="center"/>
    </xf>
    <xf numFmtId="0" fontId="34" fillId="0" borderId="0" xfId="95" applyFont="1" applyBorder="1" applyAlignment="1">
      <alignment horizontal="left" vertical="center"/>
    </xf>
    <xf numFmtId="0" fontId="34" fillId="0" borderId="0" xfId="95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6" fillId="0" borderId="0" xfId="95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5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4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1" fontId="34" fillId="0" borderId="0" xfId="29" applyNumberFormat="1" applyFont="1" applyAlignment="1">
      <alignment vertical="center"/>
    </xf>
    <xf numFmtId="171" fontId="34" fillId="0" borderId="22" xfId="29" applyNumberFormat="1" applyFont="1" applyBorder="1" applyAlignment="1">
      <alignment vertical="center"/>
    </xf>
    <xf numFmtId="171" fontId="39" fillId="0" borderId="2" xfId="29" applyNumberFormat="1" applyFont="1" applyBorder="1" applyAlignment="1">
      <alignment horizontal="center" vertical="center" wrapText="1"/>
    </xf>
    <xf numFmtId="171" fontId="34" fillId="0" borderId="39" xfId="29" applyNumberFormat="1" applyFont="1" applyBorder="1" applyAlignment="1">
      <alignment horizontal="center" vertical="center"/>
    </xf>
    <xf numFmtId="171" fontId="34" fillId="0" borderId="2" xfId="29" applyNumberFormat="1" applyFont="1" applyBorder="1" applyAlignment="1">
      <alignment vertical="center"/>
    </xf>
    <xf numFmtId="171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87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4" applyFont="1" applyFill="1" applyAlignment="1">
      <alignment horizontal="center" vertical="center"/>
    </xf>
    <xf numFmtId="0" fontId="60" fillId="0" borderId="0" xfId="84" applyFont="1" applyFill="1" applyAlignment="1">
      <alignment horizontal="center" vertical="center"/>
    </xf>
    <xf numFmtId="0" fontId="34" fillId="0" borderId="0" xfId="73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3" quotePrefix="1" applyNumberFormat="1" applyFont="1" applyFill="1" applyBorder="1" applyAlignment="1">
      <alignment horizontal="center" vertical="center"/>
    </xf>
    <xf numFmtId="0" fontId="33" fillId="0" borderId="0" xfId="82" applyFont="1" applyBorder="1" applyAlignment="1">
      <alignment vertical="center"/>
    </xf>
    <xf numFmtId="0" fontId="33" fillId="0" borderId="0" xfId="82" applyFont="1" applyAlignment="1">
      <alignment vertical="center"/>
    </xf>
    <xf numFmtId="164" fontId="80" fillId="0" borderId="0" xfId="74" applyNumberFormat="1" applyFont="1" applyBorder="1" applyAlignment="1" applyProtection="1">
      <alignment vertical="center"/>
      <protection hidden="1"/>
    </xf>
    <xf numFmtId="0" fontId="33" fillId="0" borderId="2" xfId="82" applyFont="1" applyBorder="1" applyAlignment="1">
      <alignment horizontal="center" vertical="center" wrapText="1"/>
    </xf>
    <xf numFmtId="0" fontId="33" fillId="0" borderId="2" xfId="73" applyNumberFormat="1" applyFont="1" applyFill="1" applyBorder="1" applyAlignment="1">
      <alignment horizontal="center" vertical="center" wrapText="1"/>
    </xf>
    <xf numFmtId="0" fontId="33" fillId="0" borderId="17" xfId="82" applyFont="1" applyBorder="1" applyAlignment="1">
      <alignment vertical="center"/>
    </xf>
    <xf numFmtId="0" fontId="33" fillId="0" borderId="17" xfId="82" quotePrefix="1" applyFont="1" applyBorder="1" applyAlignment="1">
      <alignment vertical="center"/>
    </xf>
    <xf numFmtId="0" fontId="33" fillId="0" borderId="12" xfId="82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2" applyNumberFormat="1" applyFont="1" applyBorder="1" applyAlignment="1">
      <alignment horizontal="center" vertical="center"/>
    </xf>
    <xf numFmtId="0" fontId="33" fillId="0" borderId="16" xfId="82" applyFont="1" applyBorder="1" applyAlignment="1">
      <alignment horizontal="center" vertical="center"/>
    </xf>
    <xf numFmtId="0" fontId="33" fillId="0" borderId="16" xfId="82" applyNumberFormat="1" applyFont="1" applyBorder="1" applyAlignment="1">
      <alignment horizontal="left" vertical="center"/>
    </xf>
    <xf numFmtId="0" fontId="33" fillId="0" borderId="16" xfId="82" applyNumberFormat="1" applyFont="1" applyBorder="1" applyAlignment="1">
      <alignment horizontal="center" vertical="center"/>
    </xf>
    <xf numFmtId="0" fontId="33" fillId="0" borderId="2" xfId="82" applyFont="1" applyBorder="1" applyAlignment="1">
      <alignment vertical="center"/>
    </xf>
    <xf numFmtId="0" fontId="33" fillId="0" borderId="2" xfId="82" quotePrefix="1" applyFont="1" applyBorder="1" applyAlignment="1">
      <alignment vertical="center"/>
    </xf>
    <xf numFmtId="0" fontId="33" fillId="0" borderId="2" xfId="82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2" quotePrefix="1" applyFont="1" applyAlignment="1">
      <alignment vertical="center"/>
    </xf>
    <xf numFmtId="0" fontId="33" fillId="0" borderId="0" xfId="82" applyFont="1" applyAlignment="1">
      <alignment horizontal="center" vertical="center"/>
    </xf>
    <xf numFmtId="41" fontId="39" fillId="29" borderId="0" xfId="92" applyNumberFormat="1" applyFont="1" applyFill="1" applyAlignment="1">
      <alignment vertical="center"/>
    </xf>
    <xf numFmtId="41" fontId="34" fillId="29" borderId="0" xfId="92" applyNumberFormat="1" applyFont="1" applyFill="1" applyAlignment="1">
      <alignment vertical="center"/>
    </xf>
    <xf numFmtId="0" fontId="34" fillId="0" borderId="0" xfId="94" applyFont="1" applyAlignment="1" applyProtection="1">
      <protection hidden="1"/>
    </xf>
    <xf numFmtId="0" fontId="34" fillId="0" borderId="0" xfId="94" applyFont="1" applyAlignment="1" applyProtection="1">
      <alignment horizontal="center"/>
      <protection hidden="1"/>
    </xf>
    <xf numFmtId="14" fontId="33" fillId="0" borderId="16" xfId="90" applyNumberFormat="1" applyFont="1" applyBorder="1" applyAlignment="1">
      <alignment horizontal="center"/>
    </xf>
    <xf numFmtId="0" fontId="33" fillId="0" borderId="12" xfId="90" applyFont="1" applyBorder="1" applyAlignment="1">
      <alignment horizontal="center"/>
    </xf>
    <xf numFmtId="0" fontId="34" fillId="0" borderId="0" xfId="73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3" applyNumberFormat="1" applyFont="1" applyFill="1" applyBorder="1" applyAlignment="1">
      <alignment horizontal="center" vertical="center"/>
    </xf>
    <xf numFmtId="0" fontId="34" fillId="0" borderId="2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" xfId="73" applyNumberFormat="1" applyFont="1" applyFill="1" applyBorder="1" applyAlignment="1">
      <alignment horizontal="center" vertical="center" wrapText="1"/>
    </xf>
    <xf numFmtId="0" fontId="39" fillId="0" borderId="0" xfId="73" applyFont="1" applyFill="1" applyAlignment="1">
      <alignment horizontal="center" vertical="center"/>
    </xf>
    <xf numFmtId="164" fontId="43" fillId="0" borderId="16" xfId="73" applyNumberFormat="1" applyFont="1" applyFill="1" applyBorder="1" applyAlignment="1">
      <alignment horizontal="center" vertical="center"/>
    </xf>
    <xf numFmtId="164" fontId="34" fillId="0" borderId="16" xfId="87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4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3" fillId="0" borderId="0" xfId="0" applyFont="1"/>
    <xf numFmtId="0" fontId="34" fillId="0" borderId="0" xfId="0" applyFont="1"/>
    <xf numFmtId="10" fontId="34" fillId="0" borderId="0" xfId="0" applyNumberFormat="1" applyFont="1"/>
    <xf numFmtId="0" fontId="85" fillId="0" borderId="0" xfId="0" applyFont="1"/>
    <xf numFmtId="0" fontId="87" fillId="0" borderId="22" xfId="0" applyFont="1" applyBorder="1" applyAlignment="1">
      <alignment vertical="center"/>
    </xf>
    <xf numFmtId="164" fontId="76" fillId="0" borderId="0" xfId="29" applyNumberFormat="1" applyFont="1"/>
    <xf numFmtId="0" fontId="76" fillId="0" borderId="0" xfId="0" applyFont="1"/>
    <xf numFmtId="164" fontId="36" fillId="33" borderId="2" xfId="29" applyNumberFormat="1" applyFont="1" applyFill="1" applyBorder="1" applyAlignment="1">
      <alignment horizontal="center" vertical="center" wrapText="1"/>
    </xf>
    <xf numFmtId="0" fontId="34" fillId="31" borderId="17" xfId="0" applyFont="1" applyFill="1" applyBorder="1" applyAlignment="1">
      <alignment horizontal="center" vertical="center" wrapText="1"/>
    </xf>
    <xf numFmtId="0" fontId="88" fillId="0" borderId="16" xfId="0" applyFont="1" applyBorder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 wrapText="1"/>
    </xf>
    <xf numFmtId="164" fontId="88" fillId="34" borderId="16" xfId="29" applyNumberFormat="1" applyFont="1" applyFill="1" applyBorder="1" applyAlignment="1">
      <alignment horizontal="center" vertical="center" wrapText="1"/>
    </xf>
    <xf numFmtId="164" fontId="88" fillId="0" borderId="16" xfId="29" applyNumberFormat="1" applyFont="1" applyBorder="1" applyAlignment="1">
      <alignment horizontal="center" vertical="center" wrapText="1"/>
    </xf>
    <xf numFmtId="164" fontId="89" fillId="0" borderId="0" xfId="29" applyNumberFormat="1" applyFont="1"/>
    <xf numFmtId="164" fontId="88" fillId="0" borderId="0" xfId="29" applyNumberFormat="1" applyFont="1"/>
    <xf numFmtId="0" fontId="88" fillId="0" borderId="0" xfId="0" applyFont="1"/>
    <xf numFmtId="0" fontId="43" fillId="0" borderId="16" xfId="0" applyFont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left" vertical="center"/>
    </xf>
    <xf numFmtId="164" fontId="43" fillId="0" borderId="16" xfId="29" applyNumberFormat="1" applyFont="1" applyBorder="1" applyAlignment="1">
      <alignment horizontal="center" vertical="center" wrapText="1"/>
    </xf>
    <xf numFmtId="164" fontId="90" fillId="0" borderId="0" xfId="29" applyNumberFormat="1" applyFont="1"/>
    <xf numFmtId="164" fontId="43" fillId="0" borderId="0" xfId="29" applyNumberFormat="1" applyFont="1"/>
    <xf numFmtId="0" fontId="43" fillId="0" borderId="0" xfId="0" applyFont="1"/>
    <xf numFmtId="0" fontId="34" fillId="0" borderId="16" xfId="0" applyFont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left" vertical="center" wrapText="1"/>
    </xf>
    <xf numFmtId="0" fontId="34" fillId="0" borderId="16" xfId="0" applyFont="1" applyFill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9" xfId="0" applyFont="1" applyFill="1" applyBorder="1" applyAlignment="1">
      <alignment horizontal="left" vertical="center" wrapText="1"/>
    </xf>
    <xf numFmtId="0" fontId="34" fillId="0" borderId="39" xfId="0" applyFont="1" applyFill="1" applyBorder="1" applyAlignment="1">
      <alignment horizontal="center" vertical="center" wrapText="1"/>
    </xf>
    <xf numFmtId="164" fontId="34" fillId="0" borderId="39" xfId="29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vertical="center" wrapText="1"/>
    </xf>
    <xf numFmtId="164" fontId="34" fillId="0" borderId="2" xfId="29" applyNumberFormat="1" applyFont="1" applyBorder="1" applyAlignment="1">
      <alignment horizontal="center" vertical="center" wrapText="1"/>
    </xf>
    <xf numFmtId="0" fontId="34" fillId="0" borderId="0" xfId="0" applyFont="1" applyBorder="1" applyAlignment="1">
      <alignment vertical="center" wrapText="1"/>
    </xf>
    <xf numFmtId="0" fontId="34" fillId="0" borderId="0" xfId="0" applyFont="1" applyFill="1" applyBorder="1" applyAlignment="1">
      <alignment vertical="center" wrapText="1"/>
    </xf>
    <xf numFmtId="0" fontId="3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10" fontId="39" fillId="0" borderId="0" xfId="29" applyNumberFormat="1" applyFont="1" applyBorder="1" applyAlignment="1">
      <alignment horizontal="center" vertical="center"/>
    </xf>
    <xf numFmtId="164" fontId="34" fillId="0" borderId="0" xfId="29" applyNumberFormat="1" applyFont="1" applyAlignment="1">
      <alignment vertical="center" wrapText="1"/>
    </xf>
    <xf numFmtId="43" fontId="34" fillId="0" borderId="0" xfId="29" applyNumberFormat="1" applyFont="1" applyAlignment="1">
      <alignment vertical="center" wrapText="1"/>
    </xf>
    <xf numFmtId="0" fontId="39" fillId="0" borderId="0" xfId="0" applyFont="1" applyBorder="1" applyAlignment="1">
      <alignment vertical="center" wrapText="1"/>
    </xf>
    <xf numFmtId="0" fontId="39" fillId="0" borderId="0" xfId="0" applyFont="1" applyFill="1" applyBorder="1" applyAlignment="1">
      <alignment horizontal="left" vertical="center"/>
    </xf>
    <xf numFmtId="164" fontId="39" fillId="0" borderId="0" xfId="29" applyNumberFormat="1" applyFont="1" applyAlignment="1">
      <alignment vertical="center" wrapText="1"/>
    </xf>
    <xf numFmtId="164" fontId="39" fillId="0" borderId="0" xfId="29" applyNumberFormat="1" applyFont="1" applyFill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0" fontId="34" fillId="0" borderId="0" xfId="0" applyFont="1" applyBorder="1"/>
    <xf numFmtId="10" fontId="34" fillId="0" borderId="0" xfId="0" applyNumberFormat="1" applyFont="1" applyBorder="1"/>
    <xf numFmtId="164" fontId="34" fillId="0" borderId="0" xfId="29" applyNumberFormat="1" applyFont="1" applyBorder="1"/>
    <xf numFmtId="0" fontId="34" fillId="0" borderId="0" xfId="0" applyFont="1" applyAlignment="1"/>
    <xf numFmtId="0" fontId="33" fillId="0" borderId="0" xfId="96" applyNumberFormat="1" applyFont="1" applyBorder="1" applyAlignment="1"/>
    <xf numFmtId="0" fontId="91" fillId="0" borderId="0" xfId="0" applyFont="1" applyBorder="1" applyAlignment="1">
      <alignment vertical="center"/>
    </xf>
    <xf numFmtId="0" fontId="91" fillId="0" borderId="0" xfId="0" applyFont="1" applyBorder="1" applyAlignment="1">
      <alignment horizontal="center" vertical="center"/>
    </xf>
    <xf numFmtId="0" fontId="22" fillId="0" borderId="0" xfId="0" applyNumberFormat="1" applyFont="1" applyBorder="1" applyAlignment="1">
      <alignment horizontal="center" vertical="center" wrapText="1"/>
    </xf>
    <xf numFmtId="0" fontId="22" fillId="0" borderId="0" xfId="0" applyNumberFormat="1" applyFont="1" applyBorder="1" applyAlignment="1">
      <alignment horizontal="center" vertical="center"/>
    </xf>
    <xf numFmtId="0" fontId="22" fillId="0" borderId="0" xfId="0" applyNumberFormat="1" applyFont="1" applyBorder="1" applyAlignment="1">
      <alignment vertical="center" wrapText="1"/>
    </xf>
    <xf numFmtId="0" fontId="35" fillId="0" borderId="0" xfId="0" applyFont="1" applyBorder="1" applyAlignment="1">
      <alignment vertical="center"/>
    </xf>
    <xf numFmtId="43" fontId="22" fillId="0" borderId="0" xfId="29" applyFont="1" applyBorder="1" applyAlignment="1">
      <alignment horizontal="center" vertical="center" wrapText="1"/>
    </xf>
    <xf numFmtId="0" fontId="40" fillId="0" borderId="0" xfId="0" applyFont="1" applyBorder="1" applyAlignment="1">
      <alignment vertical="center"/>
    </xf>
    <xf numFmtId="43" fontId="35" fillId="0" borderId="0" xfId="0" applyNumberFormat="1" applyFont="1" applyBorder="1" applyAlignment="1">
      <alignment vertical="center"/>
    </xf>
    <xf numFmtId="0" fontId="92" fillId="0" borderId="0" xfId="0" applyFont="1" applyBorder="1" applyAlignment="1">
      <alignment vertical="center"/>
    </xf>
    <xf numFmtId="0" fontId="93" fillId="0" borderId="0" xfId="0" applyNumberFormat="1" applyFont="1" applyBorder="1" applyAlignment="1">
      <alignment horizontal="center" vertical="center" wrapText="1"/>
    </xf>
    <xf numFmtId="43" fontId="94" fillId="0" borderId="0" xfId="29" applyFont="1" applyBorder="1" applyAlignment="1">
      <alignment horizontal="left" vertical="center"/>
    </xf>
    <xf numFmtId="0" fontId="38" fillId="0" borderId="22" xfId="0" applyFont="1" applyBorder="1" applyAlignment="1">
      <alignment horizontal="center" vertical="center"/>
    </xf>
    <xf numFmtId="0" fontId="95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>
      <alignment horizontal="center"/>
    </xf>
    <xf numFmtId="14" fontId="96" fillId="0" borderId="22" xfId="0" applyNumberFormat="1" applyFont="1" applyBorder="1" applyAlignment="1"/>
    <xf numFmtId="171" fontId="38" fillId="0" borderId="22" xfId="29" applyNumberFormat="1" applyFont="1" applyFill="1" applyBorder="1" applyAlignment="1">
      <alignment horizontal="center" vertical="center"/>
    </xf>
    <xf numFmtId="171" fontId="38" fillId="0" borderId="22" xfId="29" applyNumberFormat="1" applyFont="1" applyBorder="1" applyAlignment="1">
      <alignment horizontal="center" vertical="center"/>
    </xf>
    <xf numFmtId="43" fontId="38" fillId="0" borderId="22" xfId="29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72" fontId="92" fillId="33" borderId="2" xfId="0" applyNumberFormat="1" applyFont="1" applyFill="1" applyBorder="1" applyAlignment="1">
      <alignment horizontal="center" vertical="center"/>
    </xf>
    <xf numFmtId="0" fontId="39" fillId="0" borderId="0" xfId="0" applyFont="1"/>
    <xf numFmtId="171" fontId="92" fillId="33" borderId="23" xfId="29" applyNumberFormat="1" applyFont="1" applyFill="1" applyBorder="1" applyAlignment="1">
      <alignment horizontal="center" vertical="center" textRotation="90"/>
    </xf>
    <xf numFmtId="0" fontId="91" fillId="33" borderId="17" xfId="0" applyFont="1" applyFill="1" applyBorder="1" applyAlignment="1">
      <alignment horizontal="center" vertical="center"/>
    </xf>
    <xf numFmtId="43" fontId="91" fillId="33" borderId="17" xfId="29" applyFont="1" applyFill="1" applyBorder="1" applyAlignment="1">
      <alignment horizontal="center" vertical="center"/>
    </xf>
    <xf numFmtId="0" fontId="35" fillId="31" borderId="2" xfId="0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 vertical="center"/>
    </xf>
    <xf numFmtId="0" fontId="36" fillId="0" borderId="5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0" xfId="0" applyFont="1" applyFill="1"/>
    <xf numFmtId="0" fontId="92" fillId="0" borderId="12" xfId="97" applyFont="1" applyFill="1" applyBorder="1" applyAlignment="1">
      <alignment horizontal="center" vertical="center"/>
    </xf>
    <xf numFmtId="171" fontId="93" fillId="0" borderId="12" xfId="91" applyNumberFormat="1" applyFont="1" applyFill="1" applyBorder="1" applyAlignment="1">
      <alignment horizontal="center" vertical="center"/>
    </xf>
    <xf numFmtId="0" fontId="92" fillId="0" borderId="19" xfId="97" applyFont="1" applyFill="1" applyBorder="1" applyAlignment="1">
      <alignment horizontal="center" vertical="center"/>
    </xf>
    <xf numFmtId="171" fontId="93" fillId="0" borderId="19" xfId="91" applyNumberFormat="1" applyFont="1" applyFill="1" applyBorder="1" applyAlignment="1">
      <alignment horizontal="center" vertical="center"/>
    </xf>
    <xf numFmtId="0" fontId="91" fillId="0" borderId="0" xfId="0" applyFont="1" applyFill="1" applyBorder="1" applyAlignment="1">
      <alignment horizontal="left" vertical="center"/>
    </xf>
    <xf numFmtId="0" fontId="92" fillId="0" borderId="0" xfId="0" applyFont="1" applyAlignment="1">
      <alignment horizontal="center"/>
    </xf>
    <xf numFmtId="0" fontId="92" fillId="0" borderId="0" xfId="0" applyFont="1" applyFill="1" applyAlignment="1">
      <alignment vertical="center"/>
    </xf>
    <xf numFmtId="0" fontId="92" fillId="0" borderId="0" xfId="0" applyFont="1" applyFill="1" applyAlignment="1">
      <alignment horizontal="center" vertical="center"/>
    </xf>
    <xf numFmtId="171" fontId="92" fillId="0" borderId="0" xfId="29" applyNumberFormat="1" applyFont="1" applyFill="1" applyAlignment="1">
      <alignment horizontal="center" vertical="center"/>
    </xf>
    <xf numFmtId="171" fontId="91" fillId="0" borderId="0" xfId="29" applyNumberFormat="1" applyFont="1" applyFill="1" applyBorder="1" applyAlignment="1">
      <alignment horizontal="center" vertical="center"/>
    </xf>
    <xf numFmtId="171" fontId="92" fillId="0" borderId="0" xfId="29" applyNumberFormat="1" applyFont="1" applyFill="1" applyAlignment="1">
      <alignment horizontal="center"/>
    </xf>
    <xf numFmtId="43" fontId="92" fillId="0" borderId="0" xfId="29" applyFont="1" applyFill="1" applyAlignment="1">
      <alignment vertical="center"/>
    </xf>
    <xf numFmtId="43" fontId="91" fillId="0" borderId="0" xfId="29" applyFont="1" applyFill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34" fillId="0" borderId="0" xfId="0" applyNumberFormat="1" applyFont="1"/>
    <xf numFmtId="0" fontId="92" fillId="0" borderId="0" xfId="0" applyFont="1" applyFill="1" applyBorder="1" applyAlignment="1">
      <alignment horizontal="center" vertical="center"/>
    </xf>
    <xf numFmtId="171" fontId="92" fillId="0" borderId="0" xfId="29" applyNumberFormat="1" applyFont="1" applyFill="1" applyBorder="1" applyAlignment="1">
      <alignment horizontal="center" vertical="center"/>
    </xf>
    <xf numFmtId="43" fontId="92" fillId="0" borderId="0" xfId="29" applyFont="1" applyFill="1" applyAlignment="1">
      <alignment horizontal="center" vertical="center"/>
    </xf>
    <xf numFmtId="0" fontId="92" fillId="0" borderId="0" xfId="0" applyFont="1"/>
    <xf numFmtId="0" fontId="91" fillId="0" borderId="0" xfId="0" applyFont="1" applyFill="1" applyBorder="1" applyAlignment="1">
      <alignment horizontal="center" vertical="center"/>
    </xf>
    <xf numFmtId="0" fontId="91" fillId="0" borderId="0" xfId="0" applyFont="1" applyFill="1" applyAlignment="1">
      <alignment horizontal="center" vertical="center"/>
    </xf>
    <xf numFmtId="0" fontId="91" fillId="0" borderId="0" xfId="0" applyFont="1" applyFill="1" applyAlignment="1">
      <alignment vertical="center"/>
    </xf>
    <xf numFmtId="171" fontId="91" fillId="0" borderId="0" xfId="29" applyNumberFormat="1" applyFont="1" applyFill="1" applyAlignment="1">
      <alignment horizontal="center" vertical="center"/>
    </xf>
    <xf numFmtId="43" fontId="91" fillId="0" borderId="0" xfId="29" applyFont="1" applyFill="1" applyAlignment="1">
      <alignment vertical="center"/>
    </xf>
    <xf numFmtId="0" fontId="34" fillId="0" borderId="0" xfId="0" applyFont="1" applyAlignment="1">
      <alignment horizontal="center"/>
    </xf>
    <xf numFmtId="171" fontId="34" fillId="0" borderId="0" xfId="29" applyNumberFormat="1" applyFont="1" applyFill="1" applyAlignment="1">
      <alignment horizontal="center"/>
    </xf>
    <xf numFmtId="171" fontId="34" fillId="0" borderId="0" xfId="29" applyNumberFormat="1" applyFont="1" applyAlignment="1">
      <alignment horizontal="center"/>
    </xf>
    <xf numFmtId="43" fontId="34" fillId="0" borderId="0" xfId="29" applyFont="1"/>
    <xf numFmtId="0" fontId="97" fillId="0" borderId="0" xfId="0" applyFont="1" applyFill="1" applyBorder="1" applyAlignment="1">
      <alignment horizontal="center" vertical="center"/>
    </xf>
    <xf numFmtId="0" fontId="92" fillId="33" borderId="2" xfId="0" applyFont="1" applyFill="1" applyBorder="1" applyAlignment="1">
      <alignment vertical="center" wrapText="1"/>
    </xf>
    <xf numFmtId="0" fontId="71" fillId="0" borderId="0" xfId="0" applyFont="1" applyFill="1" applyBorder="1" applyAlignment="1">
      <alignment horizontal="center" vertical="center"/>
    </xf>
    <xf numFmtId="164" fontId="92" fillId="0" borderId="0" xfId="29" applyNumberFormat="1" applyFont="1" applyFill="1" applyAlignment="1">
      <alignment vertical="center"/>
    </xf>
    <xf numFmtId="164" fontId="97" fillId="0" borderId="0" xfId="29" applyNumberFormat="1" applyFont="1" applyFill="1" applyBorder="1" applyAlignment="1">
      <alignment horizontal="center" vertical="center"/>
    </xf>
    <xf numFmtId="43" fontId="97" fillId="0" borderId="0" xfId="29" applyFont="1" applyFill="1" applyBorder="1" applyAlignment="1">
      <alignment horizontal="center" vertical="center"/>
    </xf>
    <xf numFmtId="171" fontId="91" fillId="33" borderId="2" xfId="29" applyNumberFormat="1" applyFont="1" applyFill="1" applyBorder="1" applyAlignment="1">
      <alignment vertical="center"/>
    </xf>
    <xf numFmtId="171" fontId="91" fillId="33" borderId="0" xfId="29" applyNumberFormat="1" applyFont="1" applyFill="1" applyBorder="1" applyAlignment="1">
      <alignment vertical="center"/>
    </xf>
    <xf numFmtId="0" fontId="35" fillId="0" borderId="0" xfId="0" applyFont="1" applyBorder="1"/>
    <xf numFmtId="14" fontId="98" fillId="0" borderId="0" xfId="0" applyNumberFormat="1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center" vertical="center"/>
    </xf>
    <xf numFmtId="164" fontId="35" fillId="0" borderId="0" xfId="29" applyNumberFormat="1" applyFont="1" applyFill="1" applyAlignment="1">
      <alignment vertical="center"/>
    </xf>
    <xf numFmtId="0" fontId="35" fillId="0" borderId="0" xfId="0" applyFont="1" applyFill="1" applyAlignment="1">
      <alignment vertical="center"/>
    </xf>
    <xf numFmtId="164" fontId="40" fillId="0" borderId="0" xfId="29" applyNumberFormat="1" applyFont="1" applyFill="1" applyAlignment="1">
      <alignment horizontal="center" vertical="center" wrapText="1"/>
    </xf>
    <xf numFmtId="0" fontId="40" fillId="0" borderId="0" xfId="0" applyFont="1" applyFill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17" xfId="91" applyNumberFormat="1" applyFont="1" applyFill="1" applyBorder="1" applyAlignment="1">
      <alignment horizontal="center" vertical="center" wrapText="1"/>
    </xf>
    <xf numFmtId="0" fontId="93" fillId="33" borderId="2" xfId="0" applyFont="1" applyFill="1" applyBorder="1" applyAlignment="1">
      <alignment horizontal="center" vertical="center"/>
    </xf>
    <xf numFmtId="164" fontId="93" fillId="0" borderId="0" xfId="29" applyNumberFormat="1" applyFont="1" applyFill="1" applyAlignment="1">
      <alignment horizontal="center" vertical="center" wrapText="1"/>
    </xf>
    <xf numFmtId="164" fontId="93" fillId="0" borderId="0" xfId="29" applyNumberFormat="1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93" fillId="0" borderId="0" xfId="0" applyFont="1" applyFill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/>
    </xf>
    <xf numFmtId="0" fontId="39" fillId="0" borderId="23" xfId="0" applyFont="1" applyFill="1" applyBorder="1" applyAlignment="1">
      <alignment horizontal="left" vertical="center"/>
    </xf>
    <xf numFmtId="0" fontId="93" fillId="0" borderId="2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 wrapText="1"/>
    </xf>
    <xf numFmtId="0" fontId="34" fillId="0" borderId="16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center" vertical="center"/>
    </xf>
    <xf numFmtId="171" fontId="34" fillId="0" borderId="16" xfId="29" applyNumberFormat="1" applyFont="1" applyFill="1" applyBorder="1" applyAlignment="1">
      <alignment horizontal="left" vertical="center"/>
    </xf>
    <xf numFmtId="164" fontId="34" fillId="0" borderId="16" xfId="91" applyNumberFormat="1" applyFont="1" applyFill="1" applyBorder="1" applyAlignment="1">
      <alignment horizontal="center" vertical="center" wrapText="1"/>
    </xf>
    <xf numFmtId="43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 wrapText="1"/>
    </xf>
    <xf numFmtId="164" fontId="34" fillId="0" borderId="16" xfId="29" quotePrefix="1" applyNumberFormat="1" applyFont="1" applyFill="1" applyBorder="1" applyAlignment="1">
      <alignment horizontal="center" vertical="center" wrapText="1"/>
    </xf>
    <xf numFmtId="164" fontId="34" fillId="33" borderId="16" xfId="29" applyNumberFormat="1" applyFont="1" applyFill="1" applyBorder="1" applyAlignment="1">
      <alignment horizontal="center" vertical="center" wrapText="1"/>
    </xf>
    <xf numFmtId="164" fontId="34" fillId="0" borderId="0" xfId="29" applyNumberFormat="1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34" fillId="0" borderId="23" xfId="0" applyFont="1" applyFill="1" applyBorder="1" applyAlignment="1">
      <alignment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left" vertical="center"/>
    </xf>
    <xf numFmtId="0" fontId="34" fillId="0" borderId="23" xfId="0" applyFont="1" applyFill="1" applyBorder="1" applyAlignment="1">
      <alignment horizontal="center" vertical="center"/>
    </xf>
    <xf numFmtId="164" fontId="34" fillId="0" borderId="23" xfId="29" applyNumberFormat="1" applyFont="1" applyFill="1" applyBorder="1" applyAlignment="1">
      <alignment horizontal="left" vertical="center"/>
    </xf>
    <xf numFmtId="171" fontId="34" fillId="0" borderId="23" xfId="29" applyNumberFormat="1" applyFont="1" applyFill="1" applyBorder="1" applyAlignment="1">
      <alignment horizontal="left" vertical="center"/>
    </xf>
    <xf numFmtId="164" fontId="34" fillId="0" borderId="23" xfId="91" applyNumberFormat="1" applyFont="1" applyFill="1" applyBorder="1" applyAlignment="1">
      <alignment horizontal="center" vertical="center" wrapText="1"/>
    </xf>
    <xf numFmtId="43" fontId="34" fillId="0" borderId="23" xfId="29" applyNumberFormat="1" applyFont="1" applyFill="1" applyBorder="1" applyAlignment="1">
      <alignment horizontal="left" vertical="center"/>
    </xf>
    <xf numFmtId="164" fontId="34" fillId="0" borderId="23" xfId="29" applyNumberFormat="1" applyFont="1" applyFill="1" applyBorder="1" applyAlignment="1">
      <alignment horizontal="center" vertical="center" wrapText="1"/>
    </xf>
    <xf numFmtId="164" fontId="34" fillId="0" borderId="23" xfId="29" quotePrefix="1" applyNumberFormat="1" applyFont="1" applyFill="1" applyBorder="1" applyAlignment="1">
      <alignment horizontal="center" vertical="center" wrapText="1"/>
    </xf>
    <xf numFmtId="164" fontId="34" fillId="33" borderId="23" xfId="29" applyNumberFormat="1" applyFont="1" applyFill="1" applyBorder="1" applyAlignment="1">
      <alignment horizontal="center" vertical="center" wrapText="1"/>
    </xf>
    <xf numFmtId="164" fontId="40" fillId="0" borderId="2" xfId="0" applyNumberFormat="1" applyFont="1" applyFill="1" applyBorder="1" applyAlignment="1">
      <alignment vertical="center" wrapText="1"/>
    </xf>
    <xf numFmtId="164" fontId="40" fillId="0" borderId="2" xfId="29" applyNumberFormat="1" applyFont="1" applyFill="1" applyBorder="1" applyAlignment="1">
      <alignment horizontal="center" vertical="center" wrapText="1"/>
    </xf>
    <xf numFmtId="164" fontId="40" fillId="0" borderId="0" xfId="29" applyNumberFormat="1" applyFont="1" applyFill="1" applyAlignment="1">
      <alignment vertical="center" wrapText="1"/>
    </xf>
    <xf numFmtId="0" fontId="40" fillId="0" borderId="0" xfId="0" applyFont="1" applyFill="1" applyAlignment="1">
      <alignment vertical="center" wrapText="1"/>
    </xf>
    <xf numFmtId="43" fontId="34" fillId="0" borderId="16" xfId="91" applyNumberFormat="1" applyFont="1" applyFill="1" applyBorder="1" applyAlignment="1">
      <alignment horizontal="left" vertical="center"/>
    </xf>
    <xf numFmtId="0" fontId="34" fillId="0" borderId="19" xfId="0" applyFont="1" applyFill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left" vertical="center"/>
    </xf>
    <xf numFmtId="0" fontId="34" fillId="0" borderId="19" xfId="0" applyFont="1" applyFill="1" applyBorder="1" applyAlignment="1">
      <alignment horizontal="center" vertical="center"/>
    </xf>
    <xf numFmtId="164" fontId="34" fillId="0" borderId="19" xfId="29" applyNumberFormat="1" applyFont="1" applyFill="1" applyBorder="1" applyAlignment="1">
      <alignment horizontal="center" vertical="center" wrapText="1"/>
    </xf>
    <xf numFmtId="43" fontId="34" fillId="0" borderId="19" xfId="29" applyFont="1" applyFill="1" applyBorder="1" applyAlignment="1">
      <alignment horizontal="center" vertical="center" wrapText="1"/>
    </xf>
    <xf numFmtId="164" fontId="34" fillId="0" borderId="19" xfId="29" quotePrefix="1" applyNumberFormat="1" applyFont="1" applyFill="1" applyBorder="1" applyAlignment="1">
      <alignment horizontal="center" vertical="center" wrapText="1"/>
    </xf>
    <xf numFmtId="0" fontId="92" fillId="0" borderId="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vertical="center" wrapText="1"/>
    </xf>
    <xf numFmtId="0" fontId="92" fillId="0" borderId="30" xfId="0" applyFont="1" applyFill="1" applyBorder="1" applyAlignment="1">
      <alignment horizontal="center" vertical="center" wrapText="1"/>
    </xf>
    <xf numFmtId="164" fontId="92" fillId="0" borderId="30" xfId="29" applyNumberFormat="1" applyFont="1" applyFill="1" applyBorder="1" applyAlignment="1">
      <alignment vertical="center" wrapText="1"/>
    </xf>
    <xf numFmtId="43" fontId="92" fillId="0" borderId="0" xfId="29" applyFont="1" applyFill="1" applyAlignment="1">
      <alignment vertical="center" wrapText="1"/>
    </xf>
    <xf numFmtId="164" fontId="92" fillId="0" borderId="30" xfId="0" applyNumberFormat="1" applyFont="1" applyFill="1" applyBorder="1" applyAlignment="1">
      <alignment vertical="center" wrapText="1"/>
    </xf>
    <xf numFmtId="164" fontId="92" fillId="0" borderId="0" xfId="29" applyNumberFormat="1" applyFont="1" applyFill="1" applyAlignment="1">
      <alignment vertical="center" wrapText="1"/>
    </xf>
    <xf numFmtId="0" fontId="92" fillId="0" borderId="0" xfId="0" applyFont="1" applyFill="1" applyAlignment="1">
      <alignment vertical="center" wrapText="1"/>
    </xf>
    <xf numFmtId="0" fontId="34" fillId="0" borderId="0" xfId="0" applyFont="1" applyFill="1" applyBorder="1" applyAlignment="1">
      <alignment horizontal="center" vertical="center" wrapText="1"/>
    </xf>
    <xf numFmtId="164" fontId="34" fillId="0" borderId="0" xfId="29" applyNumberFormat="1" applyFont="1" applyFill="1" applyBorder="1" applyAlignment="1">
      <alignment vertical="center" wrapText="1"/>
    </xf>
    <xf numFmtId="43" fontId="34" fillId="0" borderId="0" xfId="29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 vertical="center" wrapText="1"/>
    </xf>
    <xf numFmtId="43" fontId="34" fillId="0" borderId="0" xfId="29" applyFont="1" applyFill="1" applyAlignment="1">
      <alignment vertical="center" wrapText="1"/>
    </xf>
    <xf numFmtId="0" fontId="39" fillId="0" borderId="0" xfId="0" applyFont="1" applyFill="1" applyAlignment="1">
      <alignment horizontal="center" vertical="center" wrapText="1"/>
    </xf>
    <xf numFmtId="0" fontId="92" fillId="0" borderId="0" xfId="0" applyFont="1" applyFill="1" applyAlignment="1">
      <alignment horizontal="center" vertical="center" wrapText="1"/>
    </xf>
    <xf numFmtId="164" fontId="92" fillId="0" borderId="0" xfId="29" applyNumberFormat="1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vertical="center"/>
    </xf>
    <xf numFmtId="164" fontId="92" fillId="0" borderId="0" xfId="29" applyNumberFormat="1" applyFont="1" applyFill="1" applyAlignment="1">
      <alignment horizontal="center" vertical="center" wrapText="1"/>
    </xf>
    <xf numFmtId="0" fontId="88" fillId="0" borderId="16" xfId="0" applyFont="1" applyFill="1" applyBorder="1" applyAlignment="1">
      <alignment horizontal="left" vertical="center"/>
    </xf>
    <xf numFmtId="164" fontId="39" fillId="21" borderId="24" xfId="71" applyNumberFormat="1" applyFont="1" applyFill="1" applyBorder="1" applyAlignment="1">
      <alignment horizontal="center" vertical="center" wrapText="1"/>
    </xf>
    <xf numFmtId="164" fontId="39" fillId="21" borderId="20" xfId="71" applyNumberFormat="1" applyFont="1" applyFill="1" applyBorder="1" applyAlignment="1">
      <alignment horizontal="center" vertical="center" wrapText="1"/>
    </xf>
    <xf numFmtId="164" fontId="39" fillId="0" borderId="24" xfId="71" applyNumberFormat="1" applyFont="1" applyBorder="1" applyAlignment="1">
      <alignment horizontal="center" vertical="center"/>
    </xf>
    <xf numFmtId="164" fontId="39" fillId="0" borderId="20" xfId="71" applyNumberFormat="1" applyFont="1" applyBorder="1" applyAlignment="1">
      <alignment horizontal="center" vertical="center"/>
    </xf>
    <xf numFmtId="0" fontId="39" fillId="21" borderId="17" xfId="72" applyFont="1" applyBorder="1" applyAlignment="1">
      <alignment horizontal="center" vertical="center" wrapText="1"/>
    </xf>
    <xf numFmtId="0" fontId="39" fillId="21" borderId="18" xfId="72" applyFont="1" applyBorder="1" applyAlignment="1">
      <alignment horizontal="center" vertical="center" wrapText="1"/>
    </xf>
    <xf numFmtId="0" fontId="34" fillId="0" borderId="2" xfId="73" quotePrefix="1" applyNumberFormat="1" applyFont="1" applyFill="1" applyBorder="1" applyAlignment="1">
      <alignment horizontal="center" vertical="center" wrapText="1"/>
    </xf>
    <xf numFmtId="0" fontId="41" fillId="0" borderId="0" xfId="73" applyFont="1" applyFill="1" applyAlignment="1">
      <alignment horizontal="center" vertical="center"/>
    </xf>
    <xf numFmtId="0" fontId="36" fillId="0" borderId="0" xfId="73" applyFont="1" applyFill="1" applyAlignment="1">
      <alignment horizontal="center" vertical="center"/>
    </xf>
    <xf numFmtId="0" fontId="34" fillId="0" borderId="17" xfId="73" applyFont="1" applyFill="1" applyBorder="1" applyAlignment="1">
      <alignment horizontal="center" vertical="center" wrapText="1"/>
    </xf>
    <xf numFmtId="0" fontId="34" fillId="0" borderId="18" xfId="73" applyFont="1" applyFill="1" applyBorder="1" applyAlignment="1">
      <alignment horizontal="center" vertical="center" wrapText="1"/>
    </xf>
    <xf numFmtId="0" fontId="34" fillId="0" borderId="24" xfId="73" applyFont="1" applyFill="1" applyBorder="1" applyAlignment="1">
      <alignment horizontal="center" vertical="center" wrapText="1"/>
    </xf>
    <xf numFmtId="0" fontId="34" fillId="0" borderId="20" xfId="73" applyFont="1" applyFill="1" applyBorder="1" applyAlignment="1">
      <alignment horizontal="center" vertical="center" wrapText="1"/>
    </xf>
    <xf numFmtId="0" fontId="34" fillId="0" borderId="24" xfId="73" applyNumberFormat="1" applyFont="1" applyFill="1" applyBorder="1" applyAlignment="1">
      <alignment horizontal="center" vertical="center" wrapText="1"/>
    </xf>
    <xf numFmtId="0" fontId="34" fillId="0" borderId="20" xfId="73" applyNumberFormat="1" applyFont="1" applyFill="1" applyBorder="1" applyAlignment="1">
      <alignment horizontal="center" vertical="center" wrapText="1"/>
    </xf>
    <xf numFmtId="0" fontId="34" fillId="0" borderId="17" xfId="73" applyFont="1" applyFill="1" applyBorder="1" applyAlignment="1">
      <alignment horizontal="center" vertical="center"/>
    </xf>
    <xf numFmtId="0" fontId="34" fillId="0" borderId="18" xfId="73" applyFont="1" applyFill="1" applyBorder="1" applyAlignment="1">
      <alignment horizontal="center" vertical="center"/>
    </xf>
    <xf numFmtId="0" fontId="34" fillId="0" borderId="28" xfId="73" quotePrefix="1" applyNumberFormat="1" applyFont="1" applyFill="1" applyBorder="1" applyAlignment="1">
      <alignment horizontal="center" vertical="center" wrapText="1"/>
    </xf>
    <xf numFmtId="0" fontId="34" fillId="0" borderId="30" xfId="73" quotePrefix="1" applyNumberFormat="1" applyFont="1" applyFill="1" applyBorder="1" applyAlignment="1">
      <alignment horizontal="center" vertical="center" wrapText="1"/>
    </xf>
    <xf numFmtId="0" fontId="34" fillId="0" borderId="29" xfId="73" quotePrefix="1" applyNumberFormat="1" applyFont="1" applyFill="1" applyBorder="1" applyAlignment="1">
      <alignment horizontal="center" vertical="center" wrapText="1"/>
    </xf>
    <xf numFmtId="0" fontId="34" fillId="0" borderId="32" xfId="73" quotePrefix="1" applyNumberFormat="1" applyFont="1" applyFill="1" applyBorder="1" applyAlignment="1">
      <alignment horizontal="center" vertical="center" wrapText="1"/>
    </xf>
    <xf numFmtId="0" fontId="34" fillId="0" borderId="22" xfId="73" quotePrefix="1" applyNumberFormat="1" applyFont="1" applyFill="1" applyBorder="1" applyAlignment="1">
      <alignment horizontal="center" vertical="center" wrapText="1"/>
    </xf>
    <xf numFmtId="0" fontId="34" fillId="0" borderId="33" xfId="73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3" applyNumberFormat="1" applyFont="1" applyFill="1" applyBorder="1" applyAlignment="1">
      <alignment horizontal="center" vertical="center"/>
    </xf>
    <xf numFmtId="49" fontId="34" fillId="0" borderId="18" xfId="73" applyNumberFormat="1" applyFont="1" applyFill="1" applyBorder="1" applyAlignment="1">
      <alignment horizontal="center" vertical="center"/>
    </xf>
    <xf numFmtId="49" fontId="34" fillId="0" borderId="17" xfId="73" quotePrefix="1" applyNumberFormat="1" applyFont="1" applyFill="1" applyBorder="1" applyAlignment="1">
      <alignment horizontal="center" vertical="center" wrapText="1"/>
    </xf>
    <xf numFmtId="49" fontId="34" fillId="0" borderId="18" xfId="73" quotePrefix="1" applyNumberFormat="1" applyFont="1" applyFill="1" applyBorder="1" applyAlignment="1">
      <alignment horizontal="center" vertical="center" wrapText="1"/>
    </xf>
    <xf numFmtId="0" fontId="34" fillId="0" borderId="17" xfId="73" quotePrefix="1" applyNumberFormat="1" applyFont="1" applyFill="1" applyBorder="1" applyAlignment="1">
      <alignment horizontal="center" vertical="center" wrapText="1"/>
    </xf>
    <xf numFmtId="0" fontId="34" fillId="0" borderId="18" xfId="73" quotePrefix="1" applyNumberFormat="1" applyFont="1" applyFill="1" applyBorder="1" applyAlignment="1">
      <alignment horizontal="center" vertical="center" wrapText="1"/>
    </xf>
    <xf numFmtId="49" fontId="34" fillId="0" borderId="24" xfId="73" applyNumberFormat="1" applyFont="1" applyFill="1" applyBorder="1" applyAlignment="1">
      <alignment horizontal="center" vertical="center"/>
    </xf>
    <xf numFmtId="49" fontId="34" fillId="0" borderId="20" xfId="73" applyNumberFormat="1" applyFont="1" applyFill="1" applyBorder="1" applyAlignment="1">
      <alignment horizontal="center" vertical="center"/>
    </xf>
    <xf numFmtId="0" fontId="66" fillId="0" borderId="0" xfId="82" applyFont="1" applyAlignment="1">
      <alignment horizontal="center" vertical="center" wrapText="1"/>
    </xf>
    <xf numFmtId="0" fontId="67" fillId="0" borderId="0" xfId="82" applyFont="1" applyAlignment="1">
      <alignment horizontal="center" vertical="center"/>
    </xf>
    <xf numFmtId="0" fontId="33" fillId="0" borderId="2" xfId="73" applyNumberFormat="1" applyFont="1" applyFill="1" applyBorder="1" applyAlignment="1">
      <alignment horizontal="center" vertical="center" wrapText="1"/>
    </xf>
    <xf numFmtId="164" fontId="72" fillId="0" borderId="0" xfId="74" applyNumberFormat="1" applyFont="1" applyAlignment="1">
      <alignment horizontal="center" vertical="center"/>
    </xf>
    <xf numFmtId="0" fontId="66" fillId="0" borderId="22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 wrapText="1"/>
    </xf>
    <xf numFmtId="0" fontId="33" fillId="0" borderId="18" xfId="82" applyFont="1" applyBorder="1" applyAlignment="1">
      <alignment horizontal="center" vertical="center" wrapText="1"/>
    </xf>
    <xf numFmtId="0" fontId="33" fillId="0" borderId="24" xfId="82" applyFont="1" applyBorder="1" applyAlignment="1">
      <alignment horizontal="center" vertical="center"/>
    </xf>
    <xf numFmtId="0" fontId="33" fillId="0" borderId="20" xfId="82" applyFont="1" applyBorder="1" applyAlignment="1">
      <alignment horizontal="center" vertical="center"/>
    </xf>
    <xf numFmtId="0" fontId="33" fillId="0" borderId="17" xfId="82" applyFont="1" applyBorder="1" applyAlignment="1">
      <alignment horizontal="center" vertical="center"/>
    </xf>
    <xf numFmtId="0" fontId="33" fillId="0" borderId="18" xfId="8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4" applyNumberFormat="1" applyFont="1" applyAlignment="1">
      <alignment horizontal="center" vertical="center"/>
    </xf>
    <xf numFmtId="164" fontId="33" fillId="0" borderId="0" xfId="74" applyNumberFormat="1" applyFont="1" applyAlignment="1">
      <alignment horizontal="center" vertical="center"/>
    </xf>
    <xf numFmtId="164" fontId="36" fillId="0" borderId="0" xfId="74" applyNumberFormat="1" applyFont="1" applyAlignment="1">
      <alignment horizontal="center" vertical="center"/>
    </xf>
    <xf numFmtId="164" fontId="33" fillId="0" borderId="2" xfId="74" applyNumberFormat="1" applyFont="1" applyBorder="1" applyAlignment="1">
      <alignment horizontal="center" vertical="center" wrapText="1"/>
    </xf>
    <xf numFmtId="164" fontId="33" fillId="0" borderId="17" xfId="74" applyNumberFormat="1" applyFont="1" applyBorder="1" applyAlignment="1">
      <alignment horizontal="center" vertical="center" wrapText="1"/>
    </xf>
    <xf numFmtId="164" fontId="33" fillId="0" borderId="18" xfId="74" applyNumberFormat="1" applyFont="1" applyBorder="1" applyAlignment="1">
      <alignment horizontal="center" vertical="center" wrapText="1"/>
    </xf>
    <xf numFmtId="0" fontId="35" fillId="0" borderId="0" xfId="74" applyFont="1" applyFill="1" applyBorder="1" applyAlignment="1" applyProtection="1">
      <alignment horizontal="left" vertical="center" wrapText="1"/>
      <protection hidden="1"/>
    </xf>
    <xf numFmtId="0" fontId="34" fillId="0" borderId="0" xfId="84" applyFont="1" applyFill="1" applyAlignment="1" applyProtection="1">
      <alignment horizontal="center" vertical="center" wrapText="1"/>
      <protection hidden="1"/>
    </xf>
    <xf numFmtId="0" fontId="33" fillId="0" borderId="12" xfId="84" applyFont="1" applyBorder="1" applyAlignment="1">
      <alignment horizontal="center" vertical="center"/>
    </xf>
    <xf numFmtId="0" fontId="33" fillId="0" borderId="16" xfId="84" applyFont="1" applyBorder="1" applyAlignment="1">
      <alignment horizontal="center" vertical="center"/>
    </xf>
    <xf numFmtId="0" fontId="61" fillId="0" borderId="0" xfId="84" applyFont="1" applyAlignment="1">
      <alignment horizontal="center" vertical="center" wrapText="1"/>
    </xf>
    <xf numFmtId="0" fontId="33" fillId="0" borderId="0" xfId="84" applyFont="1" applyAlignment="1">
      <alignment horizontal="center" vertical="center"/>
    </xf>
    <xf numFmtId="0" fontId="62" fillId="29" borderId="36" xfId="84" applyFont="1" applyFill="1" applyBorder="1" applyAlignment="1">
      <alignment horizontal="center" vertical="center" wrapText="1"/>
    </xf>
    <xf numFmtId="0" fontId="62" fillId="29" borderId="45" xfId="84" applyFont="1" applyFill="1" applyBorder="1" applyAlignment="1">
      <alignment horizontal="center" vertical="center" wrapText="1"/>
    </xf>
    <xf numFmtId="14" fontId="62" fillId="29" borderId="17" xfId="84" applyNumberFormat="1" applyFont="1" applyFill="1" applyBorder="1" applyAlignment="1">
      <alignment horizontal="center" vertical="center" wrapText="1"/>
    </xf>
    <xf numFmtId="14" fontId="62" fillId="29" borderId="18" xfId="84" applyNumberFormat="1" applyFont="1" applyFill="1" applyBorder="1" applyAlignment="1">
      <alignment horizontal="center" vertical="center" wrapText="1"/>
    </xf>
    <xf numFmtId="0" fontId="34" fillId="0" borderId="49" xfId="84" applyFont="1" applyFill="1" applyBorder="1" applyAlignment="1">
      <alignment horizontal="center" vertical="center" wrapText="1"/>
    </xf>
    <xf numFmtId="0" fontId="34" fillId="0" borderId="47" xfId="84" applyFont="1" applyFill="1" applyBorder="1" applyAlignment="1">
      <alignment horizontal="center" vertical="center" wrapText="1"/>
    </xf>
    <xf numFmtId="0" fontId="34" fillId="0" borderId="37" xfId="84" applyFont="1" applyFill="1" applyBorder="1" applyAlignment="1">
      <alignment horizontal="center" vertical="center" wrapText="1"/>
    </xf>
    <xf numFmtId="0" fontId="34" fillId="0" borderId="48" xfId="84" applyFont="1" applyFill="1" applyBorder="1" applyAlignment="1">
      <alignment horizontal="center" vertical="center" wrapText="1"/>
    </xf>
    <xf numFmtId="0" fontId="34" fillId="0" borderId="46" xfId="84" applyFont="1" applyFill="1" applyBorder="1" applyAlignment="1">
      <alignment horizontal="center" vertical="center" wrapText="1"/>
    </xf>
    <xf numFmtId="0" fontId="34" fillId="0" borderId="0" xfId="94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0" applyFont="1" applyAlignment="1">
      <alignment horizontal="center" wrapText="1"/>
    </xf>
    <xf numFmtId="0" fontId="36" fillId="0" borderId="0" xfId="90" applyFont="1" applyAlignment="1">
      <alignment horizontal="center"/>
    </xf>
    <xf numFmtId="0" fontId="33" fillId="0" borderId="0" xfId="90" applyFont="1" applyAlignment="1">
      <alignment horizontal="center"/>
    </xf>
    <xf numFmtId="0" fontId="33" fillId="0" borderId="2" xfId="90" applyFont="1" applyBorder="1" applyAlignment="1">
      <alignment horizontal="center" vertical="center"/>
    </xf>
    <xf numFmtId="0" fontId="33" fillId="0" borderId="2" xfId="90" applyFont="1" applyBorder="1" applyAlignment="1">
      <alignment horizontal="center" vertical="center" wrapText="1"/>
    </xf>
    <xf numFmtId="0" fontId="58" fillId="0" borderId="2" xfId="90" applyFont="1" applyBorder="1" applyAlignment="1">
      <alignment horizontal="center" vertical="center" wrapText="1"/>
    </xf>
    <xf numFmtId="0" fontId="33" fillId="0" borderId="17" xfId="90" applyFont="1" applyBorder="1" applyAlignment="1">
      <alignment horizontal="center" vertical="center" wrapText="1" shrinkToFit="1"/>
    </xf>
    <xf numFmtId="0" fontId="33" fillId="0" borderId="18" xfId="90" applyFont="1" applyBorder="1" applyAlignment="1">
      <alignment horizontal="center" vertical="center" wrapText="1" shrinkToFit="1"/>
    </xf>
    <xf numFmtId="0" fontId="33" fillId="0" borderId="2" xfId="90" applyFont="1" applyBorder="1" applyAlignment="1">
      <alignment horizontal="center" vertical="center" wrapText="1" shrinkToFit="1"/>
    </xf>
    <xf numFmtId="0" fontId="58" fillId="0" borderId="2" xfId="90" applyFont="1" applyBorder="1" applyAlignment="1">
      <alignment horizontal="center" vertical="center" wrapText="1" shrinkToFit="1"/>
    </xf>
    <xf numFmtId="0" fontId="38" fillId="0" borderId="0" xfId="90" applyFont="1" applyAlignment="1">
      <alignment horizontal="center"/>
    </xf>
    <xf numFmtId="0" fontId="33" fillId="0" borderId="22" xfId="90" applyFont="1" applyBorder="1" applyAlignment="1">
      <alignment horizontal="right"/>
    </xf>
    <xf numFmtId="0" fontId="33" fillId="0" borderId="28" xfId="90" applyFont="1" applyBorder="1" applyAlignment="1">
      <alignment horizontal="center" vertical="center" wrapText="1"/>
    </xf>
    <xf numFmtId="0" fontId="33" fillId="0" borderId="30" xfId="90" applyFont="1" applyBorder="1" applyAlignment="1">
      <alignment horizontal="center" vertical="center" wrapText="1"/>
    </xf>
    <xf numFmtId="0" fontId="33" fillId="0" borderId="32" xfId="90" applyFont="1" applyBorder="1" applyAlignment="1">
      <alignment horizontal="center" vertical="center" wrapText="1"/>
    </xf>
    <xf numFmtId="0" fontId="33" fillId="0" borderId="22" xfId="90" applyFont="1" applyBorder="1" applyAlignment="1">
      <alignment horizontal="center" vertical="center" wrapText="1"/>
    </xf>
    <xf numFmtId="0" fontId="33" fillId="0" borderId="0" xfId="93" applyFont="1" applyAlignment="1">
      <alignment horizontal="center" vertical="center"/>
    </xf>
    <xf numFmtId="0" fontId="36" fillId="0" borderId="0" xfId="93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center" vertical="center"/>
    </xf>
    <xf numFmtId="0" fontId="82" fillId="0" borderId="0" xfId="74" applyFont="1" applyFill="1" applyBorder="1" applyAlignment="1" applyProtection="1">
      <alignment horizontal="left" vertical="center" wrapText="1"/>
      <protection hidden="1"/>
    </xf>
    <xf numFmtId="0" fontId="35" fillId="0" borderId="2" xfId="77" applyFont="1" applyBorder="1" applyAlignment="1" applyProtection="1">
      <alignment horizontal="center" vertical="center" wrapText="1"/>
      <protection hidden="1"/>
    </xf>
    <xf numFmtId="0" fontId="35" fillId="0" borderId="17" xfId="77" applyFont="1" applyBorder="1" applyAlignment="1" applyProtection="1">
      <alignment horizontal="center" vertical="center"/>
      <protection hidden="1"/>
    </xf>
    <xf numFmtId="0" fontId="35" fillId="0" borderId="2" xfId="77" applyFont="1" applyBorder="1" applyAlignment="1" applyProtection="1">
      <alignment horizontal="center" vertical="center"/>
      <protection hidden="1"/>
    </xf>
    <xf numFmtId="164" fontId="51" fillId="0" borderId="0" xfId="91" applyNumberFormat="1" applyFont="1" applyAlignment="1">
      <alignment horizontal="center" vertical="center"/>
    </xf>
    <xf numFmtId="0" fontId="33" fillId="0" borderId="2" xfId="94" applyFont="1" applyBorder="1" applyAlignment="1">
      <alignment horizontal="center" vertical="center"/>
    </xf>
    <xf numFmtId="0" fontId="33" fillId="0" borderId="2" xfId="94" applyFont="1" applyBorder="1" applyAlignment="1">
      <alignment horizontal="center"/>
    </xf>
    <xf numFmtId="0" fontId="33" fillId="0" borderId="2" xfId="94" applyFont="1" applyBorder="1" applyAlignment="1">
      <alignment horizontal="center" vertical="center" wrapText="1"/>
    </xf>
    <xf numFmtId="0" fontId="33" fillId="0" borderId="0" xfId="94" applyFont="1" applyAlignment="1">
      <alignment horizontal="center"/>
    </xf>
    <xf numFmtId="0" fontId="33" fillId="0" borderId="24" xfId="94" applyFont="1" applyBorder="1" applyAlignment="1">
      <alignment horizontal="center"/>
    </xf>
    <xf numFmtId="0" fontId="33" fillId="0" borderId="20" xfId="94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4" fillId="0" borderId="0" xfId="94" applyFont="1" applyAlignment="1">
      <alignment horizontal="center" vertical="center"/>
    </xf>
    <xf numFmtId="0" fontId="34" fillId="0" borderId="0" xfId="94" applyFont="1" applyAlignment="1">
      <alignment horizontal="center"/>
    </xf>
    <xf numFmtId="0" fontId="33" fillId="0" borderId="0" xfId="94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4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5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/>
    </xf>
    <xf numFmtId="164" fontId="36" fillId="33" borderId="28" xfId="29" applyNumberFormat="1" applyFont="1" applyFill="1" applyBorder="1" applyAlignment="1">
      <alignment horizontal="center" vertical="center" wrapText="1"/>
    </xf>
    <xf numFmtId="164" fontId="36" fillId="33" borderId="29" xfId="29" applyNumberFormat="1" applyFont="1" applyFill="1" applyBorder="1" applyAlignment="1">
      <alignment horizontal="center" vertical="center" wrapText="1"/>
    </xf>
    <xf numFmtId="164" fontId="36" fillId="33" borderId="32" xfId="29" applyNumberFormat="1" applyFont="1" applyFill="1" applyBorder="1" applyAlignment="1">
      <alignment horizontal="center" vertical="center" wrapText="1"/>
    </xf>
    <xf numFmtId="164" fontId="36" fillId="33" borderId="33" xfId="29" applyNumberFormat="1" applyFont="1" applyFill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top"/>
    </xf>
    <xf numFmtId="0" fontId="86" fillId="0" borderId="0" xfId="0" applyFont="1" applyBorder="1" applyAlignment="1">
      <alignment horizontal="center" vertical="top"/>
    </xf>
    <xf numFmtId="0" fontId="36" fillId="33" borderId="2" xfId="0" applyFont="1" applyFill="1" applyBorder="1" applyAlignment="1">
      <alignment horizontal="center" vertical="center" wrapText="1"/>
    </xf>
    <xf numFmtId="164" fontId="36" fillId="33" borderId="2" xfId="29" applyNumberFormat="1" applyFont="1" applyFill="1" applyBorder="1" applyAlignment="1">
      <alignment horizontal="center" vertical="center" wrapText="1"/>
    </xf>
    <xf numFmtId="164" fontId="36" fillId="33" borderId="17" xfId="29" applyNumberFormat="1" applyFont="1" applyFill="1" applyBorder="1" applyAlignment="1">
      <alignment horizontal="center" vertical="center" wrapText="1"/>
    </xf>
    <xf numFmtId="164" fontId="36" fillId="33" borderId="23" xfId="29" applyNumberFormat="1" applyFont="1" applyFill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9" fillId="0" borderId="52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43" fontId="66" fillId="0" borderId="24" xfId="29" applyFont="1" applyBorder="1" applyAlignment="1">
      <alignment horizontal="center" vertical="center" wrapText="1"/>
    </xf>
    <xf numFmtId="43" fontId="66" fillId="0" borderId="5" xfId="29" applyFont="1" applyBorder="1" applyAlignment="1">
      <alignment horizontal="center" vertical="center" wrapText="1"/>
    </xf>
    <xf numFmtId="43" fontId="66" fillId="0" borderId="20" xfId="29" applyFont="1" applyBorder="1" applyAlignment="1">
      <alignment horizontal="center" vertical="center" wrapText="1"/>
    </xf>
    <xf numFmtId="0" fontId="40" fillId="33" borderId="17" xfId="0" applyFont="1" applyFill="1" applyBorder="1" applyAlignment="1">
      <alignment horizontal="center" vertical="center"/>
    </xf>
    <xf numFmtId="0" fontId="40" fillId="33" borderId="23" xfId="0" applyFont="1" applyFill="1" applyBorder="1" applyAlignment="1">
      <alignment horizontal="center" vertical="center"/>
    </xf>
    <xf numFmtId="0" fontId="40" fillId="33" borderId="17" xfId="0" applyFont="1" applyFill="1" applyBorder="1" applyAlignment="1">
      <alignment horizontal="center" vertical="center" wrapText="1"/>
    </xf>
    <xf numFmtId="0" fontId="40" fillId="33" borderId="28" xfId="0" applyFont="1" applyFill="1" applyBorder="1" applyAlignment="1">
      <alignment horizontal="center" vertical="center"/>
    </xf>
    <xf numFmtId="0" fontId="40" fillId="33" borderId="30" xfId="0" applyFont="1" applyFill="1" applyBorder="1" applyAlignment="1">
      <alignment horizontal="center" vertical="center"/>
    </xf>
    <xf numFmtId="0" fontId="40" fillId="33" borderId="29" xfId="0" applyFont="1" applyFill="1" applyBorder="1" applyAlignment="1">
      <alignment horizontal="center" vertical="center"/>
    </xf>
    <xf numFmtId="43" fontId="40" fillId="33" borderId="17" xfId="29" applyFont="1" applyFill="1" applyBorder="1" applyAlignment="1">
      <alignment horizontal="center" vertical="center" wrapText="1"/>
    </xf>
    <xf numFmtId="43" fontId="40" fillId="33" borderId="23" xfId="29" applyFont="1" applyFill="1" applyBorder="1" applyAlignment="1">
      <alignment horizontal="center" vertical="center"/>
    </xf>
    <xf numFmtId="0" fontId="40" fillId="0" borderId="52" xfId="0" applyFont="1" applyFill="1" applyBorder="1" applyAlignment="1">
      <alignment horizontal="center" vertical="center"/>
    </xf>
    <xf numFmtId="0" fontId="92" fillId="0" borderId="17" xfId="0" applyFont="1" applyFill="1" applyBorder="1" applyAlignment="1">
      <alignment horizontal="center" vertical="center" wrapText="1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7" xfId="97" applyNumberFormat="1" applyFont="1" applyFill="1" applyBorder="1" applyAlignment="1">
      <alignment horizontal="left" vertical="center"/>
    </xf>
    <xf numFmtId="0" fontId="92" fillId="0" borderId="18" xfId="97" applyNumberFormat="1" applyFont="1" applyFill="1" applyBorder="1" applyAlignment="1">
      <alignment horizontal="left" vertical="center"/>
    </xf>
    <xf numFmtId="0" fontId="92" fillId="0" borderId="17" xfId="97" applyNumberFormat="1" applyFont="1" applyFill="1" applyBorder="1" applyAlignment="1">
      <alignment horizontal="center" vertical="center" wrapText="1"/>
    </xf>
    <xf numFmtId="0" fontId="92" fillId="0" borderId="18" xfId="97" applyNumberFormat="1" applyFont="1" applyFill="1" applyBorder="1" applyAlignment="1">
      <alignment horizontal="center" vertical="center" wrapText="1"/>
    </xf>
    <xf numFmtId="173" fontId="93" fillId="29" borderId="17" xfId="0" applyNumberFormat="1" applyFont="1" applyFill="1" applyBorder="1" applyAlignment="1">
      <alignment horizontal="center" vertical="center"/>
    </xf>
    <xf numFmtId="0" fontId="93" fillId="29" borderId="18" xfId="0" applyFont="1" applyFill="1" applyBorder="1" applyAlignment="1">
      <alignment horizontal="center" vertical="center"/>
    </xf>
    <xf numFmtId="43" fontId="92" fillId="0" borderId="17" xfId="29" applyFont="1" applyBorder="1" applyAlignment="1">
      <alignment horizontal="center" vertical="center"/>
    </xf>
    <xf numFmtId="43" fontId="92" fillId="0" borderId="18" xfId="29" applyFont="1" applyBorder="1" applyAlignment="1">
      <alignment horizontal="center" vertical="center"/>
    </xf>
    <xf numFmtId="164" fontId="34" fillId="0" borderId="17" xfId="29" applyNumberFormat="1" applyFont="1" applyBorder="1" applyAlignment="1">
      <alignment horizontal="center" vertical="center"/>
    </xf>
    <xf numFmtId="164" fontId="34" fillId="0" borderId="18" xfId="29" applyNumberFormat="1" applyFont="1" applyBorder="1" applyAlignment="1">
      <alignment horizontal="center" vertical="center"/>
    </xf>
    <xf numFmtId="174" fontId="93" fillId="29" borderId="17" xfId="29" applyNumberFormat="1" applyFont="1" applyFill="1" applyBorder="1" applyAlignment="1">
      <alignment horizontal="center" vertical="center"/>
    </xf>
    <xf numFmtId="174" fontId="93" fillId="29" borderId="18" xfId="29" applyNumberFormat="1" applyFont="1" applyFill="1" applyBorder="1" applyAlignment="1">
      <alignment horizontal="center" vertical="center"/>
    </xf>
    <xf numFmtId="174" fontId="92" fillId="0" borderId="17" xfId="29" applyNumberFormat="1" applyFont="1" applyBorder="1" applyAlignment="1">
      <alignment horizontal="center" vertical="center"/>
    </xf>
    <xf numFmtId="174" fontId="92" fillId="0" borderId="18" xfId="29" applyNumberFormat="1" applyFont="1" applyBorder="1" applyAlignment="1">
      <alignment horizontal="center" vertical="center"/>
    </xf>
    <xf numFmtId="0" fontId="97" fillId="0" borderId="0" xfId="0" applyFont="1" applyFill="1" applyBorder="1" applyAlignment="1">
      <alignment horizontal="center" vertical="center"/>
    </xf>
    <xf numFmtId="0" fontId="97" fillId="0" borderId="53" xfId="0" applyFont="1" applyFill="1" applyBorder="1" applyAlignment="1">
      <alignment horizontal="center" vertical="center"/>
    </xf>
    <xf numFmtId="43" fontId="38" fillId="31" borderId="24" xfId="29" applyFont="1" applyFill="1" applyBorder="1" applyAlignment="1">
      <alignment horizontal="center" vertical="center" wrapText="1"/>
    </xf>
    <xf numFmtId="43" fontId="38" fillId="31" borderId="5" xfId="29" applyFont="1" applyFill="1" applyBorder="1" applyAlignment="1">
      <alignment horizontal="center" vertical="center" wrapText="1"/>
    </xf>
    <xf numFmtId="43" fontId="38" fillId="31" borderId="20" xfId="29" applyFont="1" applyFill="1" applyBorder="1" applyAlignment="1">
      <alignment horizontal="center" vertical="center" wrapText="1"/>
    </xf>
    <xf numFmtId="0" fontId="36" fillId="33" borderId="17" xfId="0" applyFont="1" applyFill="1" applyBorder="1" applyAlignment="1">
      <alignment horizontal="center" vertical="center"/>
    </xf>
    <xf numFmtId="0" fontId="36" fillId="33" borderId="23" xfId="0" applyFont="1" applyFill="1" applyBorder="1" applyAlignment="1">
      <alignment horizontal="center" vertical="center"/>
    </xf>
    <xf numFmtId="0" fontId="36" fillId="33" borderId="17" xfId="0" applyFont="1" applyFill="1" applyBorder="1" applyAlignment="1">
      <alignment horizontal="center" vertical="center" wrapText="1"/>
    </xf>
    <xf numFmtId="0" fontId="36" fillId="33" borderId="24" xfId="0" applyFont="1" applyFill="1" applyBorder="1" applyAlignment="1">
      <alignment horizontal="center" vertical="center" wrapText="1"/>
    </xf>
    <xf numFmtId="0" fontId="36" fillId="33" borderId="5" xfId="0" applyFont="1" applyFill="1" applyBorder="1" applyAlignment="1">
      <alignment horizontal="center" vertical="center" wrapText="1"/>
    </xf>
    <xf numFmtId="0" fontId="36" fillId="33" borderId="20" xfId="0" applyFont="1" applyFill="1" applyBorder="1" applyAlignment="1">
      <alignment horizontal="center" vertical="center" wrapText="1"/>
    </xf>
    <xf numFmtId="0" fontId="36" fillId="33" borderId="23" xfId="0" applyFont="1" applyFill="1" applyBorder="1" applyAlignment="1">
      <alignment horizontal="center" vertical="center" wrapText="1"/>
    </xf>
    <xf numFmtId="0" fontId="36" fillId="33" borderId="18" xfId="0" applyFont="1" applyFill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center" vertical="center" wrapText="1"/>
    </xf>
    <xf numFmtId="43" fontId="36" fillId="33" borderId="17" xfId="29" applyFont="1" applyFill="1" applyBorder="1" applyAlignment="1">
      <alignment horizontal="center" vertical="center" wrapText="1"/>
    </xf>
    <xf numFmtId="43" fontId="36" fillId="33" borderId="23" xfId="29" applyFont="1" applyFill="1" applyBorder="1" applyAlignment="1">
      <alignment horizontal="center" vertical="center" wrapText="1"/>
    </xf>
    <xf numFmtId="0" fontId="36" fillId="33" borderId="28" xfId="0" applyFont="1" applyFill="1" applyBorder="1" applyAlignment="1">
      <alignment horizontal="center" vertical="center" wrapText="1"/>
    </xf>
    <xf numFmtId="0" fontId="36" fillId="33" borderId="52" xfId="0" applyFont="1" applyFill="1" applyBorder="1" applyAlignment="1">
      <alignment horizontal="center" vertical="center" wrapText="1"/>
    </xf>
  </cellXfs>
  <cellStyles count="642">
    <cellStyle name="_x0001_" xfId="98"/>
    <cellStyle name="%" xfId="99"/>
    <cellStyle name="," xfId="100"/>
    <cellStyle name="??" xfId="101"/>
    <cellStyle name="?? [0.00]_List-dwg" xfId="102"/>
    <cellStyle name="?? [0]" xfId="103"/>
    <cellStyle name="??&amp;O?&amp;H?_x0008_??_x0007__x0001__x0001_" xfId="104"/>
    <cellStyle name="???? [0.00]_List-dwg" xfId="105"/>
    <cellStyle name="????_List-dwg" xfId="106"/>
    <cellStyle name="???[0]_Book1" xfId="107"/>
    <cellStyle name="???_???" xfId="108"/>
    <cellStyle name="??_ ??? ???? " xfId="109"/>
    <cellStyle name="_01 DUNGTIEN BIEU SX KINH DOANH" xfId="110"/>
    <cellStyle name="_01 modul tvql 06 08 09" xfId="111"/>
    <cellStyle name="_01 modul tvql 06 08 09_J&amp;J BCC+BL 082011 v2" xfId="112"/>
    <cellStyle name="_01 modul tvql 06 08 09_thaotuan luong 102011 v2" xfId="113"/>
    <cellStyle name="_Book1" xfId="114"/>
    <cellStyle name="_Book1_01 modul tvql 06 08 09" xfId="115"/>
    <cellStyle name="_Book1_1" xfId="116"/>
    <cellStyle name="_Book1_1_01 modul tvql 06 08 09" xfId="117"/>
    <cellStyle name="_Book1_1_CHINH DUC - MTCV GUI ANH HAI 051208" xfId="118"/>
    <cellStyle name="_Book1_1_CHINH DUC - MTCV GUI ANH HAI 051208_J&amp;J BCC+BL 082011 v2" xfId="119"/>
    <cellStyle name="_Book1_1_CHINH DUC - MTCV GUI ANH HAI 051208_thaotuan luong 102011 v2" xfId="120"/>
    <cellStyle name="_Book1_1_DAINAM" xfId="121"/>
    <cellStyle name="_Book1_1_DSKH" xfId="122"/>
    <cellStyle name="_Book1_1_DSKH_J&amp;J BCC+BL 082011 v2" xfId="123"/>
    <cellStyle name="_Book1_1_DSKH_thaotuan luong 102011 v2" xfId="124"/>
    <cellStyle name="_Book1_1_DUNG TIEN MAUKETOAN" xfId="125"/>
    <cellStyle name="_Book1_1_DUNG TIEN MAUKETOAN_J&amp;J BCC+BL 082011 v2" xfId="126"/>
    <cellStyle name="_Book1_1_DUNG TIEN MAUKETOAN_thaotuan luong 102011 v2" xfId="127"/>
    <cellStyle name="_Book1_1_hiep thanh bao gia thang 2008" xfId="128"/>
    <cellStyle name="_Book1_1_KH - HE THONG BM" xfId="129"/>
    <cellStyle name="_Book1_1_KH - Mau gui KH" xfId="130"/>
    <cellStyle name="_Book1_1_nhatkycongviec" xfId="131"/>
    <cellStyle name="_Book1_1_nhatkycongviec_J&amp;J BCC+BL 082011 v2" xfId="132"/>
    <cellStyle name="_Book1_1_nhatkycongviec_thaotuan luong 102011 v2" xfId="133"/>
    <cellStyle name="_Book1_1_NS DANH MUC  CONGVIEC" xfId="134"/>
    <cellStyle name="_Book1_1_viva ky nang mem 1108" xfId="135"/>
    <cellStyle name="_Book1_1_VIVA SO QUY 2009" xfId="136"/>
    <cellStyle name="_Book1_1_VIVA SO QUY 2009_J&amp;J BCC+BL 082011 v2" xfId="137"/>
    <cellStyle name="_Book1_1_VIVA SO QUY 2009_thaotuan luong 102011 v2" xfId="138"/>
    <cellStyle name="_Book1_1_VV - BIEU MAU NOI BO" xfId="139"/>
    <cellStyle name="_Book1_1_VV - BIEU MAU NOI BO_J&amp;J BCC+BL 082011 v2" xfId="140"/>
    <cellStyle name="_Book1_1_VV - BIEU MAU NOI BO_thaotuan luong 102011 v2" xfId="141"/>
    <cellStyle name="_Book1_1_VV - MT SWOT" xfId="142"/>
    <cellStyle name="_Book1_1_vv bao gia dvns 0309" xfId="143"/>
    <cellStyle name="_Book1_1_vv bao gia dvns 0309_J&amp;J BCC+BL 082011 v2" xfId="144"/>
    <cellStyle name="_Book1_1_vv bao gia dvns 0309_thaotuan luong 102011 v2" xfId="145"/>
    <cellStyle name="_Book1_1_vv bao gia mau 0309" xfId="146"/>
    <cellStyle name="_Book1_1_vv bieu mau gui kh" xfId="147"/>
    <cellStyle name="_Book1_1_vv bieu mau gui kh_J&amp;J BCC+BL 082011 v2" xfId="148"/>
    <cellStyle name="_Book1_1_vv bieu mau gui kh_thaotuan luong 102011 v2" xfId="149"/>
    <cellStyle name="_Book1_1_vv de nghi thanh toan" xfId="150"/>
    <cellStyle name="_Book1_1_vv de nghi thanh toan_J&amp;J BCC+BL 082011 v2" xfId="151"/>
    <cellStyle name="_Book1_1_vv de nghi thanh toan_thaotuan luong 102011 v2" xfId="152"/>
    <cellStyle name="_Book1_1_vv memo" xfId="153"/>
    <cellStyle name="_Book1_1_vv memo_J&amp;J BCC+BL 082011 v2" xfId="154"/>
    <cellStyle name="_Book1_1_vv memo_thaotuan luong 102011 v2" xfId="155"/>
    <cellStyle name="_Book1_2" xfId="156"/>
    <cellStyle name="_Book1_BC-QT-WB-dthao" xfId="157"/>
    <cellStyle name="_Book1_CHINH DUC - MTCV GUI ANH HAI 051208" xfId="158"/>
    <cellStyle name="_Book1_DAINAM" xfId="159"/>
    <cellStyle name="_Book1_DSKH" xfId="160"/>
    <cellStyle name="_Book1_DUNG TIEN MAUKETOAN" xfId="161"/>
    <cellStyle name="_Book1_hiep thanh bao gia thang 2008" xfId="162"/>
    <cellStyle name="_Book1_KH - HE THONG BM" xfId="163"/>
    <cellStyle name="_Book1_KH - Mau gui KH" xfId="164"/>
    <cellStyle name="_Book1_nhatkycongviec" xfId="165"/>
    <cellStyle name="_Book1_NS DANH MUC  CONGVIEC" xfId="166"/>
    <cellStyle name="_Book1_phieu yeu cau bo sung thong tin." xfId="167"/>
    <cellStyle name="_Book1_viva ky nang mem 1108" xfId="168"/>
    <cellStyle name="_Book1_VIVA SO QUY 2009" xfId="169"/>
    <cellStyle name="_Book1_VV - BIEU MAU NOI BO" xfId="170"/>
    <cellStyle name="_Book1_VV - MT SWOT" xfId="171"/>
    <cellStyle name="_Book1_vv bao gia dvns 0309" xfId="172"/>
    <cellStyle name="_Book1_vv bao gia mau 0309" xfId="173"/>
    <cellStyle name="_Book1_vv bieu mau gui kh" xfId="174"/>
    <cellStyle name="_Book1_vv de nghi thanh toan" xfId="175"/>
    <cellStyle name="_Book1_vv memo" xfId="176"/>
    <cellStyle name="_CHINH DUC - MTCV GUI ANH HAI 051208" xfId="177"/>
    <cellStyle name="_DAINAM" xfId="178"/>
    <cellStyle name="_DAINAM_J&amp;J BCC+BL 082011 v2" xfId="179"/>
    <cellStyle name="_DAINAM_thaotuan luong 102011 v2" xfId="180"/>
    <cellStyle name="_DSKH" xfId="181"/>
    <cellStyle name="_DUNG TIEN" xfId="182"/>
    <cellStyle name="_DUNG TIEN MAUKETOAN" xfId="183"/>
    <cellStyle name="_DUNG TIEN_J&amp;J BCC+BL 082011 v2" xfId="184"/>
    <cellStyle name="_DUNG TIEN_thaotuan luong 102011 v2" xfId="185"/>
    <cellStyle name="_hiep thanh bao gia thang 2008" xfId="186"/>
    <cellStyle name="_hiep thanh bao gia thang 2008_J&amp;J BCC+BL 082011 v2" xfId="187"/>
    <cellStyle name="_hiep thanh bao gia thang 2008_thaotuan luong 102011 v2" xfId="188"/>
    <cellStyle name="_KH - HE THONG BM" xfId="189"/>
    <cellStyle name="_KH - HE THONG BM_J&amp;J BCC+BL 082011 v2" xfId="190"/>
    <cellStyle name="_KH - HE THONG BM_thaotuan luong 102011 v2" xfId="191"/>
    <cellStyle name="_KH - Mau gui KH" xfId="192"/>
    <cellStyle name="_KH - Mau gui KH_J&amp;J BCC+BL 082011 v2" xfId="193"/>
    <cellStyle name="_KH - Mau gui KH_thaotuan luong 102011 v2" xfId="194"/>
    <cellStyle name="_KT (2)" xfId="195"/>
    <cellStyle name="_KT (2)_1" xfId="196"/>
    <cellStyle name="_KT (2)_1_Lora-tungchau" xfId="197"/>
    <cellStyle name="_KT (2)_1_Qt-HT3PQ1(CauKho)" xfId="198"/>
    <cellStyle name="_KT (2)_2" xfId="199"/>
    <cellStyle name="_KT (2)_2_TG-TH" xfId="200"/>
    <cellStyle name="_KT (2)_2_TG-TH_BAO CAO KLCT PT2000" xfId="201"/>
    <cellStyle name="_KT (2)_2_TG-TH_BAO CAO PT2000" xfId="202"/>
    <cellStyle name="_KT (2)_2_TG-TH_BAO CAO PT2000_Book1" xfId="203"/>
    <cellStyle name="_KT (2)_2_TG-TH_Bao cao XDCB 2001 - T11 KH dieu chinh 20-11-THAI" xfId="204"/>
    <cellStyle name="_KT (2)_2_TG-TH_Book1" xfId="205"/>
    <cellStyle name="_KT (2)_2_TG-TH_Book1_1" xfId="206"/>
    <cellStyle name="_KT (2)_2_TG-TH_Book1_2" xfId="207"/>
    <cellStyle name="_KT (2)_2_TG-TH_DTCDT MR.2N110.HOCMON.TDTOAN.CCUNG" xfId="208"/>
    <cellStyle name="_KT (2)_2_TG-TH_Lora-tungchau" xfId="209"/>
    <cellStyle name="_KT (2)_2_TG-TH_PGIA-phieu tham tra Kho bac" xfId="210"/>
    <cellStyle name="_KT (2)_2_TG-TH_PT02-02" xfId="211"/>
    <cellStyle name="_KT (2)_2_TG-TH_PT02-02_Book1" xfId="212"/>
    <cellStyle name="_KT (2)_2_TG-TH_PT02-03" xfId="213"/>
    <cellStyle name="_KT (2)_2_TG-TH_PT02-03_Book1" xfId="214"/>
    <cellStyle name="_KT (2)_2_TG-TH_Qt-HT3PQ1(CauKho)" xfId="215"/>
    <cellStyle name="_KT (2)_3" xfId="216"/>
    <cellStyle name="_KT (2)_3_TG-TH" xfId="217"/>
    <cellStyle name="_KT (2)_3_TG-TH_Book1" xfId="218"/>
    <cellStyle name="_KT (2)_3_TG-TH_Book1_BC-QT-WB-dthao" xfId="219"/>
    <cellStyle name="_KT (2)_3_TG-TH_Lora-tungchau" xfId="220"/>
    <cellStyle name="_KT (2)_3_TG-TH_PERSONAL" xfId="221"/>
    <cellStyle name="_KT (2)_3_TG-TH_PERSONAL_HTQ.8 GD1" xfId="222"/>
    <cellStyle name="_KT (2)_3_TG-TH_PERSONAL_Tong hop KHCB 2001" xfId="223"/>
    <cellStyle name="_KT (2)_3_TG-TH_Qt-HT3PQ1(CauKho)" xfId="224"/>
    <cellStyle name="_KT (2)_4" xfId="225"/>
    <cellStyle name="_KT (2)_4_BAO CAO KLCT PT2000" xfId="226"/>
    <cellStyle name="_KT (2)_4_BAO CAO PT2000" xfId="227"/>
    <cellStyle name="_KT (2)_4_BAO CAO PT2000_Book1" xfId="228"/>
    <cellStyle name="_KT (2)_4_Bao cao XDCB 2001 - T11 KH dieu chinh 20-11-THAI" xfId="229"/>
    <cellStyle name="_KT (2)_4_Book1" xfId="230"/>
    <cellStyle name="_KT (2)_4_Book1_1" xfId="231"/>
    <cellStyle name="_KT (2)_4_Book1_2" xfId="232"/>
    <cellStyle name="_KT (2)_4_DTCDT MR.2N110.HOCMON.TDTOAN.CCUNG" xfId="233"/>
    <cellStyle name="_KT (2)_4_Lora-tungchau" xfId="234"/>
    <cellStyle name="_KT (2)_4_PGIA-phieu tham tra Kho bac" xfId="235"/>
    <cellStyle name="_KT (2)_4_PT02-02" xfId="236"/>
    <cellStyle name="_KT (2)_4_PT02-02_Book1" xfId="237"/>
    <cellStyle name="_KT (2)_4_PT02-03" xfId="238"/>
    <cellStyle name="_KT (2)_4_PT02-03_Book1" xfId="239"/>
    <cellStyle name="_KT (2)_4_Qt-HT3PQ1(CauKho)" xfId="240"/>
    <cellStyle name="_KT (2)_4_TG-TH" xfId="241"/>
    <cellStyle name="_KT (2)_5" xfId="242"/>
    <cellStyle name="_KT (2)_5_BAO CAO KLCT PT2000" xfId="243"/>
    <cellStyle name="_KT (2)_5_BAO CAO PT2000" xfId="244"/>
    <cellStyle name="_KT (2)_5_BAO CAO PT2000_Book1" xfId="245"/>
    <cellStyle name="_KT (2)_5_Bao cao XDCB 2001 - T11 KH dieu chinh 20-11-THAI" xfId="246"/>
    <cellStyle name="_KT (2)_5_Book1" xfId="247"/>
    <cellStyle name="_KT (2)_5_Book1_1" xfId="248"/>
    <cellStyle name="_KT (2)_5_Book1_2" xfId="249"/>
    <cellStyle name="_KT (2)_5_Book1_BC-QT-WB-dthao" xfId="250"/>
    <cellStyle name="_KT (2)_5_DTCDT MR.2N110.HOCMON.TDTOAN.CCUNG" xfId="251"/>
    <cellStyle name="_KT (2)_5_Lora-tungchau" xfId="252"/>
    <cellStyle name="_KT (2)_5_PGIA-phieu tham tra Kho bac" xfId="253"/>
    <cellStyle name="_KT (2)_5_PT02-02" xfId="254"/>
    <cellStyle name="_KT (2)_5_PT02-02_Book1" xfId="255"/>
    <cellStyle name="_KT (2)_5_PT02-03" xfId="256"/>
    <cellStyle name="_KT (2)_5_PT02-03_Book1" xfId="257"/>
    <cellStyle name="_KT (2)_5_Qt-HT3PQ1(CauKho)" xfId="258"/>
    <cellStyle name="_KT (2)_Book1" xfId="259"/>
    <cellStyle name="_KT (2)_Book1_BC-QT-WB-dthao" xfId="260"/>
    <cellStyle name="_KT (2)_Lora-tungchau" xfId="261"/>
    <cellStyle name="_KT (2)_PERSONAL" xfId="262"/>
    <cellStyle name="_KT (2)_PERSONAL_HTQ.8 GD1" xfId="263"/>
    <cellStyle name="_KT (2)_PERSONAL_Tong hop KHCB 2001" xfId="264"/>
    <cellStyle name="_KT (2)_Qt-HT3PQ1(CauKho)" xfId="265"/>
    <cellStyle name="_KT (2)_TG-TH" xfId="266"/>
    <cellStyle name="_KT_TG" xfId="267"/>
    <cellStyle name="_KT_TG_1" xfId="268"/>
    <cellStyle name="_KT_TG_1_BAO CAO KLCT PT2000" xfId="269"/>
    <cellStyle name="_KT_TG_1_BAO CAO PT2000" xfId="270"/>
    <cellStyle name="_KT_TG_1_BAO CAO PT2000_Book1" xfId="271"/>
    <cellStyle name="_KT_TG_1_Bao cao XDCB 2001 - T11 KH dieu chinh 20-11-THAI" xfId="272"/>
    <cellStyle name="_KT_TG_1_Book1" xfId="273"/>
    <cellStyle name="_KT_TG_1_Book1_1" xfId="274"/>
    <cellStyle name="_KT_TG_1_Book1_2" xfId="275"/>
    <cellStyle name="_KT_TG_1_Book1_BC-QT-WB-dthao" xfId="276"/>
    <cellStyle name="_KT_TG_1_DTCDT MR.2N110.HOCMON.TDTOAN.CCUNG" xfId="277"/>
    <cellStyle name="_KT_TG_1_Lora-tungchau" xfId="278"/>
    <cellStyle name="_KT_TG_1_PGIA-phieu tham tra Kho bac" xfId="279"/>
    <cellStyle name="_KT_TG_1_PT02-02" xfId="280"/>
    <cellStyle name="_KT_TG_1_PT02-02_Book1" xfId="281"/>
    <cellStyle name="_KT_TG_1_PT02-03" xfId="282"/>
    <cellStyle name="_KT_TG_1_PT02-03_Book1" xfId="283"/>
    <cellStyle name="_KT_TG_1_Qt-HT3PQ1(CauKho)" xfId="284"/>
    <cellStyle name="_KT_TG_2" xfId="285"/>
    <cellStyle name="_KT_TG_2_BAO CAO KLCT PT2000" xfId="286"/>
    <cellStyle name="_KT_TG_2_BAO CAO PT2000" xfId="287"/>
    <cellStyle name="_KT_TG_2_BAO CAO PT2000_Book1" xfId="288"/>
    <cellStyle name="_KT_TG_2_Bao cao XDCB 2001 - T11 KH dieu chinh 20-11-THAI" xfId="289"/>
    <cellStyle name="_KT_TG_2_Book1" xfId="290"/>
    <cellStyle name="_KT_TG_2_Book1_1" xfId="291"/>
    <cellStyle name="_KT_TG_2_Book1_2" xfId="292"/>
    <cellStyle name="_KT_TG_2_DTCDT MR.2N110.HOCMON.TDTOAN.CCUNG" xfId="293"/>
    <cellStyle name="_KT_TG_2_Lora-tungchau" xfId="294"/>
    <cellStyle name="_KT_TG_2_PGIA-phieu tham tra Kho bac" xfId="295"/>
    <cellStyle name="_KT_TG_2_PT02-02" xfId="296"/>
    <cellStyle name="_KT_TG_2_PT02-02_Book1" xfId="297"/>
    <cellStyle name="_KT_TG_2_PT02-03" xfId="298"/>
    <cellStyle name="_KT_TG_2_PT02-03_Book1" xfId="299"/>
    <cellStyle name="_KT_TG_2_Qt-HT3PQ1(CauKho)" xfId="300"/>
    <cellStyle name="_KT_TG_3" xfId="301"/>
    <cellStyle name="_KT_TG_4" xfId="302"/>
    <cellStyle name="_KT_TG_4_Lora-tungchau" xfId="303"/>
    <cellStyle name="_KT_TG_4_Qt-HT3PQ1(CauKho)" xfId="304"/>
    <cellStyle name="_Lora-tungchau" xfId="305"/>
    <cellStyle name="_nhatkycongviec" xfId="306"/>
    <cellStyle name="_NS DANH MUC  CONGVIEC" xfId="307"/>
    <cellStyle name="_NS DANH MUC  CONGVIEC_J&amp;J BCC+BL 082011 v2" xfId="308"/>
    <cellStyle name="_NS DANH MUC  CONGVIEC_thaotuan luong 102011 v2" xfId="309"/>
    <cellStyle name="_PERSONAL" xfId="310"/>
    <cellStyle name="_PERSONAL_HTQ.8 GD1" xfId="311"/>
    <cellStyle name="_PERSONAL_Tong hop KHCB 2001" xfId="312"/>
    <cellStyle name="_phieu yeu cau bo sung thong tin." xfId="313"/>
    <cellStyle name="_Qt-HT3PQ1(CauKho)" xfId="314"/>
    <cellStyle name="_TG-TH" xfId="315"/>
    <cellStyle name="_TG-TH_1" xfId="316"/>
    <cellStyle name="_TG-TH_1_BAO CAO KLCT PT2000" xfId="317"/>
    <cellStyle name="_TG-TH_1_BAO CAO PT2000" xfId="318"/>
    <cellStyle name="_TG-TH_1_BAO CAO PT2000_Book1" xfId="319"/>
    <cellStyle name="_TG-TH_1_Bao cao XDCB 2001 - T11 KH dieu chinh 20-11-THAI" xfId="320"/>
    <cellStyle name="_TG-TH_1_Book1" xfId="321"/>
    <cellStyle name="_TG-TH_1_Book1_1" xfId="322"/>
    <cellStyle name="_TG-TH_1_Book1_2" xfId="323"/>
    <cellStyle name="_TG-TH_1_Book1_BC-QT-WB-dthao" xfId="324"/>
    <cellStyle name="_TG-TH_1_DTCDT MR.2N110.HOCMON.TDTOAN.CCUNG" xfId="325"/>
    <cellStyle name="_TG-TH_1_Lora-tungchau" xfId="326"/>
    <cellStyle name="_TG-TH_1_PGIA-phieu tham tra Kho bac" xfId="327"/>
    <cellStyle name="_TG-TH_1_PT02-02" xfId="328"/>
    <cellStyle name="_TG-TH_1_PT02-02_Book1" xfId="329"/>
    <cellStyle name="_TG-TH_1_PT02-03" xfId="330"/>
    <cellStyle name="_TG-TH_1_PT02-03_Book1" xfId="331"/>
    <cellStyle name="_TG-TH_1_Qt-HT3PQ1(CauKho)" xfId="332"/>
    <cellStyle name="_TG-TH_2" xfId="333"/>
    <cellStyle name="_TG-TH_2_BAO CAO KLCT PT2000" xfId="334"/>
    <cellStyle name="_TG-TH_2_BAO CAO PT2000" xfId="335"/>
    <cellStyle name="_TG-TH_2_BAO CAO PT2000_Book1" xfId="336"/>
    <cellStyle name="_TG-TH_2_Bao cao XDCB 2001 - T11 KH dieu chinh 20-11-THAI" xfId="337"/>
    <cellStyle name="_TG-TH_2_Book1" xfId="338"/>
    <cellStyle name="_TG-TH_2_Book1_1" xfId="339"/>
    <cellStyle name="_TG-TH_2_Book1_2" xfId="340"/>
    <cellStyle name="_TG-TH_2_DTCDT MR.2N110.HOCMON.TDTOAN.CCUNG" xfId="341"/>
    <cellStyle name="_TG-TH_2_Lora-tungchau" xfId="342"/>
    <cellStyle name="_TG-TH_2_PGIA-phieu tham tra Kho bac" xfId="343"/>
    <cellStyle name="_TG-TH_2_PT02-02" xfId="344"/>
    <cellStyle name="_TG-TH_2_PT02-02_Book1" xfId="345"/>
    <cellStyle name="_TG-TH_2_PT02-03" xfId="346"/>
    <cellStyle name="_TG-TH_2_PT02-03_Book1" xfId="347"/>
    <cellStyle name="_TG-TH_2_Qt-HT3PQ1(CauKho)" xfId="348"/>
    <cellStyle name="_TG-TH_3" xfId="349"/>
    <cellStyle name="_TG-TH_3_Lora-tungchau" xfId="350"/>
    <cellStyle name="_TG-TH_3_Qt-HT3PQ1(CauKho)" xfId="351"/>
    <cellStyle name="_TG-TH_4" xfId="352"/>
    <cellStyle name="_viva ky nang mem 1108" xfId="353"/>
    <cellStyle name="_viva ky nang mem 1108_J&amp;J BCC+BL 082011 v2" xfId="354"/>
    <cellStyle name="_viva ky nang mem 1108_thaotuan luong 102011 v2" xfId="355"/>
    <cellStyle name="_VIVA SO QUY 2009" xfId="356"/>
    <cellStyle name="_VV - BIEU MAU NOI BO" xfId="357"/>
    <cellStyle name="_VV - MT SWOT" xfId="358"/>
    <cellStyle name="_VV - MT SWOT_J&amp;J BCC+BL 082011 v2" xfId="359"/>
    <cellStyle name="_VV - MT SWOT_thaotuan luong 102011 v2" xfId="360"/>
    <cellStyle name="_vv bao gia dvns 0309" xfId="361"/>
    <cellStyle name="_vv bao gia mau 0309" xfId="362"/>
    <cellStyle name="_vv bao gia mau 0309_J&amp;J BCC+BL 082011 v2" xfId="363"/>
    <cellStyle name="_vv bao gia mau 0309_thaotuan luong 102011 v2" xfId="364"/>
    <cellStyle name="_vv bieu mau gui kh" xfId="365"/>
    <cellStyle name="_vv de nghi thanh toan" xfId="366"/>
    <cellStyle name="_vv memo" xfId="367"/>
    <cellStyle name="•W€_STDFOR" xfId="368"/>
    <cellStyle name="000," xfId="369"/>
    <cellStyle name="000,000" xfId="370"/>
    <cellStyle name="1" xfId="371"/>
    <cellStyle name="¹éºÐÀ²_      " xfId="372"/>
    <cellStyle name="2" xfId="373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3" xfId="374"/>
    <cellStyle name="4" xfId="375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" xfId="376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ÅëÈ­ [0]_      " xfId="377"/>
    <cellStyle name="AeE­ [0]_INQUIRY ¿?¾÷AßAø " xfId="378"/>
    <cellStyle name="ÅëÈ­_      " xfId="379"/>
    <cellStyle name="AeE­_INQUIRY ¿?¾÷AßAø " xfId="380"/>
    <cellStyle name="ÅëÈ­_L601CPT" xfId="381"/>
    <cellStyle name="ÄÞ¸¶ [0]_      " xfId="382"/>
    <cellStyle name="AÞ¸¶ [0]_INQUIRY ¿?¾÷AßAø" xfId="383"/>
    <cellStyle name="ÄÞ¸¶ [0]_L601CPT" xfId="384"/>
    <cellStyle name="ÄÞ¸¶_      " xfId="385"/>
    <cellStyle name="AÞ¸¶_INQUIRY ¿?¾÷AßAø" xfId="386"/>
    <cellStyle name="ÄÞ¸¶_L601CPT" xfId="387"/>
    <cellStyle name="AutoFormat Options" xfId="388"/>
    <cellStyle name="Bad" xfId="25" builtinId="27" customBuiltin="1"/>
    <cellStyle name="Body" xfId="389"/>
    <cellStyle name="C?AØ_¿?¾÷CoE² " xfId="390"/>
    <cellStyle name="Ç¥ÁØ_      " xfId="391"/>
    <cellStyle name="C￥AØ_¿μ¾÷CoE² " xfId="392"/>
    <cellStyle name="Ç¥ÁØ_±¸¹Ì´ëÃ¥" xfId="393"/>
    <cellStyle name="Calc Currency (0)" xfId="394"/>
    <cellStyle name="Calc Currency (2)" xfId="395"/>
    <cellStyle name="Calc Percent (0)" xfId="396"/>
    <cellStyle name="Calc Percent (1)" xfId="397"/>
    <cellStyle name="Calc Percent (2)" xfId="398"/>
    <cellStyle name="Calc Units (0)" xfId="399"/>
    <cellStyle name="Calc Units (1)" xfId="400"/>
    <cellStyle name="Calc Units (2)" xfId="401"/>
    <cellStyle name="Calculation" xfId="26" builtinId="22" customBuiltin="1"/>
    <cellStyle name="category" xfId="402"/>
    <cellStyle name="CC1" xfId="403"/>
    <cellStyle name="CC2" xfId="404"/>
    <cellStyle name="Cerrency_Sheet2_XANGDAU" xfId="405"/>
    <cellStyle name="cg" xfId="27"/>
    <cellStyle name="chchuyen" xfId="406"/>
    <cellStyle name="Check Cell" xfId="28" builtinId="23" customBuiltin="1"/>
    <cellStyle name="Comma" xfId="29" builtinId="3"/>
    <cellStyle name="Comma [00]" xfId="407"/>
    <cellStyle name="Comma [000,000]" xfId="408"/>
    <cellStyle name="Comma 000,000" xfId="409"/>
    <cellStyle name="Comma 2" xfId="71"/>
    <cellStyle name="Comma 2 2" xfId="91"/>
    <cellStyle name="Comma 3" xfId="79"/>
    <cellStyle name="Comma 4" xfId="80"/>
    <cellStyle name="Comma 5" xfId="81"/>
    <cellStyle name="Comma 6" xfId="85"/>
    <cellStyle name="Comma 6 2" xfId="89"/>
    <cellStyle name="comma zerodec" xfId="410"/>
    <cellStyle name="Comma0" xfId="30"/>
    <cellStyle name="CT1" xfId="411"/>
    <cellStyle name="CT2" xfId="412"/>
    <cellStyle name="CT4" xfId="413"/>
    <cellStyle name="CT5" xfId="414"/>
    <cellStyle name="ct7" xfId="415"/>
    <cellStyle name="ct8" xfId="416"/>
    <cellStyle name="cth1" xfId="417"/>
    <cellStyle name="Cthuc" xfId="418"/>
    <cellStyle name="Cthuc1" xfId="419"/>
    <cellStyle name="Currency [00]" xfId="420"/>
    <cellStyle name="Currency0" xfId="31"/>
    <cellStyle name="Currency1" xfId="421"/>
    <cellStyle name="d" xfId="422"/>
    <cellStyle name="D$_x0004_P??_x0010__x000b_?_x0015_?$_x0004_?_x000f_?" xfId="423"/>
    <cellStyle name="D$_x0004_P?_x0010__x000b_픲_x0015_딡$_x0004_뗈_x000f_?" xfId="424"/>
    <cellStyle name="d%" xfId="425"/>
    <cellStyle name="d1" xfId="426"/>
    <cellStyle name="Date" xfId="32"/>
    <cellStyle name="Date Short" xfId="427"/>
    <cellStyle name="Date_Book1" xfId="428"/>
    <cellStyle name="Dezimal [0]_UXO VII" xfId="429"/>
    <cellStyle name="Dezimal_UXO VII" xfId="430"/>
    <cellStyle name="Dollar (zero dec)" xfId="431"/>
    <cellStyle name="Enter Currency (0)" xfId="432"/>
    <cellStyle name="Enter Currency (2)" xfId="433"/>
    <cellStyle name="Enter Units (0)" xfId="434"/>
    <cellStyle name="Enter Units (1)" xfId="435"/>
    <cellStyle name="Enter Units (2)" xfId="436"/>
    <cellStyle name="Explanatory Text" xfId="33" builtinId="53" customBuiltin="1"/>
    <cellStyle name="f1" xfId="34"/>
    <cellStyle name="f1_Ctkt7" xfId="72"/>
    <cellStyle name="f2" xfId="35"/>
    <cellStyle name="Fixed" xfId="36"/>
    <cellStyle name="Good" xfId="37" builtinId="26" customBuiltin="1"/>
    <cellStyle name="Grey" xfId="437"/>
    <cellStyle name="HEADER" xfId="438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EADING1" xfId="439"/>
    <cellStyle name="HEADING2" xfId="440"/>
    <cellStyle name="Hoa-Scholl" xfId="441"/>
    <cellStyle name="Hyperlink" xfId="78" builtinId="8"/>
    <cellStyle name="i·0" xfId="442"/>
    <cellStyle name="Îáû÷íûé_ÏÄÍÃ" xfId="443"/>
    <cellStyle name="Input" xfId="44" builtinId="20" customBuiltin="1"/>
    <cellStyle name="Input [yellow]" xfId="444"/>
    <cellStyle name="k" xfId="445"/>
    <cellStyle name="k0" xfId="45"/>
    <cellStyle name="k1" xfId="46"/>
    <cellStyle name="k2" xfId="47"/>
    <cellStyle name="k3" xfId="48"/>
    <cellStyle name="khanh" xfId="446"/>
    <cellStyle name="khoa2" xfId="447"/>
    <cellStyle name="kien1" xfId="448"/>
    <cellStyle name="Link Currency (0)" xfId="449"/>
    <cellStyle name="Link Currency (2)" xfId="450"/>
    <cellStyle name="Link Units (0)" xfId="451"/>
    <cellStyle name="Link Units (1)" xfId="452"/>
    <cellStyle name="Link Units (2)" xfId="453"/>
    <cellStyle name="Linked Cell" xfId="49" builtinId="24" customBuiltin="1"/>
    <cellStyle name="luc" xfId="454"/>
    <cellStyle name="luc2" xfId="455"/>
    <cellStyle name="Millares [0]_Well Timing" xfId="456"/>
    <cellStyle name="Millares_Well Timing" xfId="457"/>
    <cellStyle name="Môc" xfId="458"/>
    <cellStyle name="Model" xfId="459"/>
    <cellStyle name="moi" xfId="50"/>
    <cellStyle name="Moneda [0]_Well Timing" xfId="460"/>
    <cellStyle name="Moneda_Well Timing" xfId="461"/>
    <cellStyle name="Monétaire [0]_TARIFFS DB" xfId="462"/>
    <cellStyle name="Monétaire_TARIFFS DB" xfId="463"/>
    <cellStyle name="n" xfId="464"/>
    <cellStyle name="n1" xfId="465"/>
    <cellStyle name="Neutral" xfId="51" builtinId="28" customBuiltin="1"/>
    <cellStyle name="New Times Roman" xfId="466"/>
    <cellStyle name="no dec" xfId="467"/>
    <cellStyle name="Non défini" xfId="468"/>
    <cellStyle name="Normal" xfId="0" builtinId="0"/>
    <cellStyle name="Normal - Style1" xfId="469"/>
    <cellStyle name="Normal 2" xfId="74"/>
    <cellStyle name="Normal 2 2" xfId="90"/>
    <cellStyle name="Normal 3" xfId="82"/>
    <cellStyle name="Normal 4" xfId="83"/>
    <cellStyle name="Normal 5" xfId="86"/>
    <cellStyle name="Normal 5 2" xfId="88"/>
    <cellStyle name="Normal_112 - 15" xfId="84"/>
    <cellStyle name="Normal_311" xfId="92"/>
    <cellStyle name="Normal_Bao cao" xfId="70"/>
    <cellStyle name="Normal_Book1" xfId="96"/>
    <cellStyle name="Normal_Copy of Ke-toan-mo-phong-mauso_ke_toan_NKC_excel-2" xfId="52"/>
    <cellStyle name="Normal_Ctkt08" xfId="53"/>
    <cellStyle name="Normal_Ke-toan-mo-phong-mauso_ke_toan_NKC_excel-1" xfId="94"/>
    <cellStyle name="Normal_ketoanthucte_NhatKySoCai" xfId="54"/>
    <cellStyle name="Normal_ketoanthucte_NhatKySoCai 2" xfId="73"/>
    <cellStyle name="Normal_ketoanthucte_NhatKySoCai 2 2" xfId="87"/>
    <cellStyle name="Normal_NhatKy0403" xfId="76"/>
    <cellStyle name="Normal_PNKPXK" xfId="77"/>
    <cellStyle name="Normal_Sheet1" xfId="97"/>
    <cellStyle name="Normal_SS-NKSC" xfId="93"/>
    <cellStyle name="Normal_TM-14" xfId="55"/>
    <cellStyle name="Normal_Z 13" xfId="95"/>
    <cellStyle name="Normal1" xfId="470"/>
    <cellStyle name="Note" xfId="56" builtinId="10" customBuiltin="1"/>
    <cellStyle name="omma [0]_Mktg Prog" xfId="471"/>
    <cellStyle name="ormal_Sheet1_1" xfId="472"/>
    <cellStyle name="Output" xfId="57" builtinId="21" customBuiltin="1"/>
    <cellStyle name="Percent [0]" xfId="473"/>
    <cellStyle name="Percent [00]" xfId="474"/>
    <cellStyle name="Percent [2]" xfId="475"/>
    <cellStyle name="PrePop Currency (0)" xfId="476"/>
    <cellStyle name="PrePop Currency (2)" xfId="477"/>
    <cellStyle name="PrePop Units (0)" xfId="478"/>
    <cellStyle name="PrePop Units (1)" xfId="479"/>
    <cellStyle name="PrePop Units (2)" xfId="480"/>
    <cellStyle name="S—_x0008_" xfId="481"/>
    <cellStyle name="s1" xfId="482"/>
    <cellStyle name="Style 1" xfId="483"/>
    <cellStyle name="Style 10" xfId="484"/>
    <cellStyle name="Style 11" xfId="485"/>
    <cellStyle name="Style 12" xfId="486"/>
    <cellStyle name="Style 13" xfId="487"/>
    <cellStyle name="Style 14" xfId="488"/>
    <cellStyle name="Style 15" xfId="489"/>
    <cellStyle name="Style 16" xfId="490"/>
    <cellStyle name="Style 17" xfId="491"/>
    <cellStyle name="Style 18" xfId="492"/>
    <cellStyle name="Style 19" xfId="493"/>
    <cellStyle name="Style 2" xfId="494"/>
    <cellStyle name="Style 20" xfId="495"/>
    <cellStyle name="Style 21" xfId="496"/>
    <cellStyle name="Style 22" xfId="497"/>
    <cellStyle name="Style 23" xfId="498"/>
    <cellStyle name="Style 24" xfId="499"/>
    <cellStyle name="Style 25" xfId="500"/>
    <cellStyle name="Style 26" xfId="501"/>
    <cellStyle name="Style 27" xfId="502"/>
    <cellStyle name="Style 28" xfId="503"/>
    <cellStyle name="Style 29" xfId="504"/>
    <cellStyle name="Style 3" xfId="505"/>
    <cellStyle name="Style 30" xfId="506"/>
    <cellStyle name="Style 31" xfId="507"/>
    <cellStyle name="Style 32" xfId="508"/>
    <cellStyle name="Style 33" xfId="509"/>
    <cellStyle name="Style 34" xfId="510"/>
    <cellStyle name="Style 35" xfId="511"/>
    <cellStyle name="Style 36" xfId="512"/>
    <cellStyle name="Style 37" xfId="513"/>
    <cellStyle name="Style 38" xfId="514"/>
    <cellStyle name="Style 39" xfId="515"/>
    <cellStyle name="Style 4" xfId="516"/>
    <cellStyle name="Style 40" xfId="517"/>
    <cellStyle name="Style 41" xfId="518"/>
    <cellStyle name="Style 42" xfId="519"/>
    <cellStyle name="Style 43" xfId="520"/>
    <cellStyle name="Style 5" xfId="521"/>
    <cellStyle name="Style 6" xfId="522"/>
    <cellStyle name="Style 7" xfId="523"/>
    <cellStyle name="Style 8" xfId="524"/>
    <cellStyle name="Style 9" xfId="525"/>
    <cellStyle name="subhead" xfId="526"/>
    <cellStyle name="T" xfId="527"/>
    <cellStyle name="T_01 DUNGTIEN BIEU SX KINH DOANH" xfId="528"/>
    <cellStyle name="T_01 modul tvql 06 08 09" xfId="529"/>
    <cellStyle name="T_01 modul tvql 06 08 09_J&amp;J BCC+BL 082011 v2" xfId="530"/>
    <cellStyle name="T_01 modul tvql 06 08 09_thaotuan luong 102011 v2" xfId="531"/>
    <cellStyle name="T_Book1" xfId="532"/>
    <cellStyle name="T_Book1_01 DUNGTIEN BIEU SX KINH DOANH" xfId="533"/>
    <cellStyle name="T_Book1_01 modul tvql 06 08 09" xfId="534"/>
    <cellStyle name="T_Book1_01 modul tvql 06 08 09_DA - BL 062011 (new)" xfId="535"/>
    <cellStyle name="T_Book1_01 modul tvql 06 08 09_thaotuan luong 102011" xfId="536"/>
    <cellStyle name="T_Book1_01 modul tvql 06 08 09_thaotuan luong 102011 v2" xfId="537"/>
    <cellStyle name="T_Book1_DA - BL 062011 (new)" xfId="538"/>
    <cellStyle name="T_Book1_DAINAM" xfId="539"/>
    <cellStyle name="T_Book1_DAINAM_DA - BL 062011 (new)" xfId="540"/>
    <cellStyle name="T_Book1_DAINAM_thaotuan luong 102011" xfId="541"/>
    <cellStyle name="T_Book1_DAINAM_thaotuan luong 102011 v2" xfId="542"/>
    <cellStyle name="T_Book1_DSKH" xfId="543"/>
    <cellStyle name="T_Book1_DSKH_J&amp;J BCC+BL 082011 v2" xfId="544"/>
    <cellStyle name="T_Book1_DSKH_thaotuan luong 102011 v2" xfId="545"/>
    <cellStyle name="T_Book1_DUNG TIEN" xfId="546"/>
    <cellStyle name="T_Book1_DUNG TIEN MAUKETOAN" xfId="547"/>
    <cellStyle name="T_Book1_DUNG TIEN MAUKETOAN_J&amp;J BCC+BL 082011 v2" xfId="548"/>
    <cellStyle name="T_Book1_DUNG TIEN MAUKETOAN_thaotuan luong 102011 v2" xfId="549"/>
    <cellStyle name="T_Book1_DUNG TIEN_DA - BL 062011 (new)" xfId="550"/>
    <cellStyle name="T_Book1_DUNG TIEN_thaotuan luong 102011" xfId="551"/>
    <cellStyle name="T_Book1_DUNG TIEN_thaotuan luong 102011 v2" xfId="552"/>
    <cellStyle name="T_Book1_hiep thanh bao gia thang 2008" xfId="553"/>
    <cellStyle name="T_Book1_hiep thanh bao gia thang 2008_DA - BL 062011 (new)" xfId="554"/>
    <cellStyle name="T_Book1_hiep thanh bao gia thang 2008_thaotuan luong 102011" xfId="555"/>
    <cellStyle name="T_Book1_hiep thanh bao gia thang 2008_thaotuan luong 102011 v2" xfId="556"/>
    <cellStyle name="T_Book1_NS DANH MUC  CONGVIEC" xfId="557"/>
    <cellStyle name="T_Book1_NS DANH MUC  CONGVIEC_DA - BL 062011 (new)" xfId="558"/>
    <cellStyle name="T_Book1_NS DANH MUC  CONGVIEC_thaotuan luong 102011" xfId="559"/>
    <cellStyle name="T_Book1_NS DANH MUC  CONGVIEC_thaotuan luong 102011 v2" xfId="560"/>
    <cellStyle name="T_Book1_thaotuan luong 102011" xfId="561"/>
    <cellStyle name="T_Book1_thaotuan luong 102011 v2" xfId="562"/>
    <cellStyle name="T_Book1_VIVA SO QUY 2009" xfId="563"/>
    <cellStyle name="T_Book1_VIVA SO QUY 2009_J&amp;J BCC+BL 082011 v2" xfId="564"/>
    <cellStyle name="T_Book1_VIVA SO QUY 2009_thaotuan luong 102011 v2" xfId="565"/>
    <cellStyle name="T_Copy of VT - BHXH-Q.Phu Nhuan" xfId="566"/>
    <cellStyle name="T_Copy of VT - BHXH-Q.Phu Nhuan_DA - BL 062011 (new)" xfId="567"/>
    <cellStyle name="T_Copy of VT - BHXH-Q.Phu Nhuan_thaotuan luong 102011" xfId="568"/>
    <cellStyle name="T_Copy of VT - BHXH-Q.Phu Nhuan_thaotuan luong 102011 v2" xfId="569"/>
    <cellStyle name="T_DAINAM" xfId="570"/>
    <cellStyle name="T_DAINAM_J&amp;J BCC+BL 082011 v2" xfId="571"/>
    <cellStyle name="T_DAINAM_thaotuan luong 102011 v2" xfId="572"/>
    <cellStyle name="T_DSKH" xfId="573"/>
    <cellStyle name="T_DSKH_DA - BL 062011 (new)" xfId="574"/>
    <cellStyle name="T_DSKH_thaotuan luong 102011" xfId="575"/>
    <cellStyle name="T_DSKH_thaotuan luong 102011 v2" xfId="576"/>
    <cellStyle name="T_DUNG TIEN" xfId="577"/>
    <cellStyle name="T_DUNG TIEN MAUKETOAN" xfId="578"/>
    <cellStyle name="T_DUNG TIEN MAUKETOAN_DA - BL 062011 (new)" xfId="579"/>
    <cellStyle name="T_DUNG TIEN MAUKETOAN_thaotuan luong 102011" xfId="580"/>
    <cellStyle name="T_DUNG TIEN MAUKETOAN_thaotuan luong 102011 v2" xfId="581"/>
    <cellStyle name="T_DUNG TIEN_J&amp;J BCC+BL 082011 v2" xfId="582"/>
    <cellStyle name="T_DUNG TIEN_thaotuan luong 102011 v2" xfId="583"/>
    <cellStyle name="T_hiep thanh bao gia thang 2008" xfId="584"/>
    <cellStyle name="T_hiep thanh bao gia thang 2008_J&amp;J BCC+BL 082011 v2" xfId="585"/>
    <cellStyle name="T_hiep thanh bao gia thang 2008_thaotuan luong 102011 v2" xfId="586"/>
    <cellStyle name="T_HNC- BHXH quy 4-07" xfId="587"/>
    <cellStyle name="T_HNC- BHXH quy 4-07_DA - BL 062011 (new)" xfId="588"/>
    <cellStyle name="T_HNC- BHXH quy 4-07_thaotuan luong 102011" xfId="589"/>
    <cellStyle name="T_HNC- BHXH quy 4-07_thaotuan luong 102011 v2" xfId="590"/>
    <cellStyle name="T_J&amp;J BCC+BL 082011 v2" xfId="591"/>
    <cellStyle name="T_NS DANH MUC  CONGVIEC" xfId="592"/>
    <cellStyle name="T_NS DANH MUC  CONGVIEC_J&amp;J BCC+BL 082011 v2" xfId="593"/>
    <cellStyle name="T_NS DANH MUC  CONGVIEC_thaotuan luong 102011 v2" xfId="594"/>
    <cellStyle name="T_thaotuan luong 102011 v2" xfId="595"/>
    <cellStyle name="T_VIVA SO QUY 2009" xfId="596"/>
    <cellStyle name="T_VIVA SO QUY 2009_DA - BL 062011 (new)" xfId="597"/>
    <cellStyle name="T_VIVA SO QUY 2009_thaotuan luong 102011" xfId="598"/>
    <cellStyle name="T_VIVA SO QUY 2009_thaotuan luong 102011 v2" xfId="599"/>
    <cellStyle name="TD1" xfId="58"/>
    <cellStyle name="tde" xfId="600"/>
    <cellStyle name="Text Indent A" xfId="601"/>
    <cellStyle name="Text Indent B" xfId="602"/>
    <cellStyle name="Text Indent C" xfId="603"/>
    <cellStyle name="th" xfId="604"/>
    <cellStyle name="þ_x001d_ð¤_x000c_¯þ_x0014__x000d_¨þU_x0001_À_x0004_ _x0015__x000f__x0001__x0001_" xfId="605"/>
    <cellStyle name="Tiªu ®Ì" xfId="606"/>
    <cellStyle name="Times New Roman" xfId="607"/>
    <cellStyle name="TiÓu môc" xfId="608"/>
    <cellStyle name="Title" xfId="59" builtinId="15" customBuiltin="1"/>
    <cellStyle name="Total" xfId="60" builtinId="25" customBuiltin="1"/>
    <cellStyle name="Tua de so" xfId="75"/>
    <cellStyle name="Tusental (0)_pldt" xfId="609"/>
    <cellStyle name="Tusental_pldt" xfId="610"/>
    <cellStyle name="Valuta (0)_pldt" xfId="611"/>
    <cellStyle name="Valuta_pldt" xfId="612"/>
    <cellStyle name="viet" xfId="613"/>
    <cellStyle name="viet2" xfId="614"/>
    <cellStyle name="vntxt2" xfId="615"/>
    <cellStyle name="Währung [0]_UXO VII" xfId="616"/>
    <cellStyle name="Währung_UXO VII" xfId="617"/>
    <cellStyle name="Warning Text" xfId="61" builtinId="11" customBuiltin="1"/>
    <cellStyle name="xuan" xfId="618"/>
    <cellStyle name="Обычный_Elec-12 Fin" xfId="619"/>
    <cellStyle name="เครื่องหมายสกุลเงิน [0]_FTC_OFFER" xfId="620"/>
    <cellStyle name="เครื่องหมายสกุลเงิน_FTC_OFFER" xfId="621"/>
    <cellStyle name="ปกติ_FTC_OFFER" xfId="622"/>
    <cellStyle name=" [0.00]_ Att. 1- Cover" xfId="623"/>
    <cellStyle name="_ Att. 1- Cover" xfId="624"/>
    <cellStyle name="?_ Att. 1- Cover" xfId="625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95" xfId="626"/>
    <cellStyle name="뷭?_BOOKSHIP" xfId="66"/>
    <cellStyle name="쉼표 [0]_PCS-3~1" xfId="627"/>
    <cellStyle name="쉼표_EQ_ROOM cost" xfId="628"/>
    <cellStyle name="콤마 [0]_ 비목별 월별기술 " xfId="629"/>
    <cellStyle name="콤마_ 비목별 월별기술 " xfId="630"/>
    <cellStyle name="통화 [0]_1202" xfId="67"/>
    <cellStyle name="통화_1202" xfId="68"/>
    <cellStyle name="표준_(정보부문)월별인원계획" xfId="69"/>
    <cellStyle name="一般_00Q3902REV.1" xfId="631"/>
    <cellStyle name="千分位[0]_00Q3902REV.1" xfId="632"/>
    <cellStyle name="千分位_00Q3902REV.1" xfId="633"/>
    <cellStyle name="桁区切り [0.00]_List-dwg瑩畳䵜楡" xfId="634"/>
    <cellStyle name="桁区切り_List-dwgist-" xfId="635"/>
    <cellStyle name="標準_List-dwgis" xfId="636"/>
    <cellStyle name="貨幣 [0]_00Q3902REV.1" xfId="637"/>
    <cellStyle name="貨幣[0]_BRE" xfId="638"/>
    <cellStyle name="貨幣_00Q3902REV.1" xfId="639"/>
    <cellStyle name="通貨 [0.00]_List-dwgwg" xfId="640"/>
    <cellStyle name="通貨_List-dwgis" xfId="641"/>
  </cellStyles>
  <dxfs count="27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6" workbookViewId="0">
      <pane ySplit="4" topLeftCell="A10" activePane="bottomLeft" state="frozen"/>
      <selection activeCell="A6" sqref="A6"/>
      <selection pane="bottomLeft" activeCell="E38" sqref="E38"/>
    </sheetView>
  </sheetViews>
  <sheetFormatPr defaultColWidth="8" defaultRowHeight="12.75"/>
  <cols>
    <col min="1" max="1" width="5.7109375" style="534" customWidth="1"/>
    <col min="2" max="2" width="36.85546875" style="534" customWidth="1"/>
    <col min="3" max="4" width="11.28515625" style="157" customWidth="1"/>
    <col min="5" max="6" width="14.7109375" style="534" customWidth="1"/>
    <col min="7" max="8" width="13.85546875" style="534" customWidth="1"/>
    <col min="9" max="9" width="2.42578125" style="534" customWidth="1"/>
    <col min="10" max="10" width="11" style="534" customWidth="1"/>
    <col min="11" max="11" width="2.85546875" style="534" customWidth="1"/>
    <col min="12" max="12" width="11.85546875" style="534" customWidth="1"/>
    <col min="13" max="16384" width="8" style="534"/>
  </cols>
  <sheetData>
    <row r="1" spans="1:16">
      <c r="A1" s="533"/>
      <c r="B1" s="533"/>
    </row>
    <row r="2" spans="1:16">
      <c r="A2" s="533" t="str">
        <f>TH!A1</f>
        <v>Đơn vị: CÔNG TY TNHH MỘT THÀNH VIÊN KHỞI NGUYÊN AN</v>
      </c>
      <c r="B2" s="533"/>
    </row>
    <row r="3" spans="1:16">
      <c r="A3" s="534" t="str">
        <f>TH!A2</f>
        <v>Địa chỉ: Thửa đất số 144, tờ bản đồ số 12TĐH.1, tổ 1, khu phố Đông Tác, Phường Tân Đông Hiệp, Thị Xã Dĩ An, Tỉnh Bình Dương, Việt Nam</v>
      </c>
      <c r="B3" s="533"/>
    </row>
    <row r="5" spans="1:16" ht="36" customHeight="1">
      <c r="A5" s="535"/>
      <c r="B5" s="535"/>
      <c r="C5" s="536"/>
      <c r="D5" s="537" t="s">
        <v>288</v>
      </c>
      <c r="E5" s="535"/>
      <c r="F5" s="535"/>
      <c r="G5" s="535"/>
      <c r="H5" s="535"/>
    </row>
    <row r="6" spans="1:16" ht="15.75">
      <c r="A6" s="535"/>
      <c r="B6" s="535"/>
      <c r="C6" s="536"/>
      <c r="D6" s="555" t="s">
        <v>354</v>
      </c>
      <c r="E6" s="535"/>
      <c r="F6" s="535"/>
      <c r="G6" s="535"/>
      <c r="H6" s="535"/>
    </row>
    <row r="7" spans="1:16" ht="6.75" customHeight="1"/>
    <row r="8" spans="1:16" ht="21.75" customHeight="1">
      <c r="A8" s="925" t="s">
        <v>334</v>
      </c>
      <c r="B8" s="925" t="s">
        <v>286</v>
      </c>
      <c r="C8" s="921" t="s">
        <v>37</v>
      </c>
      <c r="D8" s="922"/>
      <c r="E8" s="921" t="s">
        <v>38</v>
      </c>
      <c r="F8" s="922"/>
      <c r="G8" s="921" t="s">
        <v>287</v>
      </c>
      <c r="H8" s="922"/>
    </row>
    <row r="9" spans="1:16" ht="21.75" customHeight="1">
      <c r="A9" s="926"/>
      <c r="B9" s="926"/>
      <c r="C9" s="532" t="s">
        <v>42</v>
      </c>
      <c r="D9" s="532" t="s">
        <v>43</v>
      </c>
      <c r="E9" s="532" t="s">
        <v>42</v>
      </c>
      <c r="F9" s="532" t="s">
        <v>43</v>
      </c>
      <c r="G9" s="532" t="s">
        <v>42</v>
      </c>
      <c r="H9" s="532" t="s">
        <v>43</v>
      </c>
    </row>
    <row r="10" spans="1:16" s="157" customFormat="1" ht="17.25" customHeight="1">
      <c r="A10" s="538" t="s">
        <v>47</v>
      </c>
      <c r="B10" s="539" t="s">
        <v>48</v>
      </c>
      <c r="C10" s="540"/>
      <c r="D10" s="540"/>
      <c r="E10" s="540">
        <f t="array" ref="E10">SUM(IF(A10=KHN,TH))</f>
        <v>2726555545</v>
      </c>
      <c r="F10" s="540">
        <f t="array" ref="F10">SUM(IF(A10=KHC,TH))</f>
        <v>314765419</v>
      </c>
      <c r="G10" s="541">
        <f>MAX(C10+E10-D10-F10,0)</f>
        <v>2411790126</v>
      </c>
      <c r="H10" s="541">
        <f>MAX(D10+F10-E10-C10,0)</f>
        <v>0</v>
      </c>
      <c r="J10" s="534"/>
      <c r="K10" s="534"/>
      <c r="L10" s="534"/>
      <c r="M10" s="534"/>
      <c r="N10" s="534"/>
      <c r="O10" s="534"/>
      <c r="P10" s="534"/>
    </row>
    <row r="11" spans="1:16" s="157" customFormat="1" ht="17.25" customHeight="1">
      <c r="A11" s="543" t="s">
        <v>16</v>
      </c>
      <c r="B11" s="543" t="s">
        <v>49</v>
      </c>
      <c r="C11" s="544">
        <f t="shared" ref="C11:H11" si="0">C10</f>
        <v>0</v>
      </c>
      <c r="D11" s="544">
        <f t="shared" si="0"/>
        <v>0</v>
      </c>
      <c r="E11" s="544">
        <f t="shared" si="0"/>
        <v>2726555545</v>
      </c>
      <c r="F11" s="544">
        <f t="shared" si="0"/>
        <v>314765419</v>
      </c>
      <c r="G11" s="544">
        <f t="shared" si="0"/>
        <v>2411790126</v>
      </c>
      <c r="H11" s="544">
        <f t="shared" si="0"/>
        <v>0</v>
      </c>
      <c r="J11" s="534"/>
      <c r="K11" s="534"/>
      <c r="L11" s="534"/>
      <c r="M11" s="534"/>
      <c r="N11" s="534"/>
      <c r="O11" s="534"/>
      <c r="P11" s="534"/>
    </row>
    <row r="12" spans="1:16" s="157" customFormat="1" ht="17.25" customHeight="1">
      <c r="A12" s="539" t="s">
        <v>24</v>
      </c>
      <c r="B12" s="539" t="s">
        <v>50</v>
      </c>
      <c r="C12" s="540"/>
      <c r="D12" s="540">
        <v>0</v>
      </c>
      <c r="E12" s="540">
        <f t="array" ref="E12">SUM(IF(A12=KHN,TH))</f>
        <v>95086769</v>
      </c>
      <c r="F12" s="540">
        <f t="array" ref="F12">SUM(IF(A12=KHC,TH))</f>
        <v>93977000</v>
      </c>
      <c r="G12" s="541">
        <f>MAX(C12+E12-D12-F12,0)</f>
        <v>1109769</v>
      </c>
      <c r="H12" s="541">
        <f>MAX(D12+F12-E12-C12,0)</f>
        <v>0</v>
      </c>
      <c r="K12" s="542"/>
      <c r="L12" s="542"/>
      <c r="M12" s="542"/>
    </row>
    <row r="13" spans="1:16" s="157" customFormat="1" ht="17.25" customHeight="1">
      <c r="A13" s="543" t="s">
        <v>51</v>
      </c>
      <c r="B13" s="543" t="s">
        <v>52</v>
      </c>
      <c r="C13" s="544">
        <f t="shared" ref="C13:H13" si="1">C12</f>
        <v>0</v>
      </c>
      <c r="D13" s="544">
        <f t="shared" si="1"/>
        <v>0</v>
      </c>
      <c r="E13" s="544">
        <f t="shared" si="1"/>
        <v>95086769</v>
      </c>
      <c r="F13" s="544">
        <f t="shared" si="1"/>
        <v>93977000</v>
      </c>
      <c r="G13" s="544">
        <f t="shared" si="1"/>
        <v>1109769</v>
      </c>
      <c r="H13" s="544">
        <f t="shared" si="1"/>
        <v>0</v>
      </c>
    </row>
    <row r="14" spans="1:16" s="157" customFormat="1" ht="17.25" customHeight="1">
      <c r="A14" s="543" t="s">
        <v>252</v>
      </c>
      <c r="B14" s="543" t="s">
        <v>260</v>
      </c>
      <c r="C14" s="544"/>
      <c r="D14" s="544"/>
      <c r="E14" s="545">
        <f t="array" ref="E14">SUM(IF(A14=KHN,TH))</f>
        <v>270040053</v>
      </c>
      <c r="F14" s="545">
        <f t="array" ref="F14">SUM(IF(A14=KHC,TH))</f>
        <v>226687953</v>
      </c>
      <c r="G14" s="544">
        <f>MAX(C14+E14-D14-F14,0)</f>
        <v>43352100</v>
      </c>
      <c r="H14" s="544">
        <f>MAX(D14+F14-E14-C14,0)</f>
        <v>0</v>
      </c>
    </row>
    <row r="15" spans="1:16" s="157" customFormat="1" ht="17.25" customHeight="1">
      <c r="A15" s="539" t="s">
        <v>9</v>
      </c>
      <c r="B15" s="539" t="s">
        <v>53</v>
      </c>
      <c r="C15" s="540"/>
      <c r="D15" s="540"/>
      <c r="E15" s="540">
        <f t="array" ref="E15">SUM(IF(A15=KHN,TH))</f>
        <v>24549095</v>
      </c>
      <c r="F15" s="540">
        <f t="array" ref="F15">SUM(IF(A15=KHC,TH))</f>
        <v>24549095</v>
      </c>
      <c r="G15" s="541">
        <f>MAX(C15+E15-D15-F15,0)</f>
        <v>0</v>
      </c>
      <c r="H15" s="541">
        <f>MAX(D15+F15-E15-C15,0)</f>
        <v>0</v>
      </c>
    </row>
    <row r="16" spans="1:16" s="157" customFormat="1" ht="17.25" customHeight="1">
      <c r="A16" s="543" t="s">
        <v>54</v>
      </c>
      <c r="B16" s="543" t="s">
        <v>55</v>
      </c>
      <c r="C16" s="544">
        <f t="shared" ref="C16:H16" si="2">C15</f>
        <v>0</v>
      </c>
      <c r="D16" s="544">
        <f t="shared" si="2"/>
        <v>0</v>
      </c>
      <c r="E16" s="544">
        <f t="shared" si="2"/>
        <v>24549095</v>
      </c>
      <c r="F16" s="544">
        <f t="shared" si="2"/>
        <v>24549095</v>
      </c>
      <c r="G16" s="544">
        <f t="shared" si="2"/>
        <v>0</v>
      </c>
      <c r="H16" s="544">
        <f t="shared" si="2"/>
        <v>0</v>
      </c>
    </row>
    <row r="17" spans="1:8" s="157" customFormat="1" ht="17.25" customHeight="1">
      <c r="A17" s="539" t="s">
        <v>56</v>
      </c>
      <c r="B17" s="539" t="s">
        <v>57</v>
      </c>
      <c r="C17" s="540"/>
      <c r="D17" s="540"/>
      <c r="E17" s="540">
        <f t="array" ref="E17">SUM(IF(A17=KHN,TH))</f>
        <v>0</v>
      </c>
      <c r="F17" s="540">
        <f t="array" ref="F17">SUM(IF(A17=KHC,TH))</f>
        <v>0</v>
      </c>
      <c r="G17" s="541">
        <f t="shared" ref="G17:G25" si="3">MAX(C17+E17-D17-F17,0)</f>
        <v>0</v>
      </c>
      <c r="H17" s="541">
        <f t="shared" ref="H17:H25" si="4">MAX(D17+F17-E17-C17,0)</f>
        <v>0</v>
      </c>
    </row>
    <row r="18" spans="1:8" s="157" customFormat="1" ht="17.25" customHeight="1">
      <c r="A18" s="543" t="s">
        <v>58</v>
      </c>
      <c r="B18" s="543" t="s">
        <v>59</v>
      </c>
      <c r="C18" s="544">
        <f>C17</f>
        <v>0</v>
      </c>
      <c r="D18" s="544">
        <f>D17</f>
        <v>0</v>
      </c>
      <c r="E18" s="544">
        <f>E17</f>
        <v>0</v>
      </c>
      <c r="F18" s="544">
        <f>F17</f>
        <v>0</v>
      </c>
      <c r="G18" s="544">
        <f t="shared" si="3"/>
        <v>0</v>
      </c>
      <c r="H18" s="544">
        <f t="shared" si="4"/>
        <v>0</v>
      </c>
    </row>
    <row r="19" spans="1:8" s="157" customFormat="1" ht="17.25" customHeight="1">
      <c r="A19" s="543" t="s">
        <v>160</v>
      </c>
      <c r="B19" s="543" t="s">
        <v>161</v>
      </c>
      <c r="C19" s="544"/>
      <c r="D19" s="544">
        <v>0</v>
      </c>
      <c r="E19" s="545">
        <f t="array" ref="E19">SUM(IF(A19=KHN,TH))</f>
        <v>215979406</v>
      </c>
      <c r="F19" s="545">
        <f t="array" ref="F19">SUM(IF(A19=KHC,TH))</f>
        <v>215979406</v>
      </c>
      <c r="G19" s="544">
        <f t="shared" si="3"/>
        <v>0</v>
      </c>
      <c r="H19" s="544">
        <f t="shared" si="4"/>
        <v>0</v>
      </c>
    </row>
    <row r="20" spans="1:8" s="157" customFormat="1" ht="17.25" customHeight="1">
      <c r="A20" s="546" t="s">
        <v>352</v>
      </c>
      <c r="B20" s="543" t="s">
        <v>353</v>
      </c>
      <c r="C20" s="544"/>
      <c r="D20" s="544"/>
      <c r="E20" s="545">
        <f t="array" ref="E20">SUM(IF(A20=KHN,TH))</f>
        <v>408736108</v>
      </c>
      <c r="F20" s="545">
        <f t="array" ref="F20">SUM(IF(A20=KHC,TH))</f>
        <v>399868312</v>
      </c>
      <c r="G20" s="544">
        <f t="shared" si="3"/>
        <v>8867796</v>
      </c>
      <c r="H20" s="544">
        <f t="shared" si="4"/>
        <v>0</v>
      </c>
    </row>
    <row r="21" spans="1:8" s="157" customFormat="1" ht="17.25" customHeight="1">
      <c r="A21" s="543" t="s">
        <v>8</v>
      </c>
      <c r="B21" s="543" t="s">
        <v>60</v>
      </c>
      <c r="C21" s="544"/>
      <c r="D21" s="544"/>
      <c r="E21" s="545">
        <f t="array" ref="E21">SUM(IF(A21=KHN,TH))</f>
        <v>212032372</v>
      </c>
      <c r="F21" s="545">
        <f t="array" ref="F21">SUM(IF(A21=KHC,TH))</f>
        <v>212032372</v>
      </c>
      <c r="G21" s="544">
        <f t="shared" si="3"/>
        <v>0</v>
      </c>
      <c r="H21" s="544">
        <f t="shared" si="4"/>
        <v>0</v>
      </c>
    </row>
    <row r="22" spans="1:8" s="157" customFormat="1" ht="17.25" customHeight="1">
      <c r="A22" s="547" t="s">
        <v>296</v>
      </c>
      <c r="B22" s="539" t="s">
        <v>295</v>
      </c>
      <c r="C22" s="540"/>
      <c r="D22" s="540"/>
      <c r="E22" s="540">
        <f t="array" ref="E22">SUM(IF(A22=KHN,TH))</f>
        <v>24549095</v>
      </c>
      <c r="F22" s="540">
        <f t="array" ref="F22">SUM(IF(A22=KHC,TH))</f>
        <v>24549095</v>
      </c>
      <c r="G22" s="540">
        <f t="shared" ref="G22" si="5">MAX(C22+E22-D22-F22,0)</f>
        <v>0</v>
      </c>
      <c r="H22" s="540">
        <f t="shared" ref="H22" si="6">MAX(D22+F22-E22-C22,0)</f>
        <v>0</v>
      </c>
    </row>
    <row r="23" spans="1:8" s="157" customFormat="1" ht="17.25" customHeight="1">
      <c r="A23" s="539" t="s">
        <v>61</v>
      </c>
      <c r="B23" s="539" t="s">
        <v>62</v>
      </c>
      <c r="C23" s="540"/>
      <c r="D23" s="540"/>
      <c r="E23" s="540">
        <f t="array" ref="E23">SUM(IF(A23=KHN,TH))</f>
        <v>0</v>
      </c>
      <c r="F23" s="540">
        <f t="array" ref="F23">SUM(IF(A23=KHC,TH))</f>
        <v>0</v>
      </c>
      <c r="G23" s="540">
        <f t="shared" si="3"/>
        <v>0</v>
      </c>
      <c r="H23" s="540">
        <f t="shared" si="4"/>
        <v>0</v>
      </c>
    </row>
    <row r="24" spans="1:8" s="157" customFormat="1" ht="17.25" customHeight="1">
      <c r="A24" s="539" t="s">
        <v>258</v>
      </c>
      <c r="B24" s="539" t="s">
        <v>259</v>
      </c>
      <c r="C24" s="540"/>
      <c r="D24" s="540"/>
      <c r="E24" s="540">
        <f t="array" ref="E24">SUM(IF(A24=KHN,TH))</f>
        <v>0</v>
      </c>
      <c r="F24" s="540">
        <f t="array" ref="F24">SUM(IF(A24=KHC,TH))</f>
        <v>0</v>
      </c>
      <c r="G24" s="540">
        <f t="shared" si="3"/>
        <v>0</v>
      </c>
      <c r="H24" s="540">
        <f t="shared" si="4"/>
        <v>0</v>
      </c>
    </row>
    <row r="25" spans="1:8" s="157" customFormat="1" ht="17.25" customHeight="1">
      <c r="A25" s="547" t="s">
        <v>63</v>
      </c>
      <c r="B25" s="548" t="s">
        <v>64</v>
      </c>
      <c r="C25" s="549"/>
      <c r="D25" s="549"/>
      <c r="E25" s="549">
        <f t="array" ref="E25">SUM(IF(A25=KHN,TH))</f>
        <v>750000</v>
      </c>
      <c r="F25" s="549">
        <f t="array" ref="F25">SUM(IF(A25=KHC,TH))</f>
        <v>750000</v>
      </c>
      <c r="G25" s="549">
        <f t="shared" si="3"/>
        <v>0</v>
      </c>
      <c r="H25" s="549">
        <f t="shared" si="4"/>
        <v>0</v>
      </c>
    </row>
    <row r="26" spans="1:8" s="157" customFormat="1" ht="17.25" customHeight="1">
      <c r="A26" s="539" t="s">
        <v>18</v>
      </c>
      <c r="B26" s="539" t="s">
        <v>65</v>
      </c>
      <c r="C26" s="540">
        <f>C25</f>
        <v>0</v>
      </c>
      <c r="D26" s="540">
        <f t="shared" ref="D26:H26" si="7">D25</f>
        <v>0</v>
      </c>
      <c r="E26" s="540">
        <f t="shared" si="7"/>
        <v>750000</v>
      </c>
      <c r="F26" s="540">
        <f t="shared" si="7"/>
        <v>750000</v>
      </c>
      <c r="G26" s="540">
        <f t="shared" si="7"/>
        <v>0</v>
      </c>
      <c r="H26" s="540">
        <f t="shared" si="7"/>
        <v>0</v>
      </c>
    </row>
    <row r="27" spans="1:8" s="157" customFormat="1" ht="17.25" customHeight="1">
      <c r="A27" s="543" t="s">
        <v>66</v>
      </c>
      <c r="B27" s="543" t="s">
        <v>67</v>
      </c>
      <c r="C27" s="544">
        <f>C23+C26+C24+C22</f>
        <v>0</v>
      </c>
      <c r="D27" s="544">
        <f t="shared" ref="D27:H27" si="8">D23+D26+D24+D22</f>
        <v>0</v>
      </c>
      <c r="E27" s="544">
        <f t="shared" si="8"/>
        <v>25299095</v>
      </c>
      <c r="F27" s="544">
        <f t="shared" si="8"/>
        <v>25299095</v>
      </c>
      <c r="G27" s="544">
        <f t="shared" si="8"/>
        <v>0</v>
      </c>
      <c r="H27" s="544">
        <f t="shared" si="8"/>
        <v>0</v>
      </c>
    </row>
    <row r="28" spans="1:8" s="157" customFormat="1" ht="17.25" customHeight="1">
      <c r="A28" s="539" t="s">
        <v>254</v>
      </c>
      <c r="B28" s="539" t="s">
        <v>255</v>
      </c>
      <c r="C28" s="540">
        <v>0</v>
      </c>
      <c r="D28" s="540">
        <v>0</v>
      </c>
      <c r="E28" s="540">
        <f t="array" ref="E28">SUM(IF(A28=KHN,TH))</f>
        <v>58140000</v>
      </c>
      <c r="F28" s="540">
        <f t="array" ref="F28">SUM(IF(A28=KHC,TH))</f>
        <v>58140000</v>
      </c>
      <c r="G28" s="540">
        <f t="shared" ref="G28:G30" si="9">MAX(C28+E28-D28-F28,0)</f>
        <v>0</v>
      </c>
      <c r="H28" s="540">
        <f t="shared" ref="H28:H30" si="10">MAX(D28+F28-E28-C28,0)</f>
        <v>0</v>
      </c>
    </row>
    <row r="29" spans="1:8" s="157" customFormat="1" ht="17.25" customHeight="1">
      <c r="A29" s="543" t="s">
        <v>256</v>
      </c>
      <c r="B29" s="543" t="s">
        <v>257</v>
      </c>
      <c r="C29" s="544">
        <f>C28</f>
        <v>0</v>
      </c>
      <c r="D29" s="544">
        <f>D28</f>
        <v>0</v>
      </c>
      <c r="E29" s="544">
        <f>E28</f>
        <v>58140000</v>
      </c>
      <c r="F29" s="544">
        <f>F28</f>
        <v>58140000</v>
      </c>
      <c r="G29" s="544">
        <f t="shared" si="9"/>
        <v>0</v>
      </c>
      <c r="H29" s="544">
        <f t="shared" si="10"/>
        <v>0</v>
      </c>
    </row>
    <row r="30" spans="1:8" s="157" customFormat="1" ht="17.25" customHeight="1">
      <c r="A30" s="539" t="s">
        <v>17</v>
      </c>
      <c r="B30" s="539" t="s">
        <v>68</v>
      </c>
      <c r="C30" s="540"/>
      <c r="D30" s="540"/>
      <c r="E30" s="540">
        <f t="array" ref="E30">SUM(IF(A30=KHN,TH))</f>
        <v>871742</v>
      </c>
      <c r="F30" s="540">
        <f t="array" ref="F30">SUM(IF(A30=KHC,TH))</f>
        <v>1908988</v>
      </c>
      <c r="G30" s="540">
        <f t="shared" si="9"/>
        <v>0</v>
      </c>
      <c r="H30" s="540">
        <f t="shared" si="10"/>
        <v>1037246</v>
      </c>
    </row>
    <row r="31" spans="1:8" s="157" customFormat="1" ht="17.25" customHeight="1">
      <c r="A31" s="543" t="s">
        <v>69</v>
      </c>
      <c r="B31" s="543" t="s">
        <v>70</v>
      </c>
      <c r="C31" s="544">
        <f t="shared" ref="C31:H31" si="11">SUM(C30:C30)</f>
        <v>0</v>
      </c>
      <c r="D31" s="544">
        <f t="shared" si="11"/>
        <v>0</v>
      </c>
      <c r="E31" s="544">
        <f t="shared" si="11"/>
        <v>871742</v>
      </c>
      <c r="F31" s="544">
        <f t="shared" si="11"/>
        <v>1908988</v>
      </c>
      <c r="G31" s="544">
        <f t="shared" si="11"/>
        <v>0</v>
      </c>
      <c r="H31" s="544">
        <f t="shared" si="11"/>
        <v>1037246</v>
      </c>
    </row>
    <row r="32" spans="1:8" s="157" customFormat="1" ht="17.25" customHeight="1">
      <c r="A32" s="539" t="s">
        <v>25</v>
      </c>
      <c r="B32" s="539" t="s">
        <v>71</v>
      </c>
      <c r="C32" s="540"/>
      <c r="D32" s="540"/>
      <c r="E32" s="540">
        <f t="array" ref="E32">SUM(IF(A32=KHN,TH))</f>
        <v>0</v>
      </c>
      <c r="F32" s="540">
        <f t="array" ref="F32">SUM(IF(A32=KHC,TH))</f>
        <v>2500000000</v>
      </c>
      <c r="G32" s="541">
        <f>MAX(C32+E32-D32-F32,0)</f>
        <v>0</v>
      </c>
      <c r="H32" s="541">
        <f>MAX(D32+F32-E32-C32,0)</f>
        <v>2500000000</v>
      </c>
    </row>
    <row r="33" spans="1:10" s="157" customFormat="1" ht="17.25" customHeight="1">
      <c r="A33" s="543" t="s">
        <v>72</v>
      </c>
      <c r="B33" s="543" t="s">
        <v>73</v>
      </c>
      <c r="C33" s="544">
        <v>0</v>
      </c>
      <c r="D33" s="544">
        <f>D32</f>
        <v>0</v>
      </c>
      <c r="E33" s="544">
        <f>E32</f>
        <v>0</v>
      </c>
      <c r="F33" s="544">
        <f>F32</f>
        <v>2500000000</v>
      </c>
      <c r="G33" s="544">
        <f>MAX(C33+E33-D33-F33,0)</f>
        <v>0</v>
      </c>
      <c r="H33" s="544">
        <f>MAX(D33+F33-E33-C33,0)</f>
        <v>2500000000</v>
      </c>
    </row>
    <row r="34" spans="1:10" s="157" customFormat="1" ht="17.25" customHeight="1">
      <c r="A34" s="538" t="s">
        <v>74</v>
      </c>
      <c r="B34" s="539" t="s">
        <v>75</v>
      </c>
      <c r="C34" s="540"/>
      <c r="D34" s="540"/>
      <c r="E34" s="540">
        <f t="array" ref="E34">SUM(IF(A34=KHN,TH))</f>
        <v>0</v>
      </c>
      <c r="F34" s="540">
        <f t="array" ref="F34">SUM(IF(A34=KHC,TH))</f>
        <v>0</v>
      </c>
      <c r="G34" s="541">
        <f>MAX(C34+E34-D34-F34,0)</f>
        <v>0</v>
      </c>
      <c r="H34" s="541">
        <f>MAX(D34+F34-E34-C34,0)</f>
        <v>0</v>
      </c>
    </row>
    <row r="35" spans="1:10" s="157" customFormat="1" ht="17.25" customHeight="1">
      <c r="A35" s="539" t="s">
        <v>76</v>
      </c>
      <c r="B35" s="539" t="s">
        <v>77</v>
      </c>
      <c r="C35" s="540"/>
      <c r="D35" s="540"/>
      <c r="E35" s="540">
        <f t="array" ref="E35">SUM(IF(A35=TH!$L$10:$L$329,TH!$K$10:$K$329))</f>
        <v>35917455</v>
      </c>
      <c r="F35" s="540">
        <f t="array" ref="F35">SUM(IF(A35=TH!$M$10:$M$329,TH!$K$10:$K$329))</f>
        <v>0</v>
      </c>
      <c r="G35" s="540">
        <f>MAX(C35+E35-D35-F35,0)</f>
        <v>35917455</v>
      </c>
      <c r="H35" s="540">
        <f>MAX(D35+F35-E35-C35,0)</f>
        <v>0</v>
      </c>
      <c r="J35" s="277"/>
    </row>
    <row r="36" spans="1:10" s="157" customFormat="1" ht="17.25" customHeight="1">
      <c r="A36" s="543" t="s">
        <v>78</v>
      </c>
      <c r="B36" s="543" t="s">
        <v>79</v>
      </c>
      <c r="C36" s="544">
        <f t="shared" ref="C36:H36" si="12">C35+C34</f>
        <v>0</v>
      </c>
      <c r="D36" s="544">
        <f t="shared" si="12"/>
        <v>0</v>
      </c>
      <c r="E36" s="544">
        <f t="shared" si="12"/>
        <v>35917455</v>
      </c>
      <c r="F36" s="544">
        <f t="shared" si="12"/>
        <v>0</v>
      </c>
      <c r="G36" s="544">
        <f t="shared" si="12"/>
        <v>35917455</v>
      </c>
      <c r="H36" s="544">
        <f t="shared" si="12"/>
        <v>0</v>
      </c>
    </row>
    <row r="37" spans="1:10" s="157" customFormat="1" ht="17.25" customHeight="1">
      <c r="A37" s="538" t="s">
        <v>344</v>
      </c>
      <c r="B37" s="539" t="s">
        <v>345</v>
      </c>
      <c r="C37" s="541"/>
      <c r="D37" s="541"/>
      <c r="E37" s="541">
        <f t="array" ref="E37">SUM(IF(A37=KHN,TH))</f>
        <v>0</v>
      </c>
      <c r="F37" s="541">
        <f t="array" ref="F37">SUM(IF(A37=KHC,TH))</f>
        <v>0</v>
      </c>
      <c r="G37" s="541"/>
      <c r="H37" s="541"/>
      <c r="I37" s="157">
        <f>E37-F37</f>
        <v>0</v>
      </c>
    </row>
    <row r="38" spans="1:10" s="157" customFormat="1" ht="17.25" customHeight="1">
      <c r="A38" s="538" t="s">
        <v>164</v>
      </c>
      <c r="B38" s="539" t="s">
        <v>346</v>
      </c>
      <c r="C38" s="540"/>
      <c r="D38" s="540"/>
      <c r="E38" s="540">
        <f t="array" ref="E38">SUM(IF(A38=KHN,TH))</f>
        <v>245490958</v>
      </c>
      <c r="F38" s="540">
        <f t="array" ref="F38">SUM(IF(A38=KHC,TH))</f>
        <v>245490958</v>
      </c>
      <c r="G38" s="540"/>
      <c r="H38" s="540"/>
      <c r="I38" s="157">
        <f>E38-F38</f>
        <v>0</v>
      </c>
    </row>
    <row r="39" spans="1:10" s="157" customFormat="1" ht="17.25" customHeight="1">
      <c r="A39" s="543" t="s">
        <v>165</v>
      </c>
      <c r="B39" s="543" t="s">
        <v>166</v>
      </c>
      <c r="C39" s="544">
        <f>C37+C38</f>
        <v>0</v>
      </c>
      <c r="D39" s="544">
        <f t="shared" ref="D39:H39" si="13">D37+D38</f>
        <v>0</v>
      </c>
      <c r="E39" s="544">
        <f t="shared" si="13"/>
        <v>245490958</v>
      </c>
      <c r="F39" s="544">
        <f t="shared" si="13"/>
        <v>245490958</v>
      </c>
      <c r="G39" s="544">
        <f t="shared" si="13"/>
        <v>0</v>
      </c>
      <c r="H39" s="544">
        <f t="shared" si="13"/>
        <v>0</v>
      </c>
      <c r="I39" s="157">
        <f>E39-F39</f>
        <v>0</v>
      </c>
    </row>
    <row r="40" spans="1:10" s="157" customFormat="1" ht="17.25" customHeight="1">
      <c r="A40" s="543" t="s">
        <v>40</v>
      </c>
      <c r="B40" s="543" t="s">
        <v>80</v>
      </c>
      <c r="C40" s="544"/>
      <c r="D40" s="544"/>
      <c r="E40" s="545">
        <f t="array" ref="E40">SUM(IF(A40=KHN,TH))</f>
        <v>54361</v>
      </c>
      <c r="F40" s="545">
        <f t="array" ref="F40">SUM(IF(A40=KHC,TH))</f>
        <v>54361</v>
      </c>
      <c r="G40" s="544"/>
      <c r="H40" s="544"/>
      <c r="I40" s="157">
        <f t="shared" ref="I40:I48" si="14">E40-F40</f>
        <v>0</v>
      </c>
    </row>
    <row r="41" spans="1:10" s="157" customFormat="1" ht="17.25" customHeight="1">
      <c r="A41" s="543" t="s">
        <v>162</v>
      </c>
      <c r="B41" s="543" t="s">
        <v>163</v>
      </c>
      <c r="C41" s="544"/>
      <c r="D41" s="544"/>
      <c r="E41" s="545">
        <f t="array" ref="E41">SUM(IF(A41=KHN,TH))</f>
        <v>215979406</v>
      </c>
      <c r="F41" s="545">
        <f t="array" ref="F41">SUM(IF(A41=KHC,TH))</f>
        <v>215979406</v>
      </c>
      <c r="G41" s="544"/>
      <c r="H41" s="544"/>
      <c r="I41" s="157">
        <f t="shared" si="14"/>
        <v>0</v>
      </c>
    </row>
    <row r="42" spans="1:10" s="157" customFormat="1" ht="17.25" customHeight="1">
      <c r="A42" s="543" t="s">
        <v>81</v>
      </c>
      <c r="B42" s="543" t="s">
        <v>82</v>
      </c>
      <c r="C42" s="544"/>
      <c r="D42" s="544"/>
      <c r="E42" s="545">
        <f t="array" ref="E42">SUM(IF(A42=KHN,TH))</f>
        <v>0</v>
      </c>
      <c r="F42" s="545">
        <f t="array" ref="F42">SUM(IF(A42=KHC,TH))</f>
        <v>0</v>
      </c>
      <c r="G42" s="544"/>
      <c r="H42" s="544"/>
      <c r="I42" s="157">
        <f t="shared" si="14"/>
        <v>0</v>
      </c>
    </row>
    <row r="43" spans="1:10" s="157" customFormat="1" ht="17.25" customHeight="1">
      <c r="A43" s="546" t="s">
        <v>253</v>
      </c>
      <c r="B43" s="543" t="s">
        <v>268</v>
      </c>
      <c r="C43" s="544"/>
      <c r="D43" s="544"/>
      <c r="E43" s="545">
        <f t="array" ref="E43">SUM(IF(A43=KHN,TH))</f>
        <v>0</v>
      </c>
      <c r="F43" s="545">
        <f t="array" ref="F43">SUM(IF(A43=KHC,TH))</f>
        <v>0</v>
      </c>
      <c r="G43" s="544"/>
      <c r="H43" s="544"/>
      <c r="I43" s="157">
        <f>E43-F43</f>
        <v>0</v>
      </c>
    </row>
    <row r="44" spans="1:10" s="157" customFormat="1" ht="17.25" customHeight="1">
      <c r="A44" s="543" t="s">
        <v>83</v>
      </c>
      <c r="B44" s="543" t="s">
        <v>84</v>
      </c>
      <c r="C44" s="544"/>
      <c r="D44" s="544"/>
      <c r="E44" s="545">
        <f t="array" ref="E44">SUM(IF(A44=KHN,TH))</f>
        <v>65483368</v>
      </c>
      <c r="F44" s="545">
        <f t="array" ref="F44">SUM(IF(A44=KHC,TH))</f>
        <v>65483368</v>
      </c>
      <c r="G44" s="544"/>
      <c r="H44" s="544"/>
      <c r="I44" s="157">
        <f t="shared" si="14"/>
        <v>0</v>
      </c>
    </row>
    <row r="45" spans="1:10" s="157" customFormat="1" ht="17.25" customHeight="1">
      <c r="A45" s="546" t="s">
        <v>85</v>
      </c>
      <c r="B45" s="543" t="s">
        <v>86</v>
      </c>
      <c r="C45" s="544"/>
      <c r="D45" s="544"/>
      <c r="E45" s="545">
        <f t="array" ref="E45">SUM(IF(A45=KHN,TH))</f>
        <v>0</v>
      </c>
      <c r="F45" s="545">
        <f t="array" ref="F45">SUM(IF(A45=KHC,TH))</f>
        <v>0</v>
      </c>
      <c r="G45" s="544"/>
      <c r="H45" s="544"/>
      <c r="I45" s="157">
        <f t="shared" si="14"/>
        <v>0</v>
      </c>
    </row>
    <row r="46" spans="1:10" s="157" customFormat="1" ht="17.25" customHeight="1">
      <c r="A46" s="543" t="s">
        <v>87</v>
      </c>
      <c r="B46" s="543" t="s">
        <v>88</v>
      </c>
      <c r="C46" s="544"/>
      <c r="D46" s="544"/>
      <c r="E46" s="545">
        <f t="array" ref="E46">SUM(IF(A46=KHN,TH))</f>
        <v>0</v>
      </c>
      <c r="F46" s="545">
        <f t="array" ref="F46">SUM(IF(A46=KHC,TH))</f>
        <v>0</v>
      </c>
      <c r="G46" s="544"/>
      <c r="H46" s="544"/>
      <c r="I46" s="157">
        <f t="shared" si="14"/>
        <v>0</v>
      </c>
    </row>
    <row r="47" spans="1:10" s="157" customFormat="1" ht="17.25" customHeight="1">
      <c r="A47" s="546" t="s">
        <v>89</v>
      </c>
      <c r="B47" s="543" t="s">
        <v>90</v>
      </c>
      <c r="C47" s="544"/>
      <c r="D47" s="544"/>
      <c r="E47" s="545">
        <f t="array" ref="E47">SUM(IF(A47=KHN,TH))</f>
        <v>0</v>
      </c>
      <c r="F47" s="545">
        <f t="array" ref="F47">SUM(IF(A47=KHC,TH))</f>
        <v>0</v>
      </c>
      <c r="G47" s="544"/>
      <c r="H47" s="544"/>
      <c r="I47" s="157">
        <f t="shared" si="14"/>
        <v>0</v>
      </c>
    </row>
    <row r="48" spans="1:10" s="157" customFormat="1" ht="17.25" customHeight="1">
      <c r="A48" s="543" t="s">
        <v>91</v>
      </c>
      <c r="B48" s="543" t="s">
        <v>92</v>
      </c>
      <c r="C48" s="544"/>
      <c r="D48" s="544"/>
      <c r="E48" s="550">
        <f t="array" ref="E48">SUM(IF(A48=KHN,TH))</f>
        <v>281462774</v>
      </c>
      <c r="F48" s="550">
        <f t="array" ref="F48">SUM(IF(A48=TH!$M$10:$M$329,TH!$K$10:$K$329))</f>
        <v>281462774</v>
      </c>
      <c r="G48" s="544"/>
      <c r="H48" s="544"/>
      <c r="I48" s="157">
        <f t="shared" si="14"/>
        <v>0</v>
      </c>
    </row>
    <row r="49" spans="1:8" s="157" customFormat="1" ht="17.25" customHeight="1">
      <c r="A49" s="923" t="s">
        <v>39</v>
      </c>
      <c r="B49" s="924"/>
      <c r="C49" s="551">
        <f>C11+C13+C14+C16+C18+C19+C20+C21+C27+C29+C31+C33+C36+C40+C39+C41+C42+C43+C44+C45+C46+C47+C48</f>
        <v>0</v>
      </c>
      <c r="D49" s="551">
        <f t="shared" ref="D49:H49" si="15">D11+D13+D14+D16+D18+D19+D20+D21+D27+D29+D31+D33+D36+D40+D39+D41+D42+D43+D44+D45+D46+D47+D48</f>
        <v>0</v>
      </c>
      <c r="E49" s="551">
        <f t="shared" si="15"/>
        <v>4881678507</v>
      </c>
      <c r="F49" s="551">
        <f t="shared" si="15"/>
        <v>4881678507</v>
      </c>
      <c r="G49" s="551">
        <f t="shared" si="15"/>
        <v>2501037246</v>
      </c>
      <c r="H49" s="551">
        <f t="shared" si="15"/>
        <v>2501037246</v>
      </c>
    </row>
    <row r="50" spans="1:8">
      <c r="E50" s="552"/>
      <c r="F50" s="553"/>
    </row>
    <row r="51" spans="1:8">
      <c r="E51" s="553"/>
      <c r="F51" s="553">
        <f>E49-F49</f>
        <v>0</v>
      </c>
      <c r="H51" s="553">
        <f>G49-H49</f>
        <v>0</v>
      </c>
    </row>
    <row r="52" spans="1:8">
      <c r="E52" s="554"/>
      <c r="F52" s="554"/>
    </row>
    <row r="53" spans="1:8">
      <c r="E53" s="554"/>
      <c r="F53" s="554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24" right="0.1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331"/>
  <sheetViews>
    <sheetView topLeftCell="A7" zoomScaleNormal="100" workbookViewId="0">
      <pane ySplit="3" topLeftCell="A295" activePane="bottomLeft" state="frozen"/>
      <selection activeCell="A7" sqref="A7"/>
      <selection pane="bottomLeft" activeCell="D300" sqref="D300"/>
    </sheetView>
  </sheetViews>
  <sheetFormatPr defaultRowHeight="12.75"/>
  <cols>
    <col min="1" max="1" width="4.5703125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199" customFormat="1" ht="15">
      <c r="A1" s="1" t="s">
        <v>338</v>
      </c>
      <c r="B1" s="31"/>
      <c r="C1" s="31"/>
      <c r="D1" s="32"/>
      <c r="E1" s="32"/>
      <c r="F1" s="33"/>
      <c r="G1" s="721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199" customFormat="1" ht="15">
      <c r="A2" s="1" t="s">
        <v>337</v>
      </c>
      <c r="B2" s="31"/>
      <c r="C2" s="31"/>
      <c r="D2" s="32"/>
      <c r="E2" s="32"/>
      <c r="F2" s="32"/>
      <c r="G2" s="721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199" customFormat="1">
      <c r="A3" s="194"/>
      <c r="B3" s="32"/>
      <c r="C3" s="32"/>
      <c r="D3" s="32"/>
      <c r="E3" s="32"/>
      <c r="F3" s="32"/>
      <c r="G3" s="721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199" customFormat="1" ht="22.5">
      <c r="A4" s="194"/>
      <c r="B4" s="40"/>
      <c r="C4" s="928" t="s">
        <v>93</v>
      </c>
      <c r="D4" s="928"/>
      <c r="E4" s="928"/>
      <c r="F4" s="928"/>
      <c r="G4" s="928"/>
      <c r="H4" s="928"/>
      <c r="I4" s="928"/>
      <c r="J4" s="928"/>
      <c r="K4" s="928"/>
      <c r="L4" s="928"/>
      <c r="M4" s="928"/>
    </row>
    <row r="5" spans="1:27" s="199" customFormat="1" ht="14.25">
      <c r="A5" s="194"/>
      <c r="B5" s="40"/>
      <c r="C5" s="929"/>
      <c r="D5" s="929"/>
      <c r="E5" s="929"/>
      <c r="F5" s="929"/>
      <c r="G5" s="929"/>
      <c r="H5" s="929"/>
      <c r="I5" s="929"/>
      <c r="J5" s="929"/>
      <c r="K5" s="929"/>
      <c r="L5" s="929"/>
      <c r="M5" s="929"/>
    </row>
    <row r="6" spans="1:27" s="199" customFormat="1">
      <c r="A6" s="194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199" customFormat="1" ht="24.75" customHeight="1">
      <c r="A7" s="944" t="s">
        <v>117</v>
      </c>
      <c r="B7" s="936" t="s">
        <v>101</v>
      </c>
      <c r="C7" s="930" t="s">
        <v>20</v>
      </c>
      <c r="D7" s="932" t="s">
        <v>1</v>
      </c>
      <c r="E7" s="933"/>
      <c r="F7" s="930" t="s">
        <v>0</v>
      </c>
      <c r="G7" s="936" t="s">
        <v>116</v>
      </c>
      <c r="H7" s="946" t="s">
        <v>44</v>
      </c>
      <c r="I7" s="952" t="s">
        <v>251</v>
      </c>
      <c r="J7" s="953"/>
      <c r="K7" s="930" t="s">
        <v>157</v>
      </c>
      <c r="L7" s="934" t="s">
        <v>94</v>
      </c>
      <c r="M7" s="935"/>
      <c r="N7" s="950" t="s">
        <v>326</v>
      </c>
      <c r="O7" s="938" t="s">
        <v>47</v>
      </c>
      <c r="P7" s="939"/>
      <c r="Q7" s="940"/>
      <c r="R7" s="938" t="s">
        <v>51</v>
      </c>
      <c r="S7" s="939"/>
      <c r="T7" s="940"/>
      <c r="U7" s="950" t="s">
        <v>325</v>
      </c>
      <c r="V7" s="948" t="str">
        <f>CTTK!$E$7</f>
        <v>3388</v>
      </c>
      <c r="W7" s="927" t="s">
        <v>159</v>
      </c>
      <c r="X7" s="927"/>
      <c r="Y7" s="927"/>
      <c r="Z7" s="927" t="s">
        <v>285</v>
      </c>
      <c r="AA7" s="687"/>
    </row>
    <row r="8" spans="1:27" s="199" customFormat="1" ht="24.75" customHeight="1">
      <c r="A8" s="945"/>
      <c r="B8" s="937"/>
      <c r="C8" s="931"/>
      <c r="D8" s="719" t="s">
        <v>15</v>
      </c>
      <c r="E8" s="718" t="s">
        <v>32</v>
      </c>
      <c r="F8" s="931"/>
      <c r="G8" s="937"/>
      <c r="H8" s="947"/>
      <c r="I8" s="717" t="s">
        <v>191</v>
      </c>
      <c r="J8" s="717" t="s">
        <v>192</v>
      </c>
      <c r="K8" s="931"/>
      <c r="L8" s="720" t="s">
        <v>22</v>
      </c>
      <c r="M8" s="720" t="s">
        <v>23</v>
      </c>
      <c r="N8" s="951"/>
      <c r="O8" s="941"/>
      <c r="P8" s="942"/>
      <c r="Q8" s="943"/>
      <c r="R8" s="941"/>
      <c r="S8" s="942"/>
      <c r="T8" s="943"/>
      <c r="U8" s="951"/>
      <c r="V8" s="949"/>
      <c r="W8" s="927"/>
      <c r="X8" s="927"/>
      <c r="Y8" s="927"/>
      <c r="Z8" s="927"/>
      <c r="AA8" s="687"/>
    </row>
    <row r="9" spans="1:27" s="199" customFormat="1">
      <c r="A9" s="195">
        <v>1</v>
      </c>
      <c r="B9" s="196">
        <v>2</v>
      </c>
      <c r="C9" s="195">
        <v>3</v>
      </c>
      <c r="D9" s="196">
        <v>4</v>
      </c>
      <c r="E9" s="195">
        <v>5</v>
      </c>
      <c r="F9" s="196">
        <v>6</v>
      </c>
      <c r="G9" s="195">
        <v>7</v>
      </c>
      <c r="H9" s="196">
        <v>8</v>
      </c>
      <c r="I9" s="195">
        <v>9</v>
      </c>
      <c r="J9" s="196">
        <v>10</v>
      </c>
      <c r="K9" s="195">
        <v>11</v>
      </c>
      <c r="L9" s="196">
        <v>12</v>
      </c>
      <c r="M9" s="195">
        <v>13</v>
      </c>
      <c r="N9" s="196">
        <v>16</v>
      </c>
      <c r="O9" s="197">
        <v>17</v>
      </c>
      <c r="P9" s="196">
        <v>18</v>
      </c>
      <c r="Q9" s="197">
        <v>19</v>
      </c>
      <c r="R9" s="196">
        <v>20</v>
      </c>
      <c r="S9" s="196"/>
      <c r="T9" s="196"/>
      <c r="U9" s="196">
        <v>26</v>
      </c>
      <c r="V9" s="197">
        <v>27</v>
      </c>
      <c r="W9" s="196">
        <v>19</v>
      </c>
      <c r="X9" s="196">
        <v>20</v>
      </c>
      <c r="Y9" s="196"/>
      <c r="Z9" s="196">
        <v>21</v>
      </c>
      <c r="AA9" s="688"/>
    </row>
    <row r="10" spans="1:27" s="590" customFormat="1" ht="15.75" customHeight="1">
      <c r="A10" s="716" t="str">
        <f>IF(B10&lt;&gt;"",IF(AND(B10&gt;=_TM1,B10&lt;=_TM2,OR(TH!L10="1111",TH!M10="1111")),TH!D10,""),"")</f>
        <v/>
      </c>
      <c r="B10" s="589">
        <f t="shared" ref="B10:B22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722"/>
      <c r="H10" s="47"/>
      <c r="I10" s="241"/>
      <c r="J10" s="241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49" t="str">
        <f>IF(OR(TH!L10=TH!$V$7,M10=TH!$V$7),"x","")</f>
        <v/>
      </c>
      <c r="W10" s="49" t="str">
        <f>IF(AND(B10&gt;='IN-NX'!$P$3,B10&lt;='IN-NX'!$Q$3,'IN-NX'!$D$7=D10,OR(LEFT(L10,2)="15",AND(LEFT(M10,2)&lt;&gt;"15",LEFT(M10,2)&lt;&gt;"33"))),"x","")</f>
        <v/>
      </c>
      <c r="X10" s="49" t="str">
        <f>IF(AND(OR(LEFT(TH!L10,2)="15",LEFT(TH!M10,2)="15"),'152-CT'!$J$8=TH!F10),"x","")</f>
        <v/>
      </c>
      <c r="Y10" s="49" t="str">
        <f>IF(AND(OR(LEFT(TH!L10,2)="15",LEFT(TH!M10,2)="15"),TK!$E$7=TH!F10),"x","")</f>
        <v/>
      </c>
      <c r="Z10" s="49" t="str">
        <f>IF(AND(B10&lt;=NKC!$N$8,B10&gt;=NKC!$M$8),"x","")</f>
        <v/>
      </c>
      <c r="AA10" s="689"/>
    </row>
    <row r="11" spans="1:27" s="590" customFormat="1" ht="15.75" customHeight="1">
      <c r="A11" s="716" t="str">
        <f>IF(B11&lt;&gt;"",IF(AND(B11&gt;=_TM1,B11&lt;=_TM2,OR(TH!L11="1111",TH!M11="1111")),TH!D11,""),"")</f>
        <v/>
      </c>
      <c r="B11" s="589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722"/>
      <c r="H11" s="47"/>
      <c r="I11" s="241"/>
      <c r="J11" s="241"/>
      <c r="K11" s="48">
        <f>SUMIF(KHC,L11,TH)</f>
        <v>24549095</v>
      </c>
      <c r="L11" s="50" t="s">
        <v>296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49" t="str">
        <f>IF(OR(TH!L11=TH!$V$7,M11=TH!$V$7),"x","")</f>
        <v/>
      </c>
      <c r="W11" s="49" t="str">
        <f>IF(AND(B11&gt;='IN-NX'!$P$3,B11&lt;='IN-NX'!$Q$3,'IN-NX'!$D$7=D11,OR(LEFT(L11,2)="15",AND(LEFT(M11,2)&lt;&gt;"15",LEFT(M11,2)&lt;&gt;"33"))),"x","")</f>
        <v/>
      </c>
      <c r="X11" s="49" t="str">
        <f>IF(AND(OR(LEFT(TH!L11,2)="15",LEFT(TH!M11,2)="15"),'152-CT'!$J$8=TH!F11),"x","")</f>
        <v/>
      </c>
      <c r="Y11" s="49" t="str">
        <f>IF(AND(OR(LEFT(TH!L11,2)="15",LEFT(TH!M11,2)="15"),TK!$E$7=TH!F11),"x","")</f>
        <v/>
      </c>
      <c r="Z11" s="49" t="str">
        <f>IF(AND(B11&lt;=NKC!$N$8,B11&gt;=NKC!$M$8),"x","")</f>
        <v/>
      </c>
      <c r="AA11" s="689"/>
    </row>
    <row r="12" spans="1:27" s="590" customFormat="1" ht="15.75" customHeight="1">
      <c r="A12" s="716" t="str">
        <f>IF(B12&lt;&gt;"",IF(AND(B12&gt;=_TM1,B12&lt;=_TM2,OR(TH!L12="1111",TH!M12="1111")),TH!D12,""),"")</f>
        <v/>
      </c>
      <c r="B12" s="589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722"/>
      <c r="H12" s="47"/>
      <c r="I12" s="241"/>
      <c r="J12" s="241"/>
      <c r="K12" s="48">
        <f>SUMIF(KHN,M12,TH)</f>
        <v>215979406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49" t="str">
        <f>IF(OR(TH!L12=TH!$V$7,M12=TH!$V$7),"x","")</f>
        <v/>
      </c>
      <c r="W12" s="49" t="str">
        <f>IF(AND(B12&gt;='IN-NX'!$P$3,B12&lt;='IN-NX'!$Q$3,'IN-NX'!$D$7=D12,OR(LEFT(L12,2)="15",AND(LEFT(M12,2)&lt;&gt;"15",LEFT(M12,2)&lt;&gt;"33"))),"x","")</f>
        <v/>
      </c>
      <c r="X12" s="49" t="str">
        <f>IF(AND(OR(LEFT(TH!L12,2)="15",LEFT(TH!M12,2)="15"),'152-CT'!$J$8=TH!F12),"x","")</f>
        <v/>
      </c>
      <c r="Y12" s="49" t="str">
        <f>IF(AND(OR(LEFT(TH!L12,2)="15",LEFT(TH!M12,2)="15"),TK!$E$7=TH!F12),"x","")</f>
        <v/>
      </c>
      <c r="Z12" s="49" t="str">
        <f>IF(AND(B12&lt;=NKC!$N$8,B12&gt;=NKC!$M$8),"x","")</f>
        <v/>
      </c>
      <c r="AA12" s="689"/>
    </row>
    <row r="13" spans="1:27" s="590" customFormat="1" ht="15.75" customHeight="1">
      <c r="A13" s="716" t="str">
        <f>IF(B13&lt;&gt;"",IF(AND(B13&gt;=_TM1,B13&lt;=_TM2,OR(TH!L13="1111",TH!M13="1111")),TH!D13,""),"")</f>
        <v/>
      </c>
      <c r="B13" s="589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722"/>
      <c r="H13" s="51"/>
      <c r="I13" s="242"/>
      <c r="J13" s="242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49" t="str">
        <f>IF(OR(TH!L13=TH!$V$7,M13=TH!$V$7),"x","")</f>
        <v/>
      </c>
      <c r="W13" s="49" t="str">
        <f>IF(AND(B13&gt;='IN-NX'!$P$3,B13&lt;='IN-NX'!$Q$3,'IN-NX'!$D$7=D13,OR(LEFT(L13,2)="15",AND(LEFT(M13,2)&lt;&gt;"15",LEFT(M13,2)&lt;&gt;"33"))),"x","")</f>
        <v/>
      </c>
      <c r="X13" s="49" t="str">
        <f>IF(AND(OR(LEFT(TH!L13,2)="15",LEFT(TH!M13,2)="15"),'152-CT'!$J$8=TH!F13),"x","")</f>
        <v/>
      </c>
      <c r="Y13" s="49" t="str">
        <f>IF(AND(OR(LEFT(TH!L13,2)="15",LEFT(TH!M13,2)="15"),TK!$E$7=TH!F13),"x","")</f>
        <v/>
      </c>
      <c r="Z13" s="49" t="str">
        <f>IF(AND(B13&lt;=NKC!$N$8,B13&gt;=NKC!$M$8),"x","")</f>
        <v/>
      </c>
      <c r="AA13" s="689"/>
    </row>
    <row r="14" spans="1:27" s="590" customFormat="1" ht="15.75" customHeight="1">
      <c r="A14" s="716" t="str">
        <f>IF(B14&lt;&gt;"",IF(AND(B14&gt;=_TM1,B14&lt;=_TM2,OR(TH!L14="1111",TH!M14="1111")),TH!D14,""),"")</f>
        <v/>
      </c>
      <c r="B14" s="589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333</v>
      </c>
      <c r="G14" s="722"/>
      <c r="H14" s="47"/>
      <c r="I14" s="241"/>
      <c r="J14" s="241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49" t="str">
        <f>IF(OR(TH!L14=TH!$V$7,M14=TH!$V$7),"x","")</f>
        <v/>
      </c>
      <c r="W14" s="49" t="str">
        <f>IF(AND(B14&gt;='IN-NX'!$P$3,B14&lt;='IN-NX'!$Q$3,'IN-NX'!$D$7=D14,OR(LEFT(L14,2)="15",AND(LEFT(M14,2)&lt;&gt;"15",LEFT(M14,2)&lt;&gt;"33"))),"x","")</f>
        <v/>
      </c>
      <c r="X14" s="49" t="str">
        <f>IF(AND(OR(LEFT(TH!L14,2)="15",LEFT(TH!M14,2)="15"),'152-CT'!$J$8=TH!F14),"x","")</f>
        <v/>
      </c>
      <c r="Y14" s="49" t="str">
        <f>IF(AND(OR(LEFT(TH!L14,2)="15",LEFT(TH!M14,2)="15"),TK!$E$7=TH!F14),"x","")</f>
        <v/>
      </c>
      <c r="Z14" s="49" t="str">
        <f>IF(AND(B14&lt;=NKC!$N$8,B14&gt;=NKC!$M$8),"x","")</f>
        <v/>
      </c>
      <c r="AA14" s="689"/>
    </row>
    <row r="15" spans="1:27" s="590" customFormat="1" ht="15.75" customHeight="1">
      <c r="A15" s="716" t="str">
        <f>IF(B15&lt;&gt;"",IF(AND(B15&gt;=_TM1,B15&lt;=_TM2,OR(TH!L15="1111",TH!M15="1111")),TH!D15,""),"")</f>
        <v/>
      </c>
      <c r="B15" s="589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722"/>
      <c r="H15" s="47"/>
      <c r="I15" s="241"/>
      <c r="J15" s="241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49" t="str">
        <f>IF(OR(TH!L15=TH!$V$7,M15=TH!$V$7),"x","")</f>
        <v/>
      </c>
      <c r="W15" s="49" t="str">
        <f>IF(AND(B15&gt;='IN-NX'!$P$3,B15&lt;='IN-NX'!$Q$3,'IN-NX'!$D$7=D15,OR(LEFT(L15,2)="15",AND(LEFT(M15,2)&lt;&gt;"15",LEFT(M15,2)&lt;&gt;"33"))),"x","")</f>
        <v/>
      </c>
      <c r="X15" s="49" t="str">
        <f>IF(AND(OR(LEFT(TH!L15,2)="15",LEFT(TH!M15,2)="15"),'152-CT'!$J$8=TH!F15),"x","")</f>
        <v/>
      </c>
      <c r="Y15" s="49" t="str">
        <f>IF(AND(OR(LEFT(TH!L15,2)="15",LEFT(TH!M15,2)="15"),TK!$E$7=TH!F15),"x","")</f>
        <v/>
      </c>
      <c r="Z15" s="49" t="str">
        <f>IF(AND(B15&lt;=NKC!$N$8,B15&gt;=NKC!$M$8),"x","")</f>
        <v/>
      </c>
      <c r="AA15" s="689"/>
    </row>
    <row r="16" spans="1:27" s="590" customFormat="1" ht="15.75" customHeight="1">
      <c r="A16" s="716" t="str">
        <f>IF(B16&lt;&gt;"",IF(AND(B16&gt;=_TM1,B16&lt;=_TM2,OR(TH!L16="1111",TH!M16="1111")),TH!D16,""),"")</f>
        <v/>
      </c>
      <c r="B16" s="589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722"/>
      <c r="H16" s="47"/>
      <c r="I16" s="241"/>
      <c r="J16" s="241"/>
      <c r="K16" s="48">
        <f>SUMIF(KHN,M16,TH)</f>
        <v>65483368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49" t="str">
        <f>IF(OR(TH!L16=TH!$V$7,M16=TH!$V$7),"x","")</f>
        <v/>
      </c>
      <c r="W16" s="49" t="str">
        <f>IF(AND(B16&gt;='IN-NX'!$P$3,B16&lt;='IN-NX'!$Q$3,'IN-NX'!$D$7=D16,OR(LEFT(L16,2)="15",AND(LEFT(M16,2)&lt;&gt;"15",LEFT(M16,2)&lt;&gt;"33"))),"x","")</f>
        <v/>
      </c>
      <c r="X16" s="49" t="str">
        <f>IF(AND(OR(LEFT(TH!L16,2)="15",LEFT(TH!M16,2)="15"),'152-CT'!$J$8=TH!F16),"x","")</f>
        <v/>
      </c>
      <c r="Y16" s="49" t="str">
        <f>IF(AND(OR(LEFT(TH!L16,2)="15",LEFT(TH!M16,2)="15"),TK!$E$7=TH!F16),"x","")</f>
        <v/>
      </c>
      <c r="Z16" s="49" t="str">
        <f>IF(AND(B16&lt;=NKC!$N$8,B16&gt;=NKC!$M$8),"x","")</f>
        <v/>
      </c>
      <c r="AA16" s="689"/>
    </row>
    <row r="17" spans="1:30" s="590" customFormat="1" ht="15.75" customHeight="1">
      <c r="A17" s="716" t="str">
        <f>IF(B17&lt;&gt;"",IF(AND(B17&gt;=_TM1,B17&lt;=_TM2,OR(TH!L17="1111",TH!M17="1111")),TH!D17,""),"")</f>
        <v/>
      </c>
      <c r="B17" s="589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722"/>
      <c r="H17" s="47"/>
      <c r="I17" s="241"/>
      <c r="J17" s="241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49" t="str">
        <f>IF(OR(TH!L17=TH!$V$7,M17=TH!$V$7),"x","")</f>
        <v/>
      </c>
      <c r="W17" s="49" t="str">
        <f>IF(AND(B17&gt;='IN-NX'!$P$3,B17&lt;='IN-NX'!$Q$3,'IN-NX'!$D$7=D17,OR(LEFT(L17,2)="15",AND(LEFT(M17,2)&lt;&gt;"15",LEFT(M17,2)&lt;&gt;"33"))),"x","")</f>
        <v/>
      </c>
      <c r="X17" s="49" t="str">
        <f>IF(AND(OR(LEFT(TH!L17,2)="15",LEFT(TH!M17,2)="15"),'152-CT'!$J$8=TH!F17),"x","")</f>
        <v/>
      </c>
      <c r="Y17" s="49" t="str">
        <f>IF(AND(OR(LEFT(TH!L17,2)="15",LEFT(TH!M17,2)="15"),TK!$E$7=TH!F17),"x","")</f>
        <v/>
      </c>
      <c r="Z17" s="49" t="str">
        <f>IF(AND(B17&lt;=NKC!$N$8,B17&gt;=NKC!$M$8),"x","")</f>
        <v/>
      </c>
      <c r="AA17" s="689"/>
    </row>
    <row r="18" spans="1:30" s="590" customFormat="1" ht="15.75" customHeight="1">
      <c r="A18" s="716" t="str">
        <f>IF(B18&lt;&gt;"",IF(AND(B18&gt;=_TM1,B18&lt;=_TM2,OR(TH!L18="1111",TH!M18="1111")),TH!D18,""),"")</f>
        <v/>
      </c>
      <c r="B18" s="589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348</v>
      </c>
      <c r="G18" s="722"/>
      <c r="H18" s="47"/>
      <c r="I18" s="241"/>
      <c r="J18" s="241"/>
      <c r="K18" s="48">
        <f>SUMIF(KHC,L18,TH)</f>
        <v>0</v>
      </c>
      <c r="L18" s="49" t="s">
        <v>344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49" t="str">
        <f>IF(OR(TH!L18=TH!$V$7,M18=TH!$V$7),"x","")</f>
        <v/>
      </c>
      <c r="W18" s="49" t="str">
        <f>IF(AND(B18&gt;='IN-NX'!$P$3,B18&lt;='IN-NX'!$Q$3,'IN-NX'!$D$7=D18,OR(LEFT(L18,2)="15",AND(LEFT(M18,2)&lt;&gt;"15",LEFT(M18,2)&lt;&gt;"33"))),"x","")</f>
        <v/>
      </c>
      <c r="X18" s="49" t="str">
        <f>IF(AND(OR(LEFT(TH!L18,2)="15",LEFT(TH!M18,2)="15"),'152-CT'!$J$8=TH!F18),"x","")</f>
        <v/>
      </c>
      <c r="Y18" s="49" t="str">
        <f>IF(AND(OR(LEFT(TH!L18,2)="15",LEFT(TH!M18,2)="15"),TK!$E$7=TH!F18),"x","")</f>
        <v/>
      </c>
      <c r="Z18" s="49" t="str">
        <f>IF(AND(B18&lt;=NKC!$N$8,B18&gt;=NKC!$M$8),"x","")</f>
        <v/>
      </c>
      <c r="AA18" s="689"/>
    </row>
    <row r="19" spans="1:30" s="590" customFormat="1" ht="15.75" customHeight="1">
      <c r="A19" s="716" t="str">
        <f>IF(B19&lt;&gt;"",IF(AND(B19&gt;=_TM1,B19&lt;=_TM2,OR(TH!L19="1111",TH!M19="1111")),TH!D19,""),"")</f>
        <v/>
      </c>
      <c r="B19" s="589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349</v>
      </c>
      <c r="G19" s="722"/>
      <c r="H19" s="47"/>
      <c r="I19" s="241"/>
      <c r="J19" s="241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49" t="str">
        <f>IF(OR(TH!L19=TH!$V$7,M19=TH!$V$7),"x","")</f>
        <v/>
      </c>
      <c r="W19" s="49" t="str">
        <f>IF(AND(B19&gt;='IN-NX'!$P$3,B19&lt;='IN-NX'!$Q$3,'IN-NX'!$D$7=D19,OR(LEFT(L19,2)="15",AND(LEFT(M19,2)&lt;&gt;"15",LEFT(M19,2)&lt;&gt;"33"))),"x","")</f>
        <v/>
      </c>
      <c r="X19" s="49" t="str">
        <f>IF(AND(OR(LEFT(TH!L19,2)="15",LEFT(TH!M19,2)="15"),'152-CT'!$J$8=TH!F19),"x","")</f>
        <v/>
      </c>
      <c r="Y19" s="49" t="str">
        <f>IF(AND(OR(LEFT(TH!L19,2)="15",LEFT(TH!M19,2)="15"),TK!$E$7=TH!F19),"x","")</f>
        <v/>
      </c>
      <c r="Z19" s="49" t="str">
        <f>IF(AND(B19&lt;=NKC!$N$8,B19&gt;=NKC!$M$8),"x","")</f>
        <v/>
      </c>
      <c r="AA19" s="689"/>
    </row>
    <row r="20" spans="1:30" s="590" customFormat="1" ht="15.75" customHeight="1">
      <c r="A20" s="716" t="str">
        <f>IF(B20&lt;&gt;"",IF(AND(B20&gt;=_TM1,B20&lt;=_TM2,OR(TH!L20="1111",TH!M20="1111")),TH!D20,""),"")</f>
        <v/>
      </c>
      <c r="B20" s="589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722"/>
      <c r="H20" s="47"/>
      <c r="I20" s="241"/>
      <c r="J20" s="241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49" t="str">
        <f>IF(OR(TH!L20=TH!$V$7,M20=TH!$V$7),"x","")</f>
        <v/>
      </c>
      <c r="W20" s="49" t="str">
        <f>IF(AND(B20&gt;='IN-NX'!$P$3,B20&lt;='IN-NX'!$Q$3,'IN-NX'!$D$7=D20,OR(LEFT(L20,2)="15",AND(LEFT(M20,2)&lt;&gt;"15",LEFT(M20,2)&lt;&gt;"33"))),"x","")</f>
        <v/>
      </c>
      <c r="X20" s="49" t="str">
        <f>IF(AND(OR(LEFT(TH!L20,2)="15",LEFT(TH!M20,2)="15"),'152-CT'!$J$8=TH!F20),"x","")</f>
        <v/>
      </c>
      <c r="Y20" s="49" t="str">
        <f>IF(AND(OR(LEFT(TH!L20,2)="15",LEFT(TH!M20,2)="15"),TK!$E$7=TH!F20),"x","")</f>
        <v/>
      </c>
      <c r="Z20" s="49" t="str">
        <f>IF(AND(B20&lt;=NKC!$N$8,B20&gt;=NKC!$M$8),"x","")</f>
        <v/>
      </c>
      <c r="AA20" s="689"/>
    </row>
    <row r="21" spans="1:30" s="590" customFormat="1" ht="15.75" customHeight="1">
      <c r="A21" s="716" t="str">
        <f>IF(B21&lt;&gt;"",IF(AND(B21&gt;=_TM1,B21&lt;=_TM2,OR(TH!L21="1111",TH!M21="1111")),TH!D21,""),"")</f>
        <v/>
      </c>
      <c r="B21" s="589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722"/>
      <c r="H21" s="47"/>
      <c r="I21" s="241"/>
      <c r="J21" s="241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49" t="str">
        <f>IF(OR(TH!L21=TH!$V$7,M21=TH!$V$7),"x","")</f>
        <v/>
      </c>
      <c r="W21" s="49" t="str">
        <f>IF(AND(B21&gt;='IN-NX'!$P$3,B21&lt;='IN-NX'!$Q$3,'IN-NX'!$D$7=D21,OR(LEFT(L21,2)="15",AND(LEFT(M21,2)&lt;&gt;"15",LEFT(M21,2)&lt;&gt;"33"))),"x","")</f>
        <v/>
      </c>
      <c r="X21" s="49" t="str">
        <f>IF(AND(OR(LEFT(TH!L21,2)="15",LEFT(TH!M21,2)="15"),'152-CT'!$J$8=TH!F21),"x","")</f>
        <v/>
      </c>
      <c r="Y21" s="49" t="str">
        <f>IF(AND(OR(LEFT(TH!L21,2)="15",LEFT(TH!M21,2)="15"),TK!$E$7=TH!F21),"x","")</f>
        <v/>
      </c>
      <c r="Z21" s="49" t="str">
        <f>IF(AND(B21&lt;=NKC!$N$8,B21&gt;=NKC!$M$8),"x","")</f>
        <v/>
      </c>
      <c r="AA21" s="689"/>
    </row>
    <row r="22" spans="1:30" s="590" customFormat="1" ht="15.75" customHeight="1">
      <c r="A22" s="716" t="str">
        <f>IF(B22&lt;&gt;"",IF(AND(B22&gt;=_TM1,B22&lt;=_TM2,OR(TH!L22="1111",TH!M22="1111")),TH!D22,""),"")</f>
        <v/>
      </c>
      <c r="B22" s="589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777</v>
      </c>
      <c r="G22" s="722"/>
      <c r="H22" s="47"/>
      <c r="I22" s="241"/>
      <c r="J22" s="241"/>
      <c r="K22" s="48">
        <v>35917455</v>
      </c>
      <c r="L22" s="50" t="s">
        <v>76</v>
      </c>
      <c r="M22" s="49" t="s">
        <v>91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49" t="str">
        <f>IF(OR(TH!L22=TH!$V$7,M22=TH!$V$7),"x","")</f>
        <v/>
      </c>
      <c r="W22" s="49" t="str">
        <f>IF(AND(B22&gt;='IN-NX'!$P$3,B22&lt;='IN-NX'!$Q$3,'IN-NX'!$D$7=D22,OR(LEFT(L22,2)="15",AND(LEFT(M22,2)&lt;&gt;"15",LEFT(M22,2)&lt;&gt;"33"))),"x","")</f>
        <v/>
      </c>
      <c r="X22" s="49" t="str">
        <f>IF(AND(OR(LEFT(TH!L22,2)="15",LEFT(TH!M22,2)="15"),'152-CT'!$J$8=TH!F22),"x","")</f>
        <v/>
      </c>
      <c r="Y22" s="49" t="str">
        <f>IF(AND(OR(LEFT(TH!L22,2)="15",LEFT(TH!M22,2)="15"),TK!$E$7=TH!F22),"x","")</f>
        <v/>
      </c>
      <c r="Z22" s="49" t="str">
        <f>IF(AND(B22&lt;=NKC!$N$8,B22&gt;=NKC!$M$8),"x","")</f>
        <v/>
      </c>
      <c r="AA22" s="689"/>
    </row>
    <row r="23" spans="1:30" s="493" customFormat="1" ht="15.75" customHeight="1">
      <c r="A23" s="716" t="str">
        <f>IF(B23&lt;&gt;"",IF(AND(B23&gt;=_TM1,B23&lt;=_TM2,OR(TH!L23="1111",TH!M23="1111")),TH!D23,""),"")</f>
        <v/>
      </c>
      <c r="B23" s="36">
        <f t="shared" ref="B23:B86" si="5">IF(C23&lt;&gt;"",MONTH(C23),"")</f>
        <v>8</v>
      </c>
      <c r="C23" s="185">
        <f t="shared" ref="C23:C86" si="6">E23</f>
        <v>41122</v>
      </c>
      <c r="D23" s="185" t="s">
        <v>290</v>
      </c>
      <c r="E23" s="178">
        <v>41122</v>
      </c>
      <c r="F23" s="183" t="s">
        <v>408</v>
      </c>
      <c r="G23" s="723"/>
      <c r="H23" s="7" t="s">
        <v>604</v>
      </c>
      <c r="I23" s="243"/>
      <c r="J23" s="243"/>
      <c r="K23" s="37">
        <v>2500000000</v>
      </c>
      <c r="L23" s="188" t="s">
        <v>47</v>
      </c>
      <c r="M23" s="188" t="s">
        <v>25</v>
      </c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/>
      </c>
      <c r="P23" s="49" t="str">
        <f>IF(AND($L23=$O$7,$B23&lt;'111'!$N$11),"x","")</f>
        <v>x</v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49" t="str">
        <f>IF(OR(TH!L23=TH!$V$7,M23=TH!$V$7),"x","")</f>
        <v/>
      </c>
      <c r="W23" s="49" t="str">
        <f>IF(AND(B23&gt;='IN-NX'!$P$3,B23&lt;='IN-NX'!$Q$3,'IN-NX'!$D$7=D23,OR(LEFT(L23,2)="15",AND(LEFT(M23,2)&lt;&gt;"15",LEFT(M23,2)&lt;&gt;"33"))),"x","")</f>
        <v/>
      </c>
      <c r="X23" s="49" t="str">
        <f>IF(AND(OR(LEFT(TH!L23,2)="15",LEFT(TH!M23,2)="15"),'152-CT'!$J$8=TH!F23),"x","")</f>
        <v/>
      </c>
      <c r="Y23" s="49" t="str">
        <f>IF(AND(OR(LEFT(TH!L23,2)="15",LEFT(TH!M23,2)="15"),TK!$E$7=TH!F23),"x","")</f>
        <v/>
      </c>
      <c r="Z23" s="49" t="str">
        <f>IF(AND(B23&lt;=NKC!$N$8,B23&gt;=NKC!$M$8),"x","")</f>
        <v>x</v>
      </c>
      <c r="AA23" s="715"/>
      <c r="AC23" s="199"/>
      <c r="AD23" s="199"/>
    </row>
    <row r="24" spans="1:30" s="493" customFormat="1" ht="15.75" customHeight="1">
      <c r="A24" s="716" t="str">
        <f>IF(B24&lt;&gt;"",IF(AND(B24&gt;=_TM1,B24&lt;=_TM2,OR(TH!L24="1111",TH!M24="1111")),TH!D24,""),"")</f>
        <v/>
      </c>
      <c r="B24" s="36">
        <f t="shared" si="5"/>
        <v>8</v>
      </c>
      <c r="C24" s="185">
        <f t="shared" si="6"/>
        <v>41131</v>
      </c>
      <c r="D24" s="178" t="s">
        <v>458</v>
      </c>
      <c r="E24" s="178">
        <v>41131</v>
      </c>
      <c r="F24" s="183" t="s">
        <v>445</v>
      </c>
      <c r="G24" s="723" t="s">
        <v>351</v>
      </c>
      <c r="H24" s="7"/>
      <c r="I24" s="243"/>
      <c r="J24" s="243"/>
      <c r="K24" s="37">
        <v>1000000</v>
      </c>
      <c r="L24" s="188" t="s">
        <v>24</v>
      </c>
      <c r="M24" s="188" t="s">
        <v>47</v>
      </c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/>
      </c>
      <c r="P24" s="49" t="str">
        <f>IF(AND($L24=$O$7,$B24&lt;'111'!$N$11),"x","")</f>
        <v/>
      </c>
      <c r="Q24" s="49" t="str">
        <f>IF(AND($M24=$O$7,$B24&lt;'111'!$N$11),"x","")</f>
        <v>x</v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>x</v>
      </c>
      <c r="T24" s="49" t="str">
        <f>IF(ISERROR(FIND('112'!$M$9,G24,1)),"",IF((AND(RIGHT(G24,2)=RIGHT('112'!$M$9,2),B24&lt;'112'!$N$8,$M24='112'!$I$6)),"x",""))</f>
        <v/>
      </c>
      <c r="U24" s="4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49" t="str">
        <f>IF(OR(TH!L24=TH!$V$7,M24=TH!$V$7),"x","")</f>
        <v/>
      </c>
      <c r="W24" s="49" t="str">
        <f>IF(AND(B24&gt;='IN-NX'!$P$3,B24&lt;='IN-NX'!$Q$3,'IN-NX'!$D$7=D24,OR(LEFT(L24,2)="15",AND(LEFT(M24,2)&lt;&gt;"15",LEFT(M24,2)&lt;&gt;"33"))),"x","")</f>
        <v/>
      </c>
      <c r="X24" s="49" t="str">
        <f>IF(AND(OR(LEFT(TH!L24,2)="15",LEFT(TH!M24,2)="15"),'152-CT'!$J$8=TH!F24),"x","")</f>
        <v/>
      </c>
      <c r="Y24" s="49" t="str">
        <f>IF(AND(OR(LEFT(TH!L24,2)="15",LEFT(TH!M24,2)="15"),TK!$E$7=TH!F24),"x","")</f>
        <v/>
      </c>
      <c r="Z24" s="49" t="str">
        <f>IF(AND(B24&lt;=NKC!$N$8,B24&gt;=NKC!$M$8),"x","")</f>
        <v>x</v>
      </c>
      <c r="AA24" s="715"/>
      <c r="AC24" s="199"/>
    </row>
    <row r="25" spans="1:30" s="493" customFormat="1" ht="15.75" customHeight="1">
      <c r="A25" s="716" t="str">
        <f>IF(B25&lt;&gt;"",IF(AND(B25&gt;=_TM1,B25&lt;=_TM2,OR(TH!L25="1111",TH!M25="1111")),TH!D25,""),"")</f>
        <v/>
      </c>
      <c r="B25" s="36">
        <f t="shared" si="5"/>
        <v>8</v>
      </c>
      <c r="C25" s="185">
        <f t="shared" si="6"/>
        <v>41136</v>
      </c>
      <c r="D25" s="178" t="s">
        <v>459</v>
      </c>
      <c r="E25" s="178">
        <v>41136</v>
      </c>
      <c r="F25" s="186" t="s">
        <v>377</v>
      </c>
      <c r="G25" s="723" t="s">
        <v>376</v>
      </c>
      <c r="H25" s="7" t="s">
        <v>375</v>
      </c>
      <c r="I25" s="243">
        <v>100</v>
      </c>
      <c r="J25" s="243">
        <v>25800</v>
      </c>
      <c r="K25" s="37">
        <f>ROUND(I25*J25,0)</f>
        <v>2580000</v>
      </c>
      <c r="L25" s="188" t="s">
        <v>160</v>
      </c>
      <c r="M25" s="188" t="s">
        <v>47</v>
      </c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/>
      </c>
      <c r="P25" s="49" t="str">
        <f>IF(AND($L25=$O$7,$B25&lt;'111'!$N$11),"x","")</f>
        <v/>
      </c>
      <c r="Q25" s="49" t="str">
        <f>IF(AND($M25=$O$7,$B25&lt;'111'!$N$11),"x","")</f>
        <v>x</v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>154</v>
      </c>
      <c r="V25" s="49" t="str">
        <f>IF(OR(TH!L25=TH!$V$7,M25=TH!$V$7),"x","")</f>
        <v/>
      </c>
      <c r="W25" s="49" t="str">
        <f>IF(AND(B25&gt;='IN-NX'!$P$3,B25&lt;='IN-NX'!$Q$3,'IN-NX'!$D$7=D25,OR(LEFT(L25,2)="15",AND(LEFT(M25,2)&lt;&gt;"15",LEFT(M25,2)&lt;&gt;"33"))),"x","")</f>
        <v/>
      </c>
      <c r="X25" s="49" t="str">
        <f>IF(AND(OR(LEFT(TH!L25,2)="15",LEFT(TH!M25,2)="15"),'152-CT'!$J$8=TH!F25),"x","")</f>
        <v/>
      </c>
      <c r="Y25" s="49" t="str">
        <f>IF(AND(OR(LEFT(TH!L25,2)="15",LEFT(TH!M25,2)="15"),TK!$E$7=TH!F25),"x","")</f>
        <v/>
      </c>
      <c r="Z25" s="49" t="str">
        <f>IF(AND(B25&lt;=NKC!$N$8,B25&gt;=NKC!$M$8),"x","")</f>
        <v>x</v>
      </c>
      <c r="AA25" s="715"/>
      <c r="AC25" s="199"/>
      <c r="AD25" s="199"/>
    </row>
    <row r="26" spans="1:30" s="493" customFormat="1" ht="15.75" customHeight="1">
      <c r="A26" s="716" t="str">
        <f>IF(B26&lt;&gt;"",IF(AND(B26&gt;=_TM1,B26&lt;=_TM2,OR(TH!L26="1111",TH!M26="1111")),TH!D26,""),"")</f>
        <v/>
      </c>
      <c r="B26" s="36">
        <f t="shared" si="5"/>
        <v>8</v>
      </c>
      <c r="C26" s="185">
        <f t="shared" si="6"/>
        <v>41136</v>
      </c>
      <c r="D26" s="178" t="s">
        <v>459</v>
      </c>
      <c r="E26" s="178">
        <v>41136</v>
      </c>
      <c r="F26" s="186" t="s">
        <v>378</v>
      </c>
      <c r="G26" s="723" t="s">
        <v>376</v>
      </c>
      <c r="H26" s="7" t="s">
        <v>375</v>
      </c>
      <c r="I26" s="243"/>
      <c r="J26" s="243"/>
      <c r="K26" s="501">
        <v>258000</v>
      </c>
      <c r="L26" s="188" t="s">
        <v>9</v>
      </c>
      <c r="M26" s="188" t="s">
        <v>47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/>
      </c>
      <c r="P26" s="49" t="str">
        <f>IF(AND($L26=$O$7,$B26&lt;'111'!$N$11),"x","")</f>
        <v/>
      </c>
      <c r="Q26" s="49" t="str">
        <f>IF(AND($M26=$O$7,$B26&lt;'111'!$N$11),"x","")</f>
        <v>x</v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49" t="str">
        <f>IF(OR(TH!L26=TH!$V$7,M26=TH!$V$7),"x","")</f>
        <v/>
      </c>
      <c r="W26" s="49" t="str">
        <f>IF(AND(B26&gt;='IN-NX'!$P$3,B26&lt;='IN-NX'!$Q$3,'IN-NX'!$D$7=D26,OR(LEFT(L26,2)="15",AND(LEFT(M26,2)&lt;&gt;"15",LEFT(M26,2)&lt;&gt;"33"))),"x","")</f>
        <v/>
      </c>
      <c r="X26" s="49" t="str">
        <f>IF(AND(OR(LEFT(TH!L26,2)="15",LEFT(TH!M26,2)="15"),'152-CT'!$J$8=TH!F26),"x","")</f>
        <v/>
      </c>
      <c r="Y26" s="49" t="str">
        <f>IF(AND(OR(LEFT(TH!L26,2)="15",LEFT(TH!M26,2)="15"),TK!$E$7=TH!F26),"x","")</f>
        <v/>
      </c>
      <c r="Z26" s="49" t="str">
        <f>IF(AND(B26&lt;=NKC!$N$8,B26&gt;=NKC!$M$8),"x","")</f>
        <v>x</v>
      </c>
      <c r="AA26" s="715">
        <v>9</v>
      </c>
      <c r="AC26" s="199"/>
      <c r="AD26" s="199"/>
    </row>
    <row r="27" spans="1:30" s="493" customFormat="1" ht="15.75" customHeight="1">
      <c r="A27" s="716" t="str">
        <f>IF(B27&lt;&gt;"",IF(AND(B27&gt;=_TM1,B27&lt;=_TM2,OR(TH!L27="1111",TH!M27="1111")),TH!D27,""),"")</f>
        <v/>
      </c>
      <c r="B27" s="36">
        <f t="shared" si="5"/>
        <v>8</v>
      </c>
      <c r="C27" s="185">
        <f t="shared" si="6"/>
        <v>41142</v>
      </c>
      <c r="D27" s="178" t="s">
        <v>460</v>
      </c>
      <c r="E27" s="178">
        <v>41142</v>
      </c>
      <c r="F27" s="186" t="s">
        <v>360</v>
      </c>
      <c r="G27" s="723" t="s">
        <v>362</v>
      </c>
      <c r="H27" s="187" t="s">
        <v>359</v>
      </c>
      <c r="I27" s="243"/>
      <c r="J27" s="243"/>
      <c r="K27" s="501">
        <v>3400000</v>
      </c>
      <c r="L27" s="188" t="s">
        <v>83</v>
      </c>
      <c r="M27" s="188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/>
      </c>
      <c r="P27" s="49" t="str">
        <f>IF(AND($L27=$O$7,$B27&lt;'111'!$N$11),"x","")</f>
        <v/>
      </c>
      <c r="Q27" s="49" t="str">
        <f>IF(AND($M27=$O$7,$B27&lt;'111'!$N$11),"x","")</f>
        <v>x</v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/>
      </c>
      <c r="T27" s="49" t="str">
        <f>IF(ISERROR(FIND('112'!$M$9,G27,1)),"",IF((AND(RIGHT(G27,2)=RIGHT('112'!$M$9,2),B27&lt;'112'!$N$8,$M27='112'!$I$6)),"x",""))</f>
        <v/>
      </c>
      <c r="U27" s="4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>642</v>
      </c>
      <c r="V27" s="49" t="str">
        <f>IF(OR(TH!L27=TH!$V$7,M27=TH!$V$7),"x","")</f>
        <v/>
      </c>
      <c r="W27" s="49" t="str">
        <f>IF(AND(B27&gt;='IN-NX'!$P$3,B27&lt;='IN-NX'!$Q$3,'IN-NX'!$D$7=D27,OR(LEFT(L27,2)="15",AND(LEFT(M27,2)&lt;&gt;"15",LEFT(M27,2)&lt;&gt;"33"))),"x","")</f>
        <v/>
      </c>
      <c r="X27" s="49" t="str">
        <f>IF(AND(OR(LEFT(TH!L27,2)="15",LEFT(TH!M27,2)="15"),'152-CT'!$J$8=TH!F27),"x","")</f>
        <v/>
      </c>
      <c r="Y27" s="49" t="str">
        <f>IF(AND(OR(LEFT(TH!L27,2)="15",LEFT(TH!M27,2)="15"),TK!$E$7=TH!F27),"x","")</f>
        <v/>
      </c>
      <c r="Z27" s="49" t="str">
        <f>IF(AND(B27&lt;=NKC!$N$8,B27&gt;=NKC!$M$8),"x","")</f>
        <v>x</v>
      </c>
      <c r="AA27" s="715"/>
      <c r="AC27" s="199"/>
      <c r="AD27" s="199"/>
    </row>
    <row r="28" spans="1:30" s="493" customFormat="1" ht="15.75" customHeight="1">
      <c r="A28" s="716" t="str">
        <f>IF(B28&lt;&gt;"",IF(AND(B28&gt;=_TM1,B28&lt;=_TM2,OR(TH!L28="1111",TH!M28="1111")),TH!D28,""),"")</f>
        <v/>
      </c>
      <c r="B28" s="36">
        <f t="shared" si="5"/>
        <v>8</v>
      </c>
      <c r="C28" s="185">
        <f t="shared" si="6"/>
        <v>41142</v>
      </c>
      <c r="D28" s="178" t="s">
        <v>460</v>
      </c>
      <c r="E28" s="178">
        <v>41142</v>
      </c>
      <c r="F28" s="186" t="s">
        <v>361</v>
      </c>
      <c r="G28" s="723" t="s">
        <v>362</v>
      </c>
      <c r="H28" s="187" t="s">
        <v>359</v>
      </c>
      <c r="I28" s="243"/>
      <c r="J28" s="243"/>
      <c r="K28" s="37">
        <v>340000</v>
      </c>
      <c r="L28" s="188" t="s">
        <v>9</v>
      </c>
      <c r="M28" s="188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/>
      </c>
      <c r="P28" s="49" t="str">
        <f>IF(AND($L28=$O$7,$B28&lt;'111'!$N$11),"x","")</f>
        <v/>
      </c>
      <c r="Q28" s="49" t="str">
        <f>IF(AND($M28=$O$7,$B28&lt;'111'!$N$11),"x","")</f>
        <v>x</v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V28" s="49" t="str">
        <f>IF(OR(TH!L28=TH!$V$7,M28=TH!$V$7),"x","")</f>
        <v/>
      </c>
      <c r="W28" s="49" t="str">
        <f>IF(AND(B28&gt;='IN-NX'!$P$3,B28&lt;='IN-NX'!$Q$3,'IN-NX'!$D$7=D28,OR(LEFT(L28,2)="15",AND(LEFT(M28,2)&lt;&gt;"15",LEFT(M28,2)&lt;&gt;"33"))),"x","")</f>
        <v/>
      </c>
      <c r="X28" s="49" t="str">
        <f>IF(AND(OR(LEFT(TH!L28,2)="15",LEFT(TH!M28,2)="15"),'152-CT'!$J$8=TH!F28),"x","")</f>
        <v/>
      </c>
      <c r="Y28" s="49" t="str">
        <f>IF(AND(OR(LEFT(TH!L28,2)="15",LEFT(TH!M28,2)="15"),TK!$E$7=TH!F28),"x","")</f>
        <v/>
      </c>
      <c r="Z28" s="49" t="str">
        <f>IF(AND(B28&lt;=NKC!$N$8,B28&gt;=NKC!$M$8),"x","")</f>
        <v>x</v>
      </c>
      <c r="AA28" s="715">
        <v>9</v>
      </c>
      <c r="AC28" s="199"/>
      <c r="AD28" s="199"/>
    </row>
    <row r="29" spans="1:30" s="493" customFormat="1" ht="15.75" customHeight="1">
      <c r="A29" s="716" t="str">
        <f>IF(B29&lt;&gt;"",IF(AND(B29&gt;=_TM1,B29&lt;=_TM2,OR(TH!L29="1111",TH!M29="1111")),TH!D29,""),"")</f>
        <v/>
      </c>
      <c r="B29" s="36">
        <f t="shared" si="5"/>
        <v>8</v>
      </c>
      <c r="C29" s="185">
        <f t="shared" si="6"/>
        <v>41146</v>
      </c>
      <c r="D29" s="178" t="s">
        <v>456</v>
      </c>
      <c r="E29" s="178">
        <v>41146</v>
      </c>
      <c r="F29" s="183" t="s">
        <v>446</v>
      </c>
      <c r="G29" s="723" t="s">
        <v>351</v>
      </c>
      <c r="H29" s="187"/>
      <c r="I29" s="243"/>
      <c r="J29" s="243"/>
      <c r="K29" s="501">
        <v>11000</v>
      </c>
      <c r="L29" s="502" t="s">
        <v>83</v>
      </c>
      <c r="M29" s="502" t="s">
        <v>24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/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>x</v>
      </c>
      <c r="U29" s="4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>642</v>
      </c>
      <c r="V29" s="49" t="str">
        <f>IF(OR(TH!L29=TH!$V$7,M29=TH!$V$7),"x","")</f>
        <v/>
      </c>
      <c r="W29" s="49" t="str">
        <f>IF(AND(B29&gt;='IN-NX'!$P$3,B29&lt;='IN-NX'!$Q$3,'IN-NX'!$D$7=D29,OR(LEFT(L29,2)="15",AND(LEFT(M29,2)&lt;&gt;"15",LEFT(M29,2)&lt;&gt;"33"))),"x","")</f>
        <v/>
      </c>
      <c r="X29" s="49" t="str">
        <f>IF(AND(OR(LEFT(TH!L29,2)="15",LEFT(TH!M29,2)="15"),'152-CT'!$J$8=TH!F29),"x","")</f>
        <v/>
      </c>
      <c r="Y29" s="49" t="str">
        <f>IF(AND(OR(LEFT(TH!L29,2)="15",LEFT(TH!M29,2)="15"),TK!$E$7=TH!F29),"x","")</f>
        <v/>
      </c>
      <c r="Z29" s="49" t="str">
        <f>IF(AND(B29&lt;=NKC!$N$8,B29&gt;=NKC!$M$8),"x","")</f>
        <v>x</v>
      </c>
      <c r="AA29" s="715"/>
      <c r="AC29" s="199"/>
    </row>
    <row r="30" spans="1:30" s="493" customFormat="1" ht="15.75" customHeight="1">
      <c r="A30" s="716" t="str">
        <f>IF(B30&lt;&gt;"",IF(AND(B30&gt;=_TM1,B30&lt;=_TM2,OR(TH!L30="1111",TH!M30="1111")),TH!D30,""),"")</f>
        <v/>
      </c>
      <c r="B30" s="36">
        <f t="shared" si="5"/>
        <v>9</v>
      </c>
      <c r="C30" s="185">
        <f t="shared" si="6"/>
        <v>41153</v>
      </c>
      <c r="D30" s="185" t="s">
        <v>469</v>
      </c>
      <c r="E30" s="178">
        <v>41153</v>
      </c>
      <c r="F30" s="183" t="s">
        <v>366</v>
      </c>
      <c r="G30" s="723" t="s">
        <v>364</v>
      </c>
      <c r="H30" s="7" t="s">
        <v>363</v>
      </c>
      <c r="I30" s="243">
        <v>600</v>
      </c>
      <c r="J30" s="243">
        <v>11048</v>
      </c>
      <c r="K30" s="37">
        <f>ROUND(I30*J30,0)</f>
        <v>6628800</v>
      </c>
      <c r="L30" s="188" t="s">
        <v>352</v>
      </c>
      <c r="M30" s="188" t="s">
        <v>8</v>
      </c>
      <c r="N30" s="49" t="str">
        <f>IF(AND('331-CT'!$E$7=TH!H30,OR(L30="331",M30="331")),"331",IF(AND(OR(L30="131",M30="131"),H30='131-CT'!$E$7),"131",""))</f>
        <v>331</v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/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49" t="str">
        <f>IF(OR(TH!L30=TH!$V$7,M30=TH!$V$7),"x","")</f>
        <v/>
      </c>
      <c r="W30" s="49" t="str">
        <f>IF(AND(B30&gt;='IN-NX'!$P$3,B30&lt;='IN-NX'!$Q$3,'IN-NX'!$D$7=D30,OR(LEFT(L30,2)="15",AND(LEFT(M30,2)&lt;&gt;"15",LEFT(M30,2)&lt;&gt;"33"))),"x","")</f>
        <v/>
      </c>
      <c r="X30" s="49" t="str">
        <f>IF(AND(OR(LEFT(TH!L30,2)="15",LEFT(TH!M30,2)="15"),'152-CT'!$J$8=TH!F30),"x","")</f>
        <v/>
      </c>
      <c r="Y30" s="49" t="str">
        <f>IF(AND(OR(LEFT(TH!L30,2)="15",LEFT(TH!M30,2)="15"),TK!$E$7=TH!F30),"x","")</f>
        <v/>
      </c>
      <c r="Z30" s="49" t="str">
        <f>IF(AND(B30&lt;=NKC!$N$8,B30&gt;=NKC!$M$8),"x","")</f>
        <v>x</v>
      </c>
      <c r="AA30" s="715"/>
      <c r="AC30" s="199"/>
      <c r="AD30" s="199"/>
    </row>
    <row r="31" spans="1:30" s="493" customFormat="1" ht="15.75" customHeight="1">
      <c r="A31" s="716" t="str">
        <f>IF(B31&lt;&gt;"",IF(AND(B31&gt;=_TM1,B31&lt;=_TM2,OR(TH!L31="1111",TH!M31="1111")),TH!D31,""),"")</f>
        <v/>
      </c>
      <c r="B31" s="36">
        <f t="shared" si="5"/>
        <v>9</v>
      </c>
      <c r="C31" s="185">
        <f t="shared" si="6"/>
        <v>41153</v>
      </c>
      <c r="D31" s="185" t="s">
        <v>469</v>
      </c>
      <c r="E31" s="178">
        <v>41153</v>
      </c>
      <c r="F31" s="183" t="s">
        <v>367</v>
      </c>
      <c r="G31" s="723" t="s">
        <v>364</v>
      </c>
      <c r="H31" s="7" t="s">
        <v>363</v>
      </c>
      <c r="I31" s="243">
        <v>600</v>
      </c>
      <c r="J31" s="243">
        <v>10844</v>
      </c>
      <c r="K31" s="37">
        <f>ROUND(I31*J31,0)</f>
        <v>6506400</v>
      </c>
      <c r="L31" s="188" t="s">
        <v>352</v>
      </c>
      <c r="M31" s="188" t="s">
        <v>8</v>
      </c>
      <c r="N31" s="49" t="str">
        <f>IF(AND('331-CT'!$E$7=TH!H31,OR(L31="331",M31="331")),"331",IF(AND(OR(L31="131",M31="131"),H31='131-CT'!$E$7),"131",""))</f>
        <v>331</v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/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49" t="str">
        <f>IF(OR(TH!L31=TH!$V$7,M31=TH!$V$7),"x","")</f>
        <v/>
      </c>
      <c r="W31" s="49" t="str">
        <f>IF(AND(B31&gt;='IN-NX'!$P$3,B31&lt;='IN-NX'!$Q$3,'IN-NX'!$D$7=D31,OR(LEFT(L31,2)="15",AND(LEFT(M31,2)&lt;&gt;"15",LEFT(M31,2)&lt;&gt;"33"))),"x","")</f>
        <v/>
      </c>
      <c r="X31" s="49" t="str">
        <f>IF(AND(OR(LEFT(TH!L31,2)="15",LEFT(TH!M31,2)="15"),'152-CT'!$J$8=TH!F31),"x","")</f>
        <v/>
      </c>
      <c r="Y31" s="49" t="str">
        <f>IF(AND(OR(LEFT(TH!L31,2)="15",LEFT(TH!M31,2)="15"),TK!$E$7=TH!F31),"x","")</f>
        <v/>
      </c>
      <c r="Z31" s="49" t="str">
        <f>IF(AND(B31&lt;=NKC!$N$8,B31&gt;=NKC!$M$8),"x","")</f>
        <v>x</v>
      </c>
      <c r="AA31" s="715"/>
      <c r="AC31" s="199"/>
      <c r="AD31" s="199"/>
    </row>
    <row r="32" spans="1:30" s="493" customFormat="1" ht="15.75" customHeight="1">
      <c r="A32" s="716" t="str">
        <f>IF(B32&lt;&gt;"",IF(AND(B32&gt;=_TM1,B32&lt;=_TM2,OR(TH!L32="1111",TH!M32="1111")),TH!D32,""),"")</f>
        <v/>
      </c>
      <c r="B32" s="36">
        <f t="shared" si="5"/>
        <v>9</v>
      </c>
      <c r="C32" s="185">
        <f t="shared" si="6"/>
        <v>41153</v>
      </c>
      <c r="D32" s="185" t="s">
        <v>469</v>
      </c>
      <c r="E32" s="178">
        <v>41153</v>
      </c>
      <c r="F32" s="183" t="s">
        <v>365</v>
      </c>
      <c r="G32" s="723" t="s">
        <v>364</v>
      </c>
      <c r="H32" s="7" t="s">
        <v>363</v>
      </c>
      <c r="I32" s="243"/>
      <c r="J32" s="243"/>
      <c r="K32" s="37">
        <v>1313520</v>
      </c>
      <c r="L32" s="188" t="s">
        <v>9</v>
      </c>
      <c r="M32" s="188" t="s">
        <v>8</v>
      </c>
      <c r="N32" s="49" t="str">
        <f>IF(AND('331-CT'!$E$7=TH!H32,OR(L32="331",M32="331")),"331",IF(AND(OR(L32="131",M32="131"),H32='131-CT'!$E$7),"131",""))</f>
        <v>331</v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/>
      </c>
      <c r="U32" s="4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49" t="str">
        <f>IF(OR(TH!L32=TH!$V$7,M32=TH!$V$7),"x","")</f>
        <v/>
      </c>
      <c r="W32" s="49" t="str">
        <f>IF(AND(B32&gt;='IN-NX'!$P$3,B32&lt;='IN-NX'!$Q$3,'IN-NX'!$D$7=D32,OR(LEFT(L32,2)="15",AND(LEFT(M32,2)&lt;&gt;"15",LEFT(M32,2)&lt;&gt;"33"))),"x","")</f>
        <v/>
      </c>
      <c r="X32" s="49" t="str">
        <f>IF(AND(OR(LEFT(TH!L32,2)="15",LEFT(TH!M32,2)="15"),'152-CT'!$J$8=TH!F32),"x","")</f>
        <v/>
      </c>
      <c r="Y32" s="49" t="str">
        <f>IF(AND(OR(LEFT(TH!L32,2)="15",LEFT(TH!M32,2)="15"),TK!$E$7=TH!F32),"x","")</f>
        <v/>
      </c>
      <c r="Z32" s="49" t="str">
        <f>IF(AND(B32&lt;=NKC!$N$8,B32&gt;=NKC!$M$8),"x","")</f>
        <v>x</v>
      </c>
      <c r="AA32" s="715">
        <v>9</v>
      </c>
      <c r="AC32" s="199"/>
      <c r="AD32" s="199"/>
    </row>
    <row r="33" spans="1:30" s="493" customFormat="1" ht="15.75" customHeight="1">
      <c r="A33" s="716" t="str">
        <f>IF(B33&lt;&gt;"",IF(AND(B33&gt;=_TM1,B33&lt;=_TM2,OR(TH!L33="1111",TH!M33="1111")),TH!D33,""),"")</f>
        <v/>
      </c>
      <c r="B33" s="36">
        <f t="shared" si="5"/>
        <v>9</v>
      </c>
      <c r="C33" s="185">
        <f t="shared" si="6"/>
        <v>41153</v>
      </c>
      <c r="D33" s="178" t="s">
        <v>461</v>
      </c>
      <c r="E33" s="178">
        <v>41153</v>
      </c>
      <c r="F33" s="183" t="s">
        <v>457</v>
      </c>
      <c r="G33" s="723" t="s">
        <v>364</v>
      </c>
      <c r="H33" s="7" t="s">
        <v>363</v>
      </c>
      <c r="I33" s="243"/>
      <c r="J33" s="243"/>
      <c r="K33" s="37">
        <v>14448720</v>
      </c>
      <c r="L33" s="188" t="s">
        <v>8</v>
      </c>
      <c r="M33" s="188" t="s">
        <v>47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/>
      </c>
      <c r="P33" s="49" t="str">
        <f>IF(AND($L33=$O$7,$B33&lt;'111'!$N$11),"x","")</f>
        <v/>
      </c>
      <c r="Q33" s="49" t="str">
        <f>IF(AND($M33=$O$7,$B33&lt;'111'!$N$11),"x","")</f>
        <v>x</v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49" t="str">
        <f>IF(OR(TH!L33=TH!$V$7,M33=TH!$V$7),"x","")</f>
        <v/>
      </c>
      <c r="W33" s="49" t="str">
        <f>IF(AND(B33&gt;='IN-NX'!$P$3,B33&lt;='IN-NX'!$Q$3,'IN-NX'!$D$7=D33,OR(LEFT(L33,2)="15",AND(LEFT(M33,2)&lt;&gt;"15",LEFT(M33,2)&lt;&gt;"33"))),"x","")</f>
        <v/>
      </c>
      <c r="X33" s="49" t="str">
        <f>IF(AND(OR(LEFT(TH!L33,2)="15",LEFT(TH!M33,2)="15"),'152-CT'!$J$8=TH!F33),"x","")</f>
        <v/>
      </c>
      <c r="Y33" s="49" t="str">
        <f>IF(AND(OR(LEFT(TH!L33,2)="15",LEFT(TH!M33,2)="15"),TK!$E$7=TH!F33),"x","")</f>
        <v/>
      </c>
      <c r="Z33" s="49" t="str">
        <f>IF(AND(B33&lt;=NKC!$N$8,B33&gt;=NKC!$M$8),"x","")</f>
        <v>x</v>
      </c>
      <c r="AA33" s="715"/>
      <c r="AC33" s="199"/>
      <c r="AD33" s="199"/>
    </row>
    <row r="34" spans="1:30" s="493" customFormat="1" ht="15.75" customHeight="1">
      <c r="A34" s="716" t="str">
        <f>IF(B34&lt;&gt;"",IF(AND(B34&gt;=_TM1,B34&lt;=_TM2,OR(TH!L34="1111",TH!M34="1111")),TH!D34,""),"")</f>
        <v/>
      </c>
      <c r="B34" s="36">
        <f t="shared" si="5"/>
        <v>9</v>
      </c>
      <c r="C34" s="185">
        <f t="shared" si="6"/>
        <v>41155</v>
      </c>
      <c r="D34" s="185" t="s">
        <v>471</v>
      </c>
      <c r="E34" s="178">
        <v>41155</v>
      </c>
      <c r="F34" s="183" t="s">
        <v>368</v>
      </c>
      <c r="G34" s="723" t="s">
        <v>370</v>
      </c>
      <c r="H34" s="7" t="s">
        <v>363</v>
      </c>
      <c r="I34" s="243">
        <v>500</v>
      </c>
      <c r="J34" s="243">
        <v>10286</v>
      </c>
      <c r="K34" s="37">
        <f>ROUND(I34*J34,0)</f>
        <v>5143000</v>
      </c>
      <c r="L34" s="188" t="s">
        <v>352</v>
      </c>
      <c r="M34" s="188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49" t="str">
        <f>IF(OR(TH!L34=TH!$V$7,M34=TH!$V$7),"x","")</f>
        <v/>
      </c>
      <c r="W34" s="49" t="str">
        <f>IF(AND(B34&gt;='IN-NX'!$P$3,B34&lt;='IN-NX'!$Q$3,'IN-NX'!$D$7=D34,OR(LEFT(L34,2)="15",AND(LEFT(M34,2)&lt;&gt;"15",LEFT(M34,2)&lt;&gt;"33"))),"x","")</f>
        <v/>
      </c>
      <c r="X34" s="49" t="str">
        <f>IF(AND(OR(LEFT(TH!L34,2)="15",LEFT(TH!M34,2)="15"),'152-CT'!$J$8=TH!F34),"x","")</f>
        <v/>
      </c>
      <c r="Y34" s="49" t="str">
        <f>IF(AND(OR(LEFT(TH!L34,2)="15",LEFT(TH!M34,2)="15"),TK!$E$7=TH!F34),"x","")</f>
        <v/>
      </c>
      <c r="Z34" s="49" t="str">
        <f>IF(AND(B34&lt;=NKC!$N$8,B34&gt;=NKC!$M$8),"x","")</f>
        <v>x</v>
      </c>
      <c r="AA34" s="715"/>
      <c r="AC34" s="199"/>
      <c r="AD34" s="199"/>
    </row>
    <row r="35" spans="1:30" s="493" customFormat="1" ht="15.75" customHeight="1">
      <c r="A35" s="716" t="str">
        <f>IF(B35&lt;&gt;"",IF(AND(B35&gt;=_TM1,B35&lt;=_TM2,OR(TH!L35="1111",TH!M35="1111")),TH!D35,""),"")</f>
        <v/>
      </c>
      <c r="B35" s="36">
        <f t="shared" si="5"/>
        <v>9</v>
      </c>
      <c r="C35" s="185">
        <f t="shared" si="6"/>
        <v>41155</v>
      </c>
      <c r="D35" s="185" t="s">
        <v>471</v>
      </c>
      <c r="E35" s="178">
        <v>41155</v>
      </c>
      <c r="F35" s="183" t="s">
        <v>369</v>
      </c>
      <c r="G35" s="723" t="s">
        <v>370</v>
      </c>
      <c r="H35" s="7" t="s">
        <v>363</v>
      </c>
      <c r="I35" s="243">
        <v>500</v>
      </c>
      <c r="J35" s="243">
        <v>11622</v>
      </c>
      <c r="K35" s="37">
        <f>ROUND(I35*J35,0)</f>
        <v>5811000</v>
      </c>
      <c r="L35" s="188" t="s">
        <v>352</v>
      </c>
      <c r="M35" s="188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49" t="str">
        <f>IF(OR(TH!L35=TH!$V$7,M35=TH!$V$7),"x","")</f>
        <v/>
      </c>
      <c r="W35" s="49" t="str">
        <f>IF(AND(B35&gt;='IN-NX'!$P$3,B35&lt;='IN-NX'!$Q$3,'IN-NX'!$D$7=D35,OR(LEFT(L35,2)="15",AND(LEFT(M35,2)&lt;&gt;"15",LEFT(M35,2)&lt;&gt;"33"))),"x","")</f>
        <v/>
      </c>
      <c r="X35" s="49" t="str">
        <f>IF(AND(OR(LEFT(TH!L35,2)="15",LEFT(TH!M35,2)="15"),'152-CT'!$J$8=TH!F35),"x","")</f>
        <v/>
      </c>
      <c r="Y35" s="49" t="str">
        <f>IF(AND(OR(LEFT(TH!L35,2)="15",LEFT(TH!M35,2)="15"),TK!$E$7=TH!F35),"x","")</f>
        <v/>
      </c>
      <c r="Z35" s="49" t="str">
        <f>IF(AND(B35&lt;=NKC!$N$8,B35&gt;=NKC!$M$8),"x","")</f>
        <v>x</v>
      </c>
      <c r="AA35" s="715"/>
      <c r="AC35" s="199"/>
      <c r="AD35" s="199"/>
    </row>
    <row r="36" spans="1:30" s="493" customFormat="1" ht="15.75" customHeight="1">
      <c r="A36" s="716" t="str">
        <f>IF(B36&lt;&gt;"",IF(AND(B36&gt;=_TM1,B36&lt;=_TM2,OR(TH!L36="1111",TH!M36="1111")),TH!D36,""),"")</f>
        <v/>
      </c>
      <c r="B36" s="36">
        <f t="shared" si="5"/>
        <v>9</v>
      </c>
      <c r="C36" s="185">
        <f t="shared" si="6"/>
        <v>41155</v>
      </c>
      <c r="D36" s="185" t="s">
        <v>471</v>
      </c>
      <c r="E36" s="178">
        <v>41155</v>
      </c>
      <c r="F36" s="183" t="s">
        <v>365</v>
      </c>
      <c r="G36" s="723" t="s">
        <v>370</v>
      </c>
      <c r="H36" s="7" t="s">
        <v>363</v>
      </c>
      <c r="I36" s="243"/>
      <c r="J36" s="243"/>
      <c r="K36" s="37">
        <v>1095400</v>
      </c>
      <c r="L36" s="188" t="s">
        <v>9</v>
      </c>
      <c r="M36" s="188" t="s">
        <v>8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/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49" t="str">
        <f>IF(OR(TH!L36=TH!$V$7,M36=TH!$V$7),"x","")</f>
        <v/>
      </c>
      <c r="W36" s="49" t="str">
        <f>IF(AND(B36&gt;='IN-NX'!$P$3,B36&lt;='IN-NX'!$Q$3,'IN-NX'!$D$7=D36,OR(LEFT(L36,2)="15",AND(LEFT(M36,2)&lt;&gt;"15",LEFT(M36,2)&lt;&gt;"33"))),"x","")</f>
        <v/>
      </c>
      <c r="X36" s="49" t="str">
        <f>IF(AND(OR(LEFT(TH!L36,2)="15",LEFT(TH!M36,2)="15"),'152-CT'!$J$8=TH!F36),"x","")</f>
        <v/>
      </c>
      <c r="Y36" s="49" t="str">
        <f>IF(AND(OR(LEFT(TH!L36,2)="15",LEFT(TH!M36,2)="15"),TK!$E$7=TH!F36),"x","")</f>
        <v/>
      </c>
      <c r="Z36" s="49" t="str">
        <f>IF(AND(B36&lt;=NKC!$N$8,B36&gt;=NKC!$M$8),"x","")</f>
        <v>x</v>
      </c>
      <c r="AA36" s="715">
        <v>9</v>
      </c>
      <c r="AC36" s="199"/>
      <c r="AD36" s="199"/>
    </row>
    <row r="37" spans="1:30" s="493" customFormat="1" ht="15.75" customHeight="1">
      <c r="A37" s="716" t="str">
        <f>IF(B37&lt;&gt;"",IF(AND(B37&gt;=_TM1,B37&lt;=_TM2,OR(TH!L37="1111",TH!M37="1111")),TH!D37,""),"")</f>
        <v/>
      </c>
      <c r="B37" s="36">
        <f t="shared" si="5"/>
        <v>9</v>
      </c>
      <c r="C37" s="185">
        <f t="shared" si="6"/>
        <v>41155</v>
      </c>
      <c r="D37" s="178" t="s">
        <v>462</v>
      </c>
      <c r="E37" s="178">
        <v>41155</v>
      </c>
      <c r="F37" s="183" t="s">
        <v>457</v>
      </c>
      <c r="G37" s="723" t="s">
        <v>370</v>
      </c>
      <c r="H37" s="7" t="s">
        <v>363</v>
      </c>
      <c r="I37" s="243"/>
      <c r="J37" s="243"/>
      <c r="K37" s="37">
        <v>12049400</v>
      </c>
      <c r="L37" s="188" t="s">
        <v>8</v>
      </c>
      <c r="M37" s="188" t="s">
        <v>47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/>
      </c>
      <c r="P37" s="49" t="str">
        <f>IF(AND($L37=$O$7,$B37&lt;'111'!$N$11),"x","")</f>
        <v/>
      </c>
      <c r="Q37" s="49" t="str">
        <f>IF(AND($M37=$O$7,$B37&lt;'111'!$N$11),"x","")</f>
        <v>x</v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49" t="str">
        <f>IF(OR(TH!L37=TH!$V$7,M37=TH!$V$7),"x","")</f>
        <v/>
      </c>
      <c r="W37" s="49" t="str">
        <f>IF(AND(B37&gt;='IN-NX'!$P$3,B37&lt;='IN-NX'!$Q$3,'IN-NX'!$D$7=D37,OR(LEFT(L37,2)="15",AND(LEFT(M37,2)&lt;&gt;"15",LEFT(M37,2)&lt;&gt;"33"))),"x","")</f>
        <v/>
      </c>
      <c r="X37" s="49" t="str">
        <f>IF(AND(OR(LEFT(TH!L37,2)="15",LEFT(TH!M37,2)="15"),'152-CT'!$J$8=TH!F37),"x","")</f>
        <v/>
      </c>
      <c r="Y37" s="49" t="str">
        <f>IF(AND(OR(LEFT(TH!L37,2)="15",LEFT(TH!M37,2)="15"),TK!$E$7=TH!F37),"x","")</f>
        <v/>
      </c>
      <c r="Z37" s="49" t="str">
        <f>IF(AND(B37&lt;=NKC!$N$8,B37&gt;=NKC!$M$8),"x","")</f>
        <v>x</v>
      </c>
      <c r="AA37" s="715"/>
      <c r="AC37" s="199"/>
      <c r="AD37" s="199"/>
    </row>
    <row r="38" spans="1:30" s="493" customFormat="1" ht="15.75" customHeight="1">
      <c r="A38" s="716" t="str">
        <f>IF(B38&lt;&gt;"",IF(AND(B38&gt;=_TM1,B38&lt;=_TM2,OR(TH!L38="1111",TH!M38="1111")),TH!D38,""),"")</f>
        <v/>
      </c>
      <c r="B38" s="36">
        <f t="shared" si="5"/>
        <v>9</v>
      </c>
      <c r="C38" s="185">
        <f t="shared" si="6"/>
        <v>41156</v>
      </c>
      <c r="D38" s="185" t="s">
        <v>472</v>
      </c>
      <c r="E38" s="178">
        <v>41156</v>
      </c>
      <c r="F38" s="183" t="s">
        <v>372</v>
      </c>
      <c r="G38" s="723" t="s">
        <v>371</v>
      </c>
      <c r="H38" s="7" t="s">
        <v>363</v>
      </c>
      <c r="I38" s="243">
        <v>550</v>
      </c>
      <c r="J38" s="243">
        <v>10298</v>
      </c>
      <c r="K38" s="37">
        <f>ROUND(I38*J38,0)</f>
        <v>5663900</v>
      </c>
      <c r="L38" s="188" t="s">
        <v>352</v>
      </c>
      <c r="M38" s="188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49" t="str">
        <f>IF(OR(TH!L38=TH!$V$7,M38=TH!$V$7),"x","")</f>
        <v/>
      </c>
      <c r="W38" s="49" t="str">
        <f>IF(AND(B38&gt;='IN-NX'!$P$3,B38&lt;='IN-NX'!$Q$3,'IN-NX'!$D$7=D38,OR(LEFT(L38,2)="15",AND(LEFT(M38,2)&lt;&gt;"15",LEFT(M38,2)&lt;&gt;"33"))),"x","")</f>
        <v/>
      </c>
      <c r="X38" s="49" t="str">
        <f>IF(AND(OR(LEFT(TH!L38,2)="15",LEFT(TH!M38,2)="15"),'152-CT'!$J$8=TH!F38),"x","")</f>
        <v/>
      </c>
      <c r="Y38" s="49" t="str">
        <f>IF(AND(OR(LEFT(TH!L38,2)="15",LEFT(TH!M38,2)="15"),TK!$E$7=TH!F38),"x","")</f>
        <v/>
      </c>
      <c r="Z38" s="49" t="str">
        <f>IF(AND(B38&lt;=NKC!$N$8,B38&gt;=NKC!$M$8),"x","")</f>
        <v>x</v>
      </c>
      <c r="AA38" s="715"/>
      <c r="AC38" s="199"/>
      <c r="AD38" s="199"/>
    </row>
    <row r="39" spans="1:30" s="493" customFormat="1" ht="15.75" customHeight="1">
      <c r="A39" s="716" t="str">
        <f>IF(B39&lt;&gt;"",IF(AND(B39&gt;=_TM1,B39&lt;=_TM2,OR(TH!L39="1111",TH!M39="1111")),TH!D39,""),"")</f>
        <v/>
      </c>
      <c r="B39" s="36">
        <f t="shared" si="5"/>
        <v>9</v>
      </c>
      <c r="C39" s="185">
        <f t="shared" si="6"/>
        <v>41156</v>
      </c>
      <c r="D39" s="185" t="s">
        <v>472</v>
      </c>
      <c r="E39" s="178">
        <v>41156</v>
      </c>
      <c r="F39" s="183" t="s">
        <v>373</v>
      </c>
      <c r="G39" s="723" t="s">
        <v>371</v>
      </c>
      <c r="H39" s="7" t="s">
        <v>363</v>
      </c>
      <c r="I39" s="243">
        <v>660</v>
      </c>
      <c r="J39" s="243">
        <v>12946</v>
      </c>
      <c r="K39" s="37">
        <f>ROUND(I39*J39,0)</f>
        <v>8544360</v>
      </c>
      <c r="L39" s="188" t="s">
        <v>352</v>
      </c>
      <c r="M39" s="188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49" t="str">
        <f>IF(OR(TH!L39=TH!$V$7,M39=TH!$V$7),"x","")</f>
        <v/>
      </c>
      <c r="W39" s="49" t="str">
        <f>IF(AND(B39&gt;='IN-NX'!$P$3,B39&lt;='IN-NX'!$Q$3,'IN-NX'!$D$7=D39,OR(LEFT(L39,2)="15",AND(LEFT(M39,2)&lt;&gt;"15",LEFT(M39,2)&lt;&gt;"33"))),"x","")</f>
        <v/>
      </c>
      <c r="X39" s="49" t="str">
        <f>IF(AND(OR(LEFT(TH!L39,2)="15",LEFT(TH!M39,2)="15"),'152-CT'!$J$8=TH!F39),"x","")</f>
        <v/>
      </c>
      <c r="Y39" s="49" t="str">
        <f>IF(AND(OR(LEFT(TH!L39,2)="15",LEFT(TH!M39,2)="15"),TK!$E$7=TH!F39),"x","")</f>
        <v/>
      </c>
      <c r="Z39" s="49" t="str">
        <f>IF(AND(B39&lt;=NKC!$N$8,B39&gt;=NKC!$M$8),"x","")</f>
        <v>x</v>
      </c>
      <c r="AA39" s="715"/>
      <c r="AC39" s="199"/>
      <c r="AD39" s="199"/>
    </row>
    <row r="40" spans="1:30" s="493" customFormat="1" ht="15.75" customHeight="1">
      <c r="A40" s="716" t="str">
        <f>IF(B40&lt;&gt;"",IF(AND(B40&gt;=_TM1,B40&lt;=_TM2,OR(TH!L40="1111",TH!M40="1111")),TH!D40,""),"")</f>
        <v/>
      </c>
      <c r="B40" s="36">
        <f t="shared" si="5"/>
        <v>9</v>
      </c>
      <c r="C40" s="185">
        <f t="shared" si="6"/>
        <v>41156</v>
      </c>
      <c r="D40" s="185" t="s">
        <v>472</v>
      </c>
      <c r="E40" s="178">
        <v>41156</v>
      </c>
      <c r="F40" s="183" t="s">
        <v>365</v>
      </c>
      <c r="G40" s="723" t="s">
        <v>371</v>
      </c>
      <c r="H40" s="7" t="s">
        <v>363</v>
      </c>
      <c r="I40" s="243"/>
      <c r="J40" s="243"/>
      <c r="K40" s="37">
        <v>1420826</v>
      </c>
      <c r="L40" s="188" t="s">
        <v>9</v>
      </c>
      <c r="M40" s="188" t="s">
        <v>8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/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49" t="str">
        <f>IF(OR(TH!L40=TH!$V$7,M40=TH!$V$7),"x","")</f>
        <v/>
      </c>
      <c r="W40" s="49" t="str">
        <f>IF(AND(B40&gt;='IN-NX'!$P$3,B40&lt;='IN-NX'!$Q$3,'IN-NX'!$D$7=D40,OR(LEFT(L40,2)="15",AND(LEFT(M40,2)&lt;&gt;"15",LEFT(M40,2)&lt;&gt;"33"))),"x","")</f>
        <v/>
      </c>
      <c r="X40" s="49" t="str">
        <f>IF(AND(OR(LEFT(TH!L40,2)="15",LEFT(TH!M40,2)="15"),'152-CT'!$J$8=TH!F40),"x","")</f>
        <v/>
      </c>
      <c r="Y40" s="49" t="str">
        <f>IF(AND(OR(LEFT(TH!L40,2)="15",LEFT(TH!M40,2)="15"),TK!$E$7=TH!F40),"x","")</f>
        <v/>
      </c>
      <c r="Z40" s="49" t="str">
        <f>IF(AND(B40&lt;=NKC!$N$8,B40&gt;=NKC!$M$8),"x","")</f>
        <v>x</v>
      </c>
      <c r="AA40" s="715">
        <v>9</v>
      </c>
      <c r="AC40" s="199"/>
      <c r="AD40" s="199"/>
    </row>
    <row r="41" spans="1:30" s="493" customFormat="1" ht="15.75" customHeight="1">
      <c r="A41" s="716" t="str">
        <f>IF(B41&lt;&gt;"",IF(AND(B41&gt;=_TM1,B41&lt;=_TM2,OR(TH!L41="1111",TH!M41="1111")),TH!D41,""),"")</f>
        <v/>
      </c>
      <c r="B41" s="36">
        <f t="shared" si="5"/>
        <v>9</v>
      </c>
      <c r="C41" s="185">
        <f t="shared" si="6"/>
        <v>41156</v>
      </c>
      <c r="D41" s="178" t="s">
        <v>463</v>
      </c>
      <c r="E41" s="178">
        <v>41156</v>
      </c>
      <c r="F41" s="183" t="s">
        <v>457</v>
      </c>
      <c r="G41" s="723" t="s">
        <v>371</v>
      </c>
      <c r="H41" s="7" t="s">
        <v>363</v>
      </c>
      <c r="I41" s="243"/>
      <c r="J41" s="243"/>
      <c r="K41" s="37">
        <v>15629086</v>
      </c>
      <c r="L41" s="188" t="s">
        <v>8</v>
      </c>
      <c r="M41" s="188" t="s">
        <v>47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/>
      </c>
      <c r="P41" s="49" t="str">
        <f>IF(AND($L41=$O$7,$B41&lt;'111'!$N$11),"x","")</f>
        <v/>
      </c>
      <c r="Q41" s="49" t="str">
        <f>IF(AND($M41=$O$7,$B41&lt;'111'!$N$11),"x","")</f>
        <v>x</v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49" t="str">
        <f>IF(OR(TH!L41=TH!$V$7,M41=TH!$V$7),"x","")</f>
        <v/>
      </c>
      <c r="W41" s="49" t="str">
        <f>IF(AND(B41&gt;='IN-NX'!$P$3,B41&lt;='IN-NX'!$Q$3,'IN-NX'!$D$7=D41,OR(LEFT(L41,2)="15",AND(LEFT(M41,2)&lt;&gt;"15",LEFT(M41,2)&lt;&gt;"33"))),"x","")</f>
        <v/>
      </c>
      <c r="X41" s="49" t="str">
        <f>IF(AND(OR(LEFT(TH!L41,2)="15",LEFT(TH!M41,2)="15"),'152-CT'!$J$8=TH!F41),"x","")</f>
        <v/>
      </c>
      <c r="Y41" s="49" t="str">
        <f>IF(AND(OR(LEFT(TH!L41,2)="15",LEFT(TH!M41,2)="15"),TK!$E$7=TH!F41),"x","")</f>
        <v/>
      </c>
      <c r="Z41" s="49" t="str">
        <f>IF(AND(B41&lt;=NKC!$N$8,B41&gt;=NKC!$M$8),"x","")</f>
        <v>x</v>
      </c>
      <c r="AA41" s="715"/>
      <c r="AC41" s="199"/>
      <c r="AD41" s="199"/>
    </row>
    <row r="42" spans="1:30" s="493" customFormat="1" ht="15.75" customHeight="1">
      <c r="A42" s="716" t="str">
        <f>IF(B42&lt;&gt;"",IF(AND(B42&gt;=_TM1,B42&lt;=_TM2,OR(TH!L42="1111",TH!M42="1111")),TH!D42,""),"")</f>
        <v/>
      </c>
      <c r="B42" s="36">
        <f t="shared" si="5"/>
        <v>9</v>
      </c>
      <c r="C42" s="185">
        <f t="shared" si="6"/>
        <v>41160</v>
      </c>
      <c r="D42" s="185" t="s">
        <v>473</v>
      </c>
      <c r="E42" s="178">
        <v>41160</v>
      </c>
      <c r="F42" s="183" t="s">
        <v>373</v>
      </c>
      <c r="G42" s="723" t="s">
        <v>374</v>
      </c>
      <c r="H42" s="7" t="s">
        <v>363</v>
      </c>
      <c r="I42" s="243">
        <v>600</v>
      </c>
      <c r="J42" s="243">
        <v>8556</v>
      </c>
      <c r="K42" s="37">
        <f>ROUND(I42*J42,0)</f>
        <v>5133600</v>
      </c>
      <c r="L42" s="188" t="s">
        <v>352</v>
      </c>
      <c r="M42" s="188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49" t="str">
        <f>IF(OR(TH!L42=TH!$V$7,M42=TH!$V$7),"x","")</f>
        <v/>
      </c>
      <c r="W42" s="49" t="str">
        <f>IF(AND(B42&gt;='IN-NX'!$P$3,B42&lt;='IN-NX'!$Q$3,'IN-NX'!$D$7=D42,OR(LEFT(L42,2)="15",AND(LEFT(M42,2)&lt;&gt;"15",LEFT(M42,2)&lt;&gt;"33"))),"x","")</f>
        <v/>
      </c>
      <c r="X42" s="49" t="str">
        <f>IF(AND(OR(LEFT(TH!L42,2)="15",LEFT(TH!M42,2)="15"),'152-CT'!$J$8=TH!F42),"x","")</f>
        <v/>
      </c>
      <c r="Y42" s="49" t="str">
        <f>IF(AND(OR(LEFT(TH!L42,2)="15",LEFT(TH!M42,2)="15"),TK!$E$7=TH!F42),"x","")</f>
        <v/>
      </c>
      <c r="Z42" s="49" t="str">
        <f>IF(AND(B42&lt;=NKC!$N$8,B42&gt;=NKC!$M$8),"x","")</f>
        <v>x</v>
      </c>
      <c r="AA42" s="715"/>
      <c r="AC42" s="199"/>
      <c r="AD42" s="199"/>
    </row>
    <row r="43" spans="1:30" s="493" customFormat="1" ht="15.75" customHeight="1">
      <c r="A43" s="716" t="str">
        <f>IF(B43&lt;&gt;"",IF(AND(B43&gt;=_TM1,B43&lt;=_TM2,OR(TH!L43="1111",TH!M43="1111")),TH!D43,""),"")</f>
        <v/>
      </c>
      <c r="B43" s="36">
        <f t="shared" si="5"/>
        <v>9</v>
      </c>
      <c r="C43" s="185">
        <f t="shared" si="6"/>
        <v>41160</v>
      </c>
      <c r="D43" s="185" t="s">
        <v>473</v>
      </c>
      <c r="E43" s="178">
        <v>41160</v>
      </c>
      <c r="F43" s="183" t="s">
        <v>365</v>
      </c>
      <c r="G43" s="723" t="s">
        <v>374</v>
      </c>
      <c r="H43" s="7" t="s">
        <v>363</v>
      </c>
      <c r="I43" s="243"/>
      <c r="J43" s="243"/>
      <c r="K43" s="37">
        <v>513360</v>
      </c>
      <c r="L43" s="188" t="s">
        <v>9</v>
      </c>
      <c r="M43" s="188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49" t="str">
        <f>IF(OR(TH!L43=TH!$V$7,M43=TH!$V$7),"x","")</f>
        <v/>
      </c>
      <c r="W43" s="49" t="str">
        <f>IF(AND(B43&gt;='IN-NX'!$P$3,B43&lt;='IN-NX'!$Q$3,'IN-NX'!$D$7=D43,OR(LEFT(L43,2)="15",AND(LEFT(M43,2)&lt;&gt;"15",LEFT(M43,2)&lt;&gt;"33"))),"x","")</f>
        <v/>
      </c>
      <c r="X43" s="49" t="str">
        <f>IF(AND(OR(LEFT(TH!L43,2)="15",LEFT(TH!M43,2)="15"),'152-CT'!$J$8=TH!F43),"x","")</f>
        <v/>
      </c>
      <c r="Y43" s="49" t="str">
        <f>IF(AND(OR(LEFT(TH!L43,2)="15",LEFT(TH!M43,2)="15"),TK!$E$7=TH!F43),"x","")</f>
        <v/>
      </c>
      <c r="Z43" s="49" t="str">
        <f>IF(AND(B43&lt;=NKC!$N$8,B43&gt;=NKC!$M$8),"x","")</f>
        <v>x</v>
      </c>
      <c r="AA43" s="715">
        <v>9</v>
      </c>
      <c r="AC43" s="199"/>
      <c r="AD43" s="199"/>
    </row>
    <row r="44" spans="1:30" s="493" customFormat="1" ht="15.75" customHeight="1">
      <c r="A44" s="716" t="str">
        <f>IF(B44&lt;&gt;"",IF(AND(B44&gt;=_TM1,B44&lt;=_TM2,OR(TH!L44="1111",TH!M44="1111")),TH!D44,""),"")</f>
        <v/>
      </c>
      <c r="B44" s="36">
        <f t="shared" si="5"/>
        <v>9</v>
      </c>
      <c r="C44" s="185">
        <f t="shared" si="6"/>
        <v>41160</v>
      </c>
      <c r="D44" s="178" t="s">
        <v>464</v>
      </c>
      <c r="E44" s="178">
        <v>41160</v>
      </c>
      <c r="F44" s="183" t="s">
        <v>457</v>
      </c>
      <c r="G44" s="723" t="s">
        <v>374</v>
      </c>
      <c r="H44" s="7" t="s">
        <v>363</v>
      </c>
      <c r="I44" s="243"/>
      <c r="J44" s="243"/>
      <c r="K44" s="37">
        <v>5646960</v>
      </c>
      <c r="L44" s="188" t="s">
        <v>8</v>
      </c>
      <c r="M44" s="188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/>
      </c>
      <c r="P44" s="49" t="str">
        <f>IF(AND($L44=$O$7,$B44&lt;'111'!$N$11),"x","")</f>
        <v/>
      </c>
      <c r="Q44" s="49" t="str">
        <f>IF(AND($M44=$O$7,$B44&lt;'111'!$N$11),"x","")</f>
        <v>x</v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49" t="str">
        <f>IF(OR(TH!L44=TH!$V$7,M44=TH!$V$7),"x","")</f>
        <v/>
      </c>
      <c r="W44" s="49" t="str">
        <f>IF(AND(B44&gt;='IN-NX'!$P$3,B44&lt;='IN-NX'!$Q$3,'IN-NX'!$D$7=D44,OR(LEFT(L44,2)="15",AND(LEFT(M44,2)&lt;&gt;"15",LEFT(M44,2)&lt;&gt;"33"))),"x","")</f>
        <v/>
      </c>
      <c r="X44" s="49" t="str">
        <f>IF(AND(OR(LEFT(TH!L44,2)="15",LEFT(TH!M44,2)="15"),'152-CT'!$J$8=TH!F44),"x","")</f>
        <v/>
      </c>
      <c r="Y44" s="49" t="str">
        <f>IF(AND(OR(LEFT(TH!L44,2)="15",LEFT(TH!M44,2)="15"),TK!$E$7=TH!F44),"x","")</f>
        <v/>
      </c>
      <c r="Z44" s="49" t="str">
        <f>IF(AND(B44&lt;=NKC!$N$8,B44&gt;=NKC!$M$8),"x","")</f>
        <v>x</v>
      </c>
      <c r="AA44" s="715"/>
      <c r="AC44" s="199"/>
      <c r="AD44" s="199"/>
    </row>
    <row r="45" spans="1:30" s="199" customFormat="1" ht="15.75" customHeight="1">
      <c r="A45" s="716" t="str">
        <f>IF(B45&lt;&gt;"",IF(AND(B45&gt;=_TM1,B45&lt;=_TM2,OR(TH!L45="1111",TH!M45="1111")),TH!D45,""),"")</f>
        <v/>
      </c>
      <c r="B45" s="36">
        <f t="shared" si="5"/>
        <v>9</v>
      </c>
      <c r="C45" s="185">
        <f t="shared" si="6"/>
        <v>41167</v>
      </c>
      <c r="D45" s="178" t="s">
        <v>564</v>
      </c>
      <c r="E45" s="178">
        <v>41167</v>
      </c>
      <c r="F45" s="183" t="s">
        <v>505</v>
      </c>
      <c r="G45" s="723" t="s">
        <v>506</v>
      </c>
      <c r="H45" s="187" t="s">
        <v>507</v>
      </c>
      <c r="I45" s="243">
        <v>1200</v>
      </c>
      <c r="J45" s="243">
        <v>6780</v>
      </c>
      <c r="K45" s="501">
        <f>ROUND(I45*J45,0)</f>
        <v>8136000</v>
      </c>
      <c r="L45" s="502" t="s">
        <v>252</v>
      </c>
      <c r="M45" s="502" t="s">
        <v>164</v>
      </c>
      <c r="N45" s="49" t="str">
        <f>IF(AND('331-CT'!$E$7=TH!H45,OR(L45="331",M45="331")),"331",IF(AND(OR(L45="131",M45="131"),H45='131-CT'!$E$7),"131",""))</f>
        <v/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49" t="str">
        <f>IF(OR(TH!L45=TH!$V$7,M45=TH!$V$7),"x","")</f>
        <v/>
      </c>
      <c r="W45" s="49" t="str">
        <f>IF(AND(B45&gt;='IN-NX'!$P$3,B45&lt;='IN-NX'!$Q$3,'IN-NX'!$D$7=D45,OR(LEFT(L45,2)="15",AND(LEFT(M45,2)&lt;&gt;"15",LEFT(M45,2)&lt;&gt;"33"))),"x","")</f>
        <v>x</v>
      </c>
      <c r="X45" s="49" t="str">
        <f>IF(AND(OR(LEFT(TH!L45,2)="15",LEFT(TH!M45,2)="15"),'152-CT'!$J$8=TH!F45),"x","")</f>
        <v/>
      </c>
      <c r="Y45" s="49" t="str">
        <f>IF(AND(OR(LEFT(TH!L45,2)="15",LEFT(TH!M45,2)="15"),TK!$E$7=TH!F45),"x","")</f>
        <v/>
      </c>
      <c r="Z45" s="49" t="str">
        <f>IF(AND(B45&lt;=NKC!$N$8,B45&gt;=NKC!$M$8),"x","")</f>
        <v>x</v>
      </c>
      <c r="AA45" s="715"/>
      <c r="AB45" s="493"/>
      <c r="AC45" s="493"/>
      <c r="AD45" s="493"/>
    </row>
    <row r="46" spans="1:30" s="199" customFormat="1" ht="15.75" customHeight="1">
      <c r="A46" s="716" t="str">
        <f>IF(B46&lt;&gt;"",IF(AND(B46&gt;=_TM1,B46&lt;=_TM2,OR(TH!L46="1111",TH!M46="1111")),TH!D46,""),"")</f>
        <v/>
      </c>
      <c r="B46" s="36">
        <f t="shared" si="5"/>
        <v>9</v>
      </c>
      <c r="C46" s="185">
        <f t="shared" si="6"/>
        <v>41167</v>
      </c>
      <c r="D46" s="178" t="s">
        <v>564</v>
      </c>
      <c r="E46" s="178">
        <v>41167</v>
      </c>
      <c r="F46" s="183" t="s">
        <v>508</v>
      </c>
      <c r="G46" s="723" t="s">
        <v>506</v>
      </c>
      <c r="H46" s="187" t="s">
        <v>507</v>
      </c>
      <c r="I46" s="243">
        <v>11700</v>
      </c>
      <c r="J46" s="243">
        <v>900</v>
      </c>
      <c r="K46" s="501">
        <f>ROUND(I46*J46,0)</f>
        <v>10530000</v>
      </c>
      <c r="L46" s="502" t="s">
        <v>252</v>
      </c>
      <c r="M46" s="502" t="s">
        <v>164</v>
      </c>
      <c r="N46" s="49" t="str">
        <f>IF(AND('331-CT'!$E$7=TH!H46,OR(L46="331",M46="331")),"331",IF(AND(OR(L46="131",M46="131"),H46='131-CT'!$E$7),"131",""))</f>
        <v/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49" t="str">
        <f>IF(OR(TH!L46=TH!$V$7,M46=TH!$V$7),"x","")</f>
        <v/>
      </c>
      <c r="W46" s="49" t="str">
        <f>IF(AND(B46&gt;='IN-NX'!$P$3,B46&lt;='IN-NX'!$Q$3,'IN-NX'!$D$7=D46,OR(LEFT(L46,2)="15",AND(LEFT(M46,2)&lt;&gt;"15",LEFT(M46,2)&lt;&gt;"33"))),"x","")</f>
        <v>x</v>
      </c>
      <c r="X46" s="49" t="str">
        <f>IF(AND(OR(LEFT(TH!L46,2)="15",LEFT(TH!M46,2)="15"),'152-CT'!$J$8=TH!F46),"x","")</f>
        <v/>
      </c>
      <c r="Y46" s="49" t="str">
        <f>IF(AND(OR(LEFT(TH!L46,2)="15",LEFT(TH!M46,2)="15"),TK!$E$7=TH!F46),"x","")</f>
        <v/>
      </c>
      <c r="Z46" s="49" t="str">
        <f>IF(AND(B46&lt;=NKC!$N$8,B46&gt;=NKC!$M$8),"x","")</f>
        <v>x</v>
      </c>
      <c r="AA46" s="715"/>
      <c r="AB46" s="493"/>
      <c r="AC46" s="493"/>
      <c r="AD46" s="493"/>
    </row>
    <row r="47" spans="1:30" s="199" customFormat="1" ht="15.75" customHeight="1">
      <c r="A47" s="716" t="str">
        <f>IF(B47&lt;&gt;"",IF(AND(B47&gt;=_TM1,B47&lt;=_TM2,OR(TH!L47="1111",TH!M47="1111")),TH!D47,""),"")</f>
        <v/>
      </c>
      <c r="B47" s="36">
        <f t="shared" si="5"/>
        <v>9</v>
      </c>
      <c r="C47" s="185">
        <f t="shared" si="6"/>
        <v>41167</v>
      </c>
      <c r="D47" s="178" t="s">
        <v>564</v>
      </c>
      <c r="E47" s="178">
        <v>41167</v>
      </c>
      <c r="F47" s="183" t="s">
        <v>509</v>
      </c>
      <c r="G47" s="723" t="s">
        <v>506</v>
      </c>
      <c r="H47" s="187" t="s">
        <v>507</v>
      </c>
      <c r="I47" s="243"/>
      <c r="J47" s="243"/>
      <c r="K47" s="501">
        <v>1866600</v>
      </c>
      <c r="L47" s="502" t="s">
        <v>252</v>
      </c>
      <c r="M47" s="502" t="s">
        <v>296</v>
      </c>
      <c r="N47" s="49" t="str">
        <f>IF(AND('331-CT'!$E$7=TH!H47,OR(L47="331",M47="331")),"331",IF(AND(OR(L47="131",M47="131"),H47='131-CT'!$E$7),"131",""))</f>
        <v/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/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49" t="str">
        <f>IF(OR(TH!L47=TH!$V$7,M47=TH!$V$7),"x","")</f>
        <v/>
      </c>
      <c r="W47" s="49" t="str">
        <f>IF(AND(B47&gt;='IN-NX'!$P$3,B47&lt;='IN-NX'!$Q$3,'IN-NX'!$D$7=D47,OR(LEFT(L47,2)="15",AND(LEFT(M47,2)&lt;&gt;"15",LEFT(M47,2)&lt;&gt;"33"))),"x","")</f>
        <v/>
      </c>
      <c r="X47" s="49" t="str">
        <f>IF(AND(OR(LEFT(TH!L47,2)="15",LEFT(TH!M47,2)="15"),'152-CT'!$J$8=TH!F47),"x","")</f>
        <v/>
      </c>
      <c r="Y47" s="49" t="str">
        <f>IF(AND(OR(LEFT(TH!L47,2)="15",LEFT(TH!M47,2)="15"),TK!$E$7=TH!F47),"x","")</f>
        <v/>
      </c>
      <c r="Z47" s="49" t="str">
        <f>IF(AND(B47&lt;=NKC!$N$8,B47&gt;=NKC!$M$8),"x","")</f>
        <v>x</v>
      </c>
      <c r="AA47" s="715"/>
      <c r="AB47" s="493"/>
      <c r="AC47" s="493"/>
      <c r="AD47" s="493"/>
    </row>
    <row r="48" spans="1:30" s="199" customFormat="1" ht="15.75" customHeight="1">
      <c r="A48" s="716" t="str">
        <f>IF(B48&lt;&gt;"",IF(AND(B48&gt;=_TM1,B48&lt;=_TM2,OR(TH!L48="1111",TH!M48="1111")),TH!D48,""),"")</f>
        <v/>
      </c>
      <c r="B48" s="36">
        <f t="shared" si="5"/>
        <v>9</v>
      </c>
      <c r="C48" s="185">
        <f t="shared" si="6"/>
        <v>41167</v>
      </c>
      <c r="D48" s="178" t="s">
        <v>566</v>
      </c>
      <c r="E48" s="178">
        <v>41167</v>
      </c>
      <c r="F48" s="183" t="s">
        <v>510</v>
      </c>
      <c r="G48" s="723" t="s">
        <v>511</v>
      </c>
      <c r="H48" s="187" t="s">
        <v>448</v>
      </c>
      <c r="I48" s="243">
        <v>1147</v>
      </c>
      <c r="J48" s="243">
        <v>6360</v>
      </c>
      <c r="K48" s="501">
        <f>ROUND(I48*J48,0)</f>
        <v>7294920</v>
      </c>
      <c r="L48" s="502" t="s">
        <v>252</v>
      </c>
      <c r="M48" s="502" t="s">
        <v>164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/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49" t="str">
        <f>IF(OR(TH!L48=TH!$V$7,M48=TH!$V$7),"x","")</f>
        <v/>
      </c>
      <c r="W48" s="49" t="str">
        <f>IF(AND(B48&gt;='IN-NX'!$P$3,B48&lt;='IN-NX'!$Q$3,'IN-NX'!$D$7=D48,OR(LEFT(L48,2)="15",AND(LEFT(M48,2)&lt;&gt;"15",LEFT(M48,2)&lt;&gt;"33"))),"x","")</f>
        <v/>
      </c>
      <c r="X48" s="49" t="str">
        <f>IF(AND(OR(LEFT(TH!L48,2)="15",LEFT(TH!M48,2)="15"),'152-CT'!$J$8=TH!F48),"x","")</f>
        <v/>
      </c>
      <c r="Y48" s="49" t="str">
        <f>IF(AND(OR(LEFT(TH!L48,2)="15",LEFT(TH!M48,2)="15"),TK!$E$7=TH!F48),"x","")</f>
        <v/>
      </c>
      <c r="Z48" s="49" t="str">
        <f>IF(AND(B48&lt;=NKC!$N$8,B48&gt;=NKC!$M$8),"x","")</f>
        <v>x</v>
      </c>
      <c r="AA48" s="715"/>
      <c r="AB48" s="493"/>
    </row>
    <row r="49" spans="1:30" s="199" customFormat="1" ht="15.75" customHeight="1">
      <c r="A49" s="716" t="str">
        <f>IF(B49&lt;&gt;"",IF(AND(B49&gt;=_TM1,B49&lt;=_TM2,OR(TH!L49="1111",TH!M49="1111")),TH!D49,""),"")</f>
        <v/>
      </c>
      <c r="B49" s="36">
        <f t="shared" si="5"/>
        <v>9</v>
      </c>
      <c r="C49" s="185">
        <f t="shared" si="6"/>
        <v>41167</v>
      </c>
      <c r="D49" s="178" t="s">
        <v>566</v>
      </c>
      <c r="E49" s="178">
        <v>41167</v>
      </c>
      <c r="F49" s="183" t="s">
        <v>509</v>
      </c>
      <c r="G49" s="723" t="s">
        <v>511</v>
      </c>
      <c r="H49" s="187" t="s">
        <v>448</v>
      </c>
      <c r="I49" s="243"/>
      <c r="J49" s="243"/>
      <c r="K49" s="501">
        <v>729492</v>
      </c>
      <c r="L49" s="502" t="s">
        <v>252</v>
      </c>
      <c r="M49" s="502" t="s">
        <v>296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/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49" t="str">
        <f>IF(OR(TH!L49=TH!$V$7,M49=TH!$V$7),"x","")</f>
        <v/>
      </c>
      <c r="W49" s="49" t="str">
        <f>IF(AND(B49&gt;='IN-NX'!$P$3,B49&lt;='IN-NX'!$Q$3,'IN-NX'!$D$7=D49,OR(LEFT(L49,2)="15",AND(LEFT(M49,2)&lt;&gt;"15",LEFT(M49,2)&lt;&gt;"33"))),"x","")</f>
        <v/>
      </c>
      <c r="X49" s="49" t="str">
        <f>IF(AND(OR(LEFT(TH!L49,2)="15",LEFT(TH!M49,2)="15"),'152-CT'!$J$8=TH!F49),"x","")</f>
        <v/>
      </c>
      <c r="Y49" s="49" t="str">
        <f>IF(AND(OR(LEFT(TH!L49,2)="15",LEFT(TH!M49,2)="15"),TK!$E$7=TH!F49),"x","")</f>
        <v/>
      </c>
      <c r="Z49" s="49" t="str">
        <f>IF(AND(B49&lt;=NKC!$N$8,B49&gt;=NKC!$M$8),"x","")</f>
        <v>x</v>
      </c>
      <c r="AA49" s="715"/>
      <c r="AB49" s="493"/>
    </row>
    <row r="50" spans="1:30" s="199" customFormat="1" ht="15.75" customHeight="1">
      <c r="A50" s="716" t="str">
        <f>IF(B50&lt;&gt;"",IF(AND(B50&gt;=_TM1,B50&lt;=_TM2,OR(TH!L50="1111",TH!M50="1111")),TH!D50,""),"")</f>
        <v/>
      </c>
      <c r="B50" s="36">
        <f t="shared" si="5"/>
        <v>9</v>
      </c>
      <c r="C50" s="185">
        <f t="shared" si="6"/>
        <v>41167</v>
      </c>
      <c r="D50" s="178" t="s">
        <v>567</v>
      </c>
      <c r="E50" s="178">
        <v>41167</v>
      </c>
      <c r="F50" s="183" t="s">
        <v>512</v>
      </c>
      <c r="G50" s="724" t="s">
        <v>513</v>
      </c>
      <c r="H50" s="187" t="s">
        <v>452</v>
      </c>
      <c r="I50" s="243">
        <v>1094</v>
      </c>
      <c r="J50" s="243">
        <v>6342</v>
      </c>
      <c r="K50" s="501">
        <f>ROUND(I50*J50,0)</f>
        <v>6938148</v>
      </c>
      <c r="L50" s="502" t="s">
        <v>252</v>
      </c>
      <c r="M50" s="502" t="s">
        <v>164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/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49" t="str">
        <f>IF(OR(TH!L50=TH!$V$7,M50=TH!$V$7),"x","")</f>
        <v/>
      </c>
      <c r="W50" s="49" t="str">
        <f>IF(AND(B50&gt;='IN-NX'!$P$3,B50&lt;='IN-NX'!$Q$3,'IN-NX'!$D$7=D50,OR(LEFT(L50,2)="15",AND(LEFT(M50,2)&lt;&gt;"15",LEFT(M50,2)&lt;&gt;"33"))),"x","")</f>
        <v/>
      </c>
      <c r="X50" s="49" t="str">
        <f>IF(AND(OR(LEFT(TH!L50,2)="15",LEFT(TH!M50,2)="15"),'152-CT'!$J$8=TH!F50),"x","")</f>
        <v/>
      </c>
      <c r="Y50" s="49" t="str">
        <f>IF(AND(OR(LEFT(TH!L50,2)="15",LEFT(TH!M50,2)="15"),TK!$E$7=TH!F50),"x","")</f>
        <v/>
      </c>
      <c r="Z50" s="49" t="str">
        <f>IF(AND(B50&lt;=NKC!$N$8,B50&gt;=NKC!$M$8),"x","")</f>
        <v>x</v>
      </c>
      <c r="AA50" s="715"/>
      <c r="AB50" s="493"/>
      <c r="AC50" s="493"/>
      <c r="AD50" s="493"/>
    </row>
    <row r="51" spans="1:30" s="199" customFormat="1" ht="15.75" customHeight="1">
      <c r="A51" s="716" t="str">
        <f>IF(B51&lt;&gt;"",IF(AND(B51&gt;=_TM1,B51&lt;=_TM2,OR(TH!L51="1111",TH!M51="1111")),TH!D51,""),"")</f>
        <v/>
      </c>
      <c r="B51" s="36">
        <f t="shared" si="5"/>
        <v>9</v>
      </c>
      <c r="C51" s="185">
        <f t="shared" si="6"/>
        <v>41167</v>
      </c>
      <c r="D51" s="178" t="s">
        <v>567</v>
      </c>
      <c r="E51" s="178">
        <v>41167</v>
      </c>
      <c r="F51" s="183" t="s">
        <v>514</v>
      </c>
      <c r="G51" s="724" t="s">
        <v>513</v>
      </c>
      <c r="H51" s="187" t="s">
        <v>452</v>
      </c>
      <c r="I51" s="243">
        <v>1010</v>
      </c>
      <c r="J51" s="243">
        <v>6200</v>
      </c>
      <c r="K51" s="501">
        <f>ROUND(I51*J51,0)</f>
        <v>6262000</v>
      </c>
      <c r="L51" s="502" t="s">
        <v>252</v>
      </c>
      <c r="M51" s="502" t="s">
        <v>164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/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49" t="str">
        <f>IF(OR(TH!L51=TH!$V$7,M51=TH!$V$7),"x","")</f>
        <v/>
      </c>
      <c r="W51" s="49" t="str">
        <f>IF(AND(B51&gt;='IN-NX'!$P$3,B51&lt;='IN-NX'!$Q$3,'IN-NX'!$D$7=D51,OR(LEFT(L51,2)="15",AND(LEFT(M51,2)&lt;&gt;"15",LEFT(M51,2)&lt;&gt;"33"))),"x","")</f>
        <v/>
      </c>
      <c r="X51" s="49" t="str">
        <f>IF(AND(OR(LEFT(TH!L51,2)="15",LEFT(TH!M51,2)="15"),'152-CT'!$J$8=TH!F51),"x","")</f>
        <v/>
      </c>
      <c r="Y51" s="49" t="str">
        <f>IF(AND(OR(LEFT(TH!L51,2)="15",LEFT(TH!M51,2)="15"),TK!$E$7=TH!F51),"x","")</f>
        <v/>
      </c>
      <c r="Z51" s="49" t="str">
        <f>IF(AND(B51&lt;=NKC!$N$8,B51&gt;=NKC!$M$8),"x","")</f>
        <v>x</v>
      </c>
      <c r="AA51" s="715"/>
      <c r="AB51" s="493"/>
      <c r="AC51" s="493"/>
      <c r="AD51" s="493"/>
    </row>
    <row r="52" spans="1:30" s="199" customFormat="1" ht="15.75" customHeight="1">
      <c r="A52" s="716" t="str">
        <f>IF(B52&lt;&gt;"",IF(AND(B52&gt;=_TM1,B52&lt;=_TM2,OR(TH!L52="1111",TH!M52="1111")),TH!D52,""),"")</f>
        <v/>
      </c>
      <c r="B52" s="36">
        <f t="shared" si="5"/>
        <v>9</v>
      </c>
      <c r="C52" s="185">
        <f t="shared" si="6"/>
        <v>41167</v>
      </c>
      <c r="D52" s="178" t="s">
        <v>567</v>
      </c>
      <c r="E52" s="178">
        <v>41167</v>
      </c>
      <c r="F52" s="183" t="s">
        <v>515</v>
      </c>
      <c r="G52" s="724" t="s">
        <v>513</v>
      </c>
      <c r="H52" s="187" t="s">
        <v>452</v>
      </c>
      <c r="I52" s="243">
        <v>1050</v>
      </c>
      <c r="J52" s="243">
        <v>7110</v>
      </c>
      <c r="K52" s="501">
        <f>ROUND(I52*J52,0)</f>
        <v>7465500</v>
      </c>
      <c r="L52" s="502" t="s">
        <v>252</v>
      </c>
      <c r="M52" s="502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49" t="str">
        <f>IF(OR(TH!L52=TH!$V$7,M52=TH!$V$7),"x","")</f>
        <v/>
      </c>
      <c r="W52" s="49" t="str">
        <f>IF(AND(B52&gt;='IN-NX'!$P$3,B52&lt;='IN-NX'!$Q$3,'IN-NX'!$D$7=D52,OR(LEFT(L52,2)="15",AND(LEFT(M52,2)&lt;&gt;"15",LEFT(M52,2)&lt;&gt;"33"))),"x","")</f>
        <v/>
      </c>
      <c r="X52" s="49" t="str">
        <f>IF(AND(OR(LEFT(TH!L52,2)="15",LEFT(TH!M52,2)="15"),'152-CT'!$J$8=TH!F52),"x","")</f>
        <v/>
      </c>
      <c r="Y52" s="49" t="str">
        <f>IF(AND(OR(LEFT(TH!L52,2)="15",LEFT(TH!M52,2)="15"),TK!$E$7=TH!F52),"x","")</f>
        <v/>
      </c>
      <c r="Z52" s="49" t="str">
        <f>IF(AND(B52&lt;=NKC!$N$8,B52&gt;=NKC!$M$8),"x","")</f>
        <v>x</v>
      </c>
      <c r="AA52" s="715"/>
      <c r="AB52" s="493"/>
      <c r="AC52" s="493"/>
      <c r="AD52" s="493"/>
    </row>
    <row r="53" spans="1:30" s="199" customFormat="1" ht="15.75" customHeight="1">
      <c r="A53" s="716" t="str">
        <f>IF(B53&lt;&gt;"",IF(AND(B53&gt;=_TM1,B53&lt;=_TM2,OR(TH!L53="1111",TH!M53="1111")),TH!D53,""),"")</f>
        <v/>
      </c>
      <c r="B53" s="36">
        <f t="shared" si="5"/>
        <v>9</v>
      </c>
      <c r="C53" s="185">
        <f t="shared" si="6"/>
        <v>41167</v>
      </c>
      <c r="D53" s="178" t="s">
        <v>567</v>
      </c>
      <c r="E53" s="178">
        <v>41167</v>
      </c>
      <c r="F53" s="183" t="s">
        <v>509</v>
      </c>
      <c r="G53" s="724" t="s">
        <v>513</v>
      </c>
      <c r="H53" s="187" t="s">
        <v>452</v>
      </c>
      <c r="I53" s="243"/>
      <c r="J53" s="243"/>
      <c r="K53" s="501">
        <v>2066564</v>
      </c>
      <c r="L53" s="502" t="s">
        <v>252</v>
      </c>
      <c r="M53" s="502" t="s">
        <v>296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49" t="str">
        <f>IF(OR(TH!L53=TH!$V$7,M53=TH!$V$7),"x","")</f>
        <v/>
      </c>
      <c r="W53" s="49" t="str">
        <f>IF(AND(B53&gt;='IN-NX'!$P$3,B53&lt;='IN-NX'!$Q$3,'IN-NX'!$D$7=D53,OR(LEFT(L53,2)="15",AND(LEFT(M53,2)&lt;&gt;"15",LEFT(M53,2)&lt;&gt;"33"))),"x","")</f>
        <v/>
      </c>
      <c r="X53" s="49" t="str">
        <f>IF(AND(OR(LEFT(TH!L53,2)="15",LEFT(TH!M53,2)="15"),'152-CT'!$J$8=TH!F53),"x","")</f>
        <v/>
      </c>
      <c r="Y53" s="49" t="str">
        <f>IF(AND(OR(LEFT(TH!L53,2)="15",LEFT(TH!M53,2)="15"),TK!$E$7=TH!F53),"x","")</f>
        <v/>
      </c>
      <c r="Z53" s="49" t="str">
        <f>IF(AND(B53&lt;=NKC!$N$8,B53&gt;=NKC!$M$8),"x","")</f>
        <v>x</v>
      </c>
      <c r="AA53" s="715"/>
      <c r="AB53" s="493"/>
      <c r="AC53" s="493"/>
      <c r="AD53" s="493"/>
    </row>
    <row r="54" spans="1:30" s="199" customFormat="1" ht="15.75" customHeight="1">
      <c r="A54" s="716" t="str">
        <f>IF(B54&lt;&gt;"",IF(AND(B54&gt;=_TM1,B54&lt;=_TM2,OR(TH!L54="1111",TH!M54="1111")),TH!D54,""),"")</f>
        <v/>
      </c>
      <c r="B54" s="36">
        <f t="shared" si="5"/>
        <v>9</v>
      </c>
      <c r="C54" s="185">
        <f t="shared" si="6"/>
        <v>41169</v>
      </c>
      <c r="D54" s="178" t="s">
        <v>444</v>
      </c>
      <c r="E54" s="178">
        <v>41169</v>
      </c>
      <c r="F54" s="183" t="s">
        <v>447</v>
      </c>
      <c r="G54" s="723" t="s">
        <v>351</v>
      </c>
      <c r="H54" s="187" t="s">
        <v>507</v>
      </c>
      <c r="I54" s="243"/>
      <c r="J54" s="243"/>
      <c r="K54" s="501">
        <v>20532600</v>
      </c>
      <c r="L54" s="502" t="s">
        <v>24</v>
      </c>
      <c r="M54" s="502" t="s">
        <v>252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>x</v>
      </c>
      <c r="T54" s="49" t="str">
        <f>IF(ISERROR(FIND('112'!$M$9,G54,1)),"",IF((AND(RIGHT(G54,2)=RIGHT('112'!$M$9,2),B54&lt;'112'!$N$8,$M54='112'!$I$6)),"x",""))</f>
        <v/>
      </c>
      <c r="U54" s="4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49" t="str">
        <f>IF(OR(TH!L54=TH!$V$7,M54=TH!$V$7),"x","")</f>
        <v/>
      </c>
      <c r="W54" s="49" t="str">
        <f>IF(AND(B54&gt;='IN-NX'!$P$3,B54&lt;='IN-NX'!$Q$3,'IN-NX'!$D$7=D54,OR(LEFT(L54,2)="15",AND(LEFT(M54,2)&lt;&gt;"15",LEFT(M54,2)&lt;&gt;"33"))),"x","")</f>
        <v/>
      </c>
      <c r="X54" s="49" t="str">
        <f>IF(AND(OR(LEFT(TH!L54,2)="15",LEFT(TH!M54,2)="15"),'152-CT'!$J$8=TH!F54),"x","")</f>
        <v/>
      </c>
      <c r="Y54" s="49" t="str">
        <f>IF(AND(OR(LEFT(TH!L54,2)="15",LEFT(TH!M54,2)="15"),TK!$E$7=TH!F54),"x","")</f>
        <v/>
      </c>
      <c r="Z54" s="49" t="str">
        <f>IF(AND(B54&lt;=NKC!$N$8,B54&gt;=NKC!$M$8),"x","")</f>
        <v>x</v>
      </c>
      <c r="AA54" s="715"/>
      <c r="AB54" s="493"/>
      <c r="AC54" s="493"/>
      <c r="AD54" s="493"/>
    </row>
    <row r="55" spans="1:30" s="199" customFormat="1" ht="15.75" customHeight="1">
      <c r="A55" s="716" t="str">
        <f>IF(B55&lt;&gt;"",IF(AND(B55&gt;=_TM1,B55&lt;=_TM2,OR(TH!L55="1111",TH!M55="1111")),TH!D55,""),"")</f>
        <v/>
      </c>
      <c r="B55" s="36">
        <f t="shared" si="5"/>
        <v>9</v>
      </c>
      <c r="C55" s="185">
        <f t="shared" si="6"/>
        <v>41169</v>
      </c>
      <c r="D55" s="178" t="s">
        <v>568</v>
      </c>
      <c r="E55" s="178">
        <v>41169</v>
      </c>
      <c r="F55" s="183" t="s">
        <v>516</v>
      </c>
      <c r="G55" s="724" t="s">
        <v>517</v>
      </c>
      <c r="H55" s="187" t="s">
        <v>452</v>
      </c>
      <c r="I55" s="243">
        <v>1200</v>
      </c>
      <c r="J55" s="243">
        <v>5150</v>
      </c>
      <c r="K55" s="501">
        <f>ROUND(I55*J55,0)</f>
        <v>6180000</v>
      </c>
      <c r="L55" s="502" t="s">
        <v>252</v>
      </c>
      <c r="M55" s="502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49" t="str">
        <f>IF(OR(TH!L55=TH!$V$7,M55=TH!$V$7),"x","")</f>
        <v/>
      </c>
      <c r="W55" s="49" t="str">
        <f>IF(AND(B55&gt;='IN-NX'!$P$3,B55&lt;='IN-NX'!$Q$3,'IN-NX'!$D$7=D55,OR(LEFT(L55,2)="15",AND(LEFT(M55,2)&lt;&gt;"15",LEFT(M55,2)&lt;&gt;"33"))),"x","")</f>
        <v/>
      </c>
      <c r="X55" s="49" t="str">
        <f>IF(AND(OR(LEFT(TH!L55,2)="15",LEFT(TH!M55,2)="15"),'152-CT'!$J$8=TH!F55),"x","")</f>
        <v/>
      </c>
      <c r="Y55" s="49" t="str">
        <f>IF(AND(OR(LEFT(TH!L55,2)="15",LEFT(TH!M55,2)="15"),TK!$E$7=TH!F55),"x","")</f>
        <v/>
      </c>
      <c r="Z55" s="49" t="str">
        <f>IF(AND(B55&lt;=NKC!$N$8,B55&gt;=NKC!$M$8),"x","")</f>
        <v>x</v>
      </c>
      <c r="AA55" s="715"/>
      <c r="AB55" s="493"/>
    </row>
    <row r="56" spans="1:30" s="199" customFormat="1" ht="15.75" customHeight="1">
      <c r="A56" s="716" t="str">
        <f>IF(B56&lt;&gt;"",IF(AND(B56&gt;=_TM1,B56&lt;=_TM2,OR(TH!L56="1111",TH!M56="1111")),TH!D56,""),"")</f>
        <v/>
      </c>
      <c r="B56" s="36">
        <f t="shared" si="5"/>
        <v>9</v>
      </c>
      <c r="C56" s="185">
        <f t="shared" si="6"/>
        <v>41169</v>
      </c>
      <c r="D56" s="178" t="s">
        <v>568</v>
      </c>
      <c r="E56" s="178">
        <v>41169</v>
      </c>
      <c r="F56" s="183" t="s">
        <v>509</v>
      </c>
      <c r="G56" s="724" t="s">
        <v>517</v>
      </c>
      <c r="H56" s="187" t="s">
        <v>452</v>
      </c>
      <c r="I56" s="243"/>
      <c r="J56" s="243"/>
      <c r="K56" s="501">
        <v>618000</v>
      </c>
      <c r="L56" s="502" t="s">
        <v>252</v>
      </c>
      <c r="M56" s="502" t="s">
        <v>296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49" t="str">
        <f>IF(OR(TH!L56=TH!$V$7,M56=TH!$V$7),"x","")</f>
        <v/>
      </c>
      <c r="W56" s="49" t="str">
        <f>IF(AND(B56&gt;='IN-NX'!$P$3,B56&lt;='IN-NX'!$Q$3,'IN-NX'!$D$7=D56,OR(LEFT(L56,2)="15",AND(LEFT(M56,2)&lt;&gt;"15",LEFT(M56,2)&lt;&gt;"33"))),"x","")</f>
        <v/>
      </c>
      <c r="X56" s="49" t="str">
        <f>IF(AND(OR(LEFT(TH!L56,2)="15",LEFT(TH!M56,2)="15"),'152-CT'!$J$8=TH!F56),"x","")</f>
        <v/>
      </c>
      <c r="Y56" s="49" t="str">
        <f>IF(AND(OR(LEFT(TH!L56,2)="15",LEFT(TH!M56,2)="15"),TK!$E$7=TH!F56),"x","")</f>
        <v/>
      </c>
      <c r="Z56" s="49" t="str">
        <f>IF(AND(B56&lt;=NKC!$N$8,B56&gt;=NKC!$M$8),"x","")</f>
        <v>x</v>
      </c>
      <c r="AA56" s="715"/>
      <c r="AB56" s="493"/>
    </row>
    <row r="57" spans="1:30" s="199" customFormat="1" ht="15.75" customHeight="1">
      <c r="A57" s="716" t="str">
        <f>IF(B57&lt;&gt;"",IF(AND(B57&gt;=_TM1,B57&lt;=_TM2,OR(TH!L57="1111",TH!M57="1111")),TH!D57,""),"")</f>
        <v/>
      </c>
      <c r="B57" s="36">
        <f t="shared" si="5"/>
        <v>9</v>
      </c>
      <c r="C57" s="185">
        <f t="shared" si="6"/>
        <v>41169</v>
      </c>
      <c r="D57" s="178" t="s">
        <v>291</v>
      </c>
      <c r="E57" s="178">
        <v>41169</v>
      </c>
      <c r="F57" s="183" t="s">
        <v>447</v>
      </c>
      <c r="G57" s="724" t="s">
        <v>517</v>
      </c>
      <c r="H57" s="187" t="s">
        <v>452</v>
      </c>
      <c r="I57" s="243"/>
      <c r="J57" s="243"/>
      <c r="K57" s="501">
        <v>6798000</v>
      </c>
      <c r="L57" s="502" t="s">
        <v>47</v>
      </c>
      <c r="M57" s="502" t="s">
        <v>252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/>
      </c>
      <c r="P57" s="49" t="str">
        <f>IF(AND($L57=$O$7,$B57&lt;'111'!$N$11),"x","")</f>
        <v>x</v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49" t="str">
        <f>IF(OR(TH!L57=TH!$V$7,M57=TH!$V$7),"x","")</f>
        <v/>
      </c>
      <c r="W57" s="49" t="str">
        <f>IF(AND(B57&gt;='IN-NX'!$P$3,B57&lt;='IN-NX'!$Q$3,'IN-NX'!$D$7=D57,OR(LEFT(L57,2)="15",AND(LEFT(M57,2)&lt;&gt;"15",LEFT(M57,2)&lt;&gt;"33"))),"x","")</f>
        <v/>
      </c>
      <c r="X57" s="49" t="str">
        <f>IF(AND(OR(LEFT(TH!L57,2)="15",LEFT(TH!M57,2)="15"),'152-CT'!$J$8=TH!F57),"x","")</f>
        <v/>
      </c>
      <c r="Y57" s="49" t="str">
        <f>IF(AND(OR(LEFT(TH!L57,2)="15",LEFT(TH!M57,2)="15"),TK!$E$7=TH!F57),"x","")</f>
        <v/>
      </c>
      <c r="Z57" s="49" t="str">
        <f>IF(AND(B57&lt;=NKC!$N$8,B57&gt;=NKC!$M$8),"x","")</f>
        <v>x</v>
      </c>
      <c r="AA57" s="715"/>
      <c r="AB57" s="493"/>
    </row>
    <row r="58" spans="1:30" s="199" customFormat="1" ht="15.75" customHeight="1">
      <c r="A58" s="716" t="str">
        <f>IF(B58&lt;&gt;"",IF(AND(B58&gt;=_TM1,B58&lt;=_TM2,OR(TH!L58="1111",TH!M58="1111")),TH!D58,""),"")</f>
        <v/>
      </c>
      <c r="B58" s="36">
        <f t="shared" si="5"/>
        <v>9</v>
      </c>
      <c r="C58" s="185">
        <f t="shared" si="6"/>
        <v>41171</v>
      </c>
      <c r="D58" s="178" t="s">
        <v>465</v>
      </c>
      <c r="E58" s="178">
        <v>41171</v>
      </c>
      <c r="F58" s="186" t="s">
        <v>356</v>
      </c>
      <c r="G58" s="723" t="s">
        <v>358</v>
      </c>
      <c r="H58" s="198" t="s">
        <v>355</v>
      </c>
      <c r="I58" s="243"/>
      <c r="J58" s="243"/>
      <c r="K58" s="37">
        <f>97273+136364</f>
        <v>233637</v>
      </c>
      <c r="L58" s="188" t="s">
        <v>83</v>
      </c>
      <c r="M58" s="188" t="s">
        <v>47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/>
      </c>
      <c r="P58" s="49" t="str">
        <f>IF(AND($L58=$O$7,$B58&lt;'111'!$N$11),"x","")</f>
        <v/>
      </c>
      <c r="Q58" s="49" t="str">
        <f>IF(AND($M58=$O$7,$B58&lt;'111'!$N$11),"x","")</f>
        <v>x</v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>642</v>
      </c>
      <c r="V58" s="49" t="str">
        <f>IF(OR(TH!L58=TH!$V$7,M58=TH!$V$7),"x","")</f>
        <v/>
      </c>
      <c r="W58" s="49" t="str">
        <f>IF(AND(B58&gt;='IN-NX'!$P$3,B58&lt;='IN-NX'!$Q$3,'IN-NX'!$D$7=D58,OR(LEFT(L58,2)="15",AND(LEFT(M58,2)&lt;&gt;"15",LEFT(M58,2)&lt;&gt;"33"))),"x","")</f>
        <v/>
      </c>
      <c r="X58" s="49" t="str">
        <f>IF(AND(OR(LEFT(TH!L58,2)="15",LEFT(TH!M58,2)="15"),'152-CT'!$J$8=TH!F58),"x","")</f>
        <v/>
      </c>
      <c r="Y58" s="49" t="str">
        <f>IF(AND(OR(LEFT(TH!L58,2)="15",LEFT(TH!M58,2)="15"),TK!$E$7=TH!F58),"x","")</f>
        <v/>
      </c>
      <c r="Z58" s="49" t="str">
        <f>IF(AND(B58&lt;=NKC!$N$8,B58&gt;=NKC!$M$8),"x","")</f>
        <v>x</v>
      </c>
      <c r="AA58" s="715"/>
      <c r="AB58" s="493"/>
    </row>
    <row r="59" spans="1:30" s="199" customFormat="1" ht="15.75" customHeight="1">
      <c r="A59" s="716" t="str">
        <f>IF(B59&lt;&gt;"",IF(AND(B59&gt;=_TM1,B59&lt;=_TM2,OR(TH!L59="1111",TH!M59="1111")),TH!D59,""),"")</f>
        <v/>
      </c>
      <c r="B59" s="36">
        <f t="shared" si="5"/>
        <v>9</v>
      </c>
      <c r="C59" s="185">
        <f t="shared" si="6"/>
        <v>41171</v>
      </c>
      <c r="D59" s="178" t="s">
        <v>465</v>
      </c>
      <c r="E59" s="178">
        <v>41171</v>
      </c>
      <c r="F59" s="186" t="s">
        <v>357</v>
      </c>
      <c r="G59" s="723" t="s">
        <v>358</v>
      </c>
      <c r="H59" s="198" t="s">
        <v>355</v>
      </c>
      <c r="I59" s="243"/>
      <c r="J59" s="243"/>
      <c r="K59" s="37">
        <f>9727+13636</f>
        <v>23363</v>
      </c>
      <c r="L59" s="188" t="s">
        <v>9</v>
      </c>
      <c r="M59" s="188" t="s">
        <v>47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/>
      </c>
      <c r="P59" s="49" t="str">
        <f>IF(AND($L59=$O$7,$B59&lt;'111'!$N$11),"x","")</f>
        <v/>
      </c>
      <c r="Q59" s="49" t="str">
        <f>IF(AND($M59=$O$7,$B59&lt;'111'!$N$11),"x","")</f>
        <v>x</v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49" t="str">
        <f>IF(OR(TH!L59=TH!$V$7,M59=TH!$V$7),"x","")</f>
        <v/>
      </c>
      <c r="W59" s="49" t="str">
        <f>IF(AND(B59&gt;='IN-NX'!$P$3,B59&lt;='IN-NX'!$Q$3,'IN-NX'!$D$7=D59,OR(LEFT(L59,2)="15",AND(LEFT(M59,2)&lt;&gt;"15",LEFT(M59,2)&lt;&gt;"33"))),"x","")</f>
        <v/>
      </c>
      <c r="X59" s="49" t="str">
        <f>IF(AND(OR(LEFT(TH!L59,2)="15",LEFT(TH!M59,2)="15"),'152-CT'!$J$8=TH!F59),"x","")</f>
        <v/>
      </c>
      <c r="Y59" s="49" t="str">
        <f>IF(AND(OR(LEFT(TH!L59,2)="15",LEFT(TH!M59,2)="15"),TK!$E$7=TH!F59),"x","")</f>
        <v/>
      </c>
      <c r="Z59" s="49" t="str">
        <f>IF(AND(B59&lt;=NKC!$N$8,B59&gt;=NKC!$M$8),"x","")</f>
        <v>x</v>
      </c>
      <c r="AA59" s="715">
        <v>9</v>
      </c>
      <c r="AB59" s="493"/>
    </row>
    <row r="60" spans="1:30" s="199" customFormat="1" ht="15.75" customHeight="1">
      <c r="A60" s="716" t="str">
        <f>IF(B60&lt;&gt;"",IF(AND(B60&gt;=_TM1,B60&lt;=_TM2,OR(TH!L60="1111",TH!M60="1111")),TH!D60,""),"")</f>
        <v/>
      </c>
      <c r="B60" s="36">
        <f t="shared" si="5"/>
        <v>9</v>
      </c>
      <c r="C60" s="185">
        <f t="shared" si="6"/>
        <v>41172</v>
      </c>
      <c r="D60" s="185" t="s">
        <v>474</v>
      </c>
      <c r="E60" s="178">
        <v>41172</v>
      </c>
      <c r="F60" s="183" t="s">
        <v>380</v>
      </c>
      <c r="G60" s="723" t="s">
        <v>379</v>
      </c>
      <c r="H60" s="7" t="s">
        <v>363</v>
      </c>
      <c r="I60" s="243">
        <v>500</v>
      </c>
      <c r="J60" s="243">
        <v>10286</v>
      </c>
      <c r="K60" s="37">
        <f>ROUND(I60*J60,0)</f>
        <v>5143000</v>
      </c>
      <c r="L60" s="188" t="s">
        <v>352</v>
      </c>
      <c r="M60" s="188" t="s">
        <v>8</v>
      </c>
      <c r="N60" s="49" t="str">
        <f>IF(AND('331-CT'!$E$7=TH!H60,OR(L60="331",M60="331")),"331",IF(AND(OR(L60="131",M60="131"),H60='131-CT'!$E$7),"131",""))</f>
        <v>331</v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49" t="str">
        <f>IF(OR(TH!L60=TH!$V$7,M60=TH!$V$7),"x","")</f>
        <v/>
      </c>
      <c r="W60" s="49" t="str">
        <f>IF(AND(B60&gt;='IN-NX'!$P$3,B60&lt;='IN-NX'!$Q$3,'IN-NX'!$D$7=D60,OR(LEFT(L60,2)="15",AND(LEFT(M60,2)&lt;&gt;"15",LEFT(M60,2)&lt;&gt;"33"))),"x","")</f>
        <v/>
      </c>
      <c r="X60" s="49" t="str">
        <f>IF(AND(OR(LEFT(TH!L60,2)="15",LEFT(TH!M60,2)="15"),'152-CT'!$J$8=TH!F60),"x","")</f>
        <v/>
      </c>
      <c r="Y60" s="49" t="str">
        <f>IF(AND(OR(LEFT(TH!L60,2)="15",LEFT(TH!M60,2)="15"),TK!$E$7=TH!F60),"x","")</f>
        <v/>
      </c>
      <c r="Z60" s="49" t="str">
        <f>IF(AND(B60&lt;=NKC!$N$8,B60&gt;=NKC!$M$8),"x","")</f>
        <v>x</v>
      </c>
      <c r="AA60" s="715"/>
      <c r="AB60" s="493"/>
    </row>
    <row r="61" spans="1:30" s="199" customFormat="1" ht="15.75" customHeight="1">
      <c r="A61" s="716" t="str">
        <f>IF(B61&lt;&gt;"",IF(AND(B61&gt;=_TM1,B61&lt;=_TM2,OR(TH!L61="1111",TH!M61="1111")),TH!D61,""),"")</f>
        <v/>
      </c>
      <c r="B61" s="36">
        <f t="shared" si="5"/>
        <v>9</v>
      </c>
      <c r="C61" s="185">
        <f t="shared" si="6"/>
        <v>41172</v>
      </c>
      <c r="D61" s="185" t="s">
        <v>474</v>
      </c>
      <c r="E61" s="178">
        <v>41172</v>
      </c>
      <c r="F61" s="183" t="s">
        <v>365</v>
      </c>
      <c r="G61" s="723" t="s">
        <v>379</v>
      </c>
      <c r="H61" s="7" t="s">
        <v>363</v>
      </c>
      <c r="I61" s="243"/>
      <c r="J61" s="243"/>
      <c r="K61" s="37">
        <v>514300</v>
      </c>
      <c r="L61" s="188" t="s">
        <v>9</v>
      </c>
      <c r="M61" s="188" t="s">
        <v>8</v>
      </c>
      <c r="N61" s="49" t="str">
        <f>IF(AND('331-CT'!$E$7=TH!H61,OR(L61="331",M61="331")),"331",IF(AND(OR(L61="131",M61="131"),H61='131-CT'!$E$7),"131",""))</f>
        <v>331</v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/>
      </c>
      <c r="T61" s="49" t="str">
        <f>IF(ISERROR(FIND('112'!$M$9,G61,1)),"",IF((AND(RIGHT(G61,2)=RIGHT('112'!$M$9,2),B61&lt;'112'!$N$8,$M61='112'!$I$6)),"x",""))</f>
        <v/>
      </c>
      <c r="U61" s="4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49" t="str">
        <f>IF(OR(TH!L61=TH!$V$7,M61=TH!$V$7),"x","")</f>
        <v/>
      </c>
      <c r="W61" s="49" t="str">
        <f>IF(AND(B61&gt;='IN-NX'!$P$3,B61&lt;='IN-NX'!$Q$3,'IN-NX'!$D$7=D61,OR(LEFT(L61,2)="15",AND(LEFT(M61,2)&lt;&gt;"15",LEFT(M61,2)&lt;&gt;"33"))),"x","")</f>
        <v/>
      </c>
      <c r="X61" s="49" t="str">
        <f>IF(AND(OR(LEFT(TH!L61,2)="15",LEFT(TH!M61,2)="15"),'152-CT'!$J$8=TH!F61),"x","")</f>
        <v/>
      </c>
      <c r="Y61" s="49" t="str">
        <f>IF(AND(OR(LEFT(TH!L61,2)="15",LEFT(TH!M61,2)="15"),TK!$E$7=TH!F61),"x","")</f>
        <v/>
      </c>
      <c r="Z61" s="49" t="str">
        <f>IF(AND(B61&lt;=NKC!$N$8,B61&gt;=NKC!$M$8),"x","")</f>
        <v>x</v>
      </c>
      <c r="AA61" s="715">
        <v>9</v>
      </c>
      <c r="AB61" s="493"/>
    </row>
    <row r="62" spans="1:30" s="199" customFormat="1" ht="15.75" customHeight="1">
      <c r="A62" s="716" t="str">
        <f>IF(B62&lt;&gt;"",IF(AND(B62&gt;=_TM1,B62&lt;=_TM2,OR(TH!L62="1111",TH!M62="1111")),TH!D62,""),"")</f>
        <v/>
      </c>
      <c r="B62" s="36">
        <f t="shared" si="5"/>
        <v>9</v>
      </c>
      <c r="C62" s="185">
        <f t="shared" si="6"/>
        <v>41172</v>
      </c>
      <c r="D62" s="178" t="s">
        <v>466</v>
      </c>
      <c r="E62" s="178">
        <v>41172</v>
      </c>
      <c r="F62" s="183" t="s">
        <v>457</v>
      </c>
      <c r="G62" s="723" t="s">
        <v>379</v>
      </c>
      <c r="H62" s="7" t="s">
        <v>363</v>
      </c>
      <c r="I62" s="243"/>
      <c r="J62" s="243"/>
      <c r="K62" s="37">
        <v>5657300</v>
      </c>
      <c r="L62" s="188" t="s">
        <v>8</v>
      </c>
      <c r="M62" s="188" t="s">
        <v>47</v>
      </c>
      <c r="N62" s="49" t="str">
        <f>IF(AND('331-CT'!$E$7=TH!H62,OR(L62="331",M62="331")),"331",IF(AND(OR(L62="131",M62="131"),H62='131-CT'!$E$7),"131",""))</f>
        <v>331</v>
      </c>
      <c r="O62" s="49" t="str">
        <f>IF(AND($B62&gt;='111'!$N$11,$B62&lt;='111'!$O$11,OR($L62=$O$7,$M62=$O$7)),"x","")</f>
        <v/>
      </c>
      <c r="P62" s="49" t="str">
        <f>IF(AND($L62=$O$7,$B62&lt;'111'!$N$11),"x","")</f>
        <v/>
      </c>
      <c r="Q62" s="49" t="str">
        <f>IF(AND($M62=$O$7,$B62&lt;'111'!$N$11),"x","")</f>
        <v>x</v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49" t="str">
        <f>IF(OR(TH!L62=TH!$V$7,M62=TH!$V$7),"x","")</f>
        <v/>
      </c>
      <c r="W62" s="49" t="str">
        <f>IF(AND(B62&gt;='IN-NX'!$P$3,B62&lt;='IN-NX'!$Q$3,'IN-NX'!$D$7=D62,OR(LEFT(L62,2)="15",AND(LEFT(M62,2)&lt;&gt;"15",LEFT(M62,2)&lt;&gt;"33"))),"x","")</f>
        <v/>
      </c>
      <c r="X62" s="49" t="str">
        <f>IF(AND(OR(LEFT(TH!L62,2)="15",LEFT(TH!M62,2)="15"),'152-CT'!$J$8=TH!F62),"x","")</f>
        <v/>
      </c>
      <c r="Y62" s="49" t="str">
        <f>IF(AND(OR(LEFT(TH!L62,2)="15",LEFT(TH!M62,2)="15"),TK!$E$7=TH!F62),"x","")</f>
        <v/>
      </c>
      <c r="Z62" s="49" t="str">
        <f>IF(AND(B62&lt;=NKC!$N$8,B62&gt;=NKC!$M$8),"x","")</f>
        <v>x</v>
      </c>
      <c r="AA62" s="715"/>
      <c r="AB62" s="493"/>
    </row>
    <row r="63" spans="1:30" s="199" customFormat="1" ht="15.75" customHeight="1">
      <c r="A63" s="716" t="str">
        <f>IF(B63&lt;&gt;"",IF(AND(B63&gt;=_TM1,B63&lt;=_TM2,OR(TH!L63="1111",TH!M63="1111")),TH!D63,""),"")</f>
        <v/>
      </c>
      <c r="B63" s="36">
        <f t="shared" si="5"/>
        <v>9</v>
      </c>
      <c r="C63" s="185">
        <f t="shared" si="6"/>
        <v>41177</v>
      </c>
      <c r="D63" s="178" t="s">
        <v>444</v>
      </c>
      <c r="E63" s="178">
        <v>41177</v>
      </c>
      <c r="F63" s="183" t="s">
        <v>451</v>
      </c>
      <c r="G63" s="723" t="s">
        <v>351</v>
      </c>
      <c r="H63" s="187"/>
      <c r="I63" s="243"/>
      <c r="J63" s="243"/>
      <c r="K63" s="501">
        <v>9576</v>
      </c>
      <c r="L63" s="502" t="s">
        <v>24</v>
      </c>
      <c r="M63" s="502" t="s">
        <v>40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>x</v>
      </c>
      <c r="T63" s="49" t="str">
        <f>IF(ISERROR(FIND('112'!$M$9,G63,1)),"",IF((AND(RIGHT(G63,2)=RIGHT('112'!$M$9,2),B63&lt;'112'!$N$8,$M63='112'!$I$6)),"x",""))</f>
        <v/>
      </c>
      <c r="U63" s="4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49" t="str">
        <f>IF(OR(TH!L63=TH!$V$7,M63=TH!$V$7),"x","")</f>
        <v/>
      </c>
      <c r="W63" s="49" t="str">
        <f>IF(AND(B63&gt;='IN-NX'!$P$3,B63&lt;='IN-NX'!$Q$3,'IN-NX'!$D$7=D63,OR(LEFT(L63,2)="15",AND(LEFT(M63,2)&lt;&gt;"15",LEFT(M63,2)&lt;&gt;"33"))),"x","")</f>
        <v/>
      </c>
      <c r="X63" s="49" t="str">
        <f>IF(AND(OR(LEFT(TH!L63,2)="15",LEFT(TH!M63,2)="15"),'152-CT'!$J$8=TH!F63),"x","")</f>
        <v/>
      </c>
      <c r="Y63" s="49" t="str">
        <f>IF(AND(OR(LEFT(TH!L63,2)="15",LEFT(TH!M63,2)="15"),TK!$E$7=TH!F63),"x","")</f>
        <v/>
      </c>
      <c r="Z63" s="49" t="str">
        <f>IF(AND(B63&lt;=NKC!$N$8,B63&gt;=NKC!$M$8),"x","")</f>
        <v>x</v>
      </c>
      <c r="AA63" s="715"/>
      <c r="AB63" s="493"/>
      <c r="AC63" s="493"/>
      <c r="AD63" s="493"/>
    </row>
    <row r="64" spans="1:30" s="199" customFormat="1" ht="15.75" customHeight="1">
      <c r="A64" s="716" t="str">
        <f>IF(B64&lt;&gt;"",IF(AND(B64&gt;=_TM1,B64&lt;=_TM2,OR(TH!L64="1111",TH!M64="1111")),TH!D64,""),"")</f>
        <v/>
      </c>
      <c r="B64" s="36">
        <f t="shared" si="5"/>
        <v>9</v>
      </c>
      <c r="C64" s="185">
        <f t="shared" si="6"/>
        <v>41177</v>
      </c>
      <c r="D64" s="178" t="s">
        <v>456</v>
      </c>
      <c r="E64" s="178">
        <v>41177</v>
      </c>
      <c r="F64" s="183" t="s">
        <v>446</v>
      </c>
      <c r="G64" s="723" t="s">
        <v>351</v>
      </c>
      <c r="H64" s="187"/>
      <c r="I64" s="243"/>
      <c r="J64" s="243"/>
      <c r="K64" s="501">
        <v>11000</v>
      </c>
      <c r="L64" s="502" t="s">
        <v>83</v>
      </c>
      <c r="M64" s="502" t="s">
        <v>24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/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>x</v>
      </c>
      <c r="U64" s="4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>642</v>
      </c>
      <c r="V64" s="49" t="str">
        <f>IF(OR(TH!L64=TH!$V$7,M64=TH!$V$7),"x","")</f>
        <v/>
      </c>
      <c r="W64" s="49" t="str">
        <f>IF(AND(B64&gt;='IN-NX'!$P$3,B64&lt;='IN-NX'!$Q$3,'IN-NX'!$D$7=D64,OR(LEFT(L64,2)="15",AND(LEFT(M64,2)&lt;&gt;"15",LEFT(M64,2)&lt;&gt;"33"))),"x","")</f>
        <v/>
      </c>
      <c r="X64" s="49" t="str">
        <f>IF(AND(OR(LEFT(TH!L64,2)="15",LEFT(TH!M64,2)="15"),'152-CT'!$J$8=TH!F64),"x","")</f>
        <v/>
      </c>
      <c r="Y64" s="49" t="str">
        <f>IF(AND(OR(LEFT(TH!L64,2)="15",LEFT(TH!M64,2)="15"),TK!$E$7=TH!F64),"x","")</f>
        <v/>
      </c>
      <c r="Z64" s="49" t="str">
        <f>IF(AND(B64&lt;=NKC!$N$8,B64&gt;=NKC!$M$8),"x","")</f>
        <v>x</v>
      </c>
      <c r="AA64" s="715"/>
      <c r="AB64" s="493"/>
      <c r="AD64" s="493"/>
    </row>
    <row r="65" spans="1:30" s="199" customFormat="1" ht="15.75" customHeight="1">
      <c r="A65" s="716" t="str">
        <f>IF(B65&lt;&gt;"",IF(AND(B65&gt;=_TM1,B65&lt;=_TM2,OR(TH!L65="1111",TH!M65="1111")),TH!D65,""),"")</f>
        <v/>
      </c>
      <c r="B65" s="36">
        <f t="shared" si="5"/>
        <v>9</v>
      </c>
      <c r="C65" s="185">
        <f t="shared" si="6"/>
        <v>41178</v>
      </c>
      <c r="D65" s="178" t="s">
        <v>569</v>
      </c>
      <c r="E65" s="178">
        <v>41178</v>
      </c>
      <c r="F65" s="183" t="s">
        <v>518</v>
      </c>
      <c r="G65" s="724" t="s">
        <v>519</v>
      </c>
      <c r="H65" s="187" t="s">
        <v>452</v>
      </c>
      <c r="I65" s="243">
        <v>1020</v>
      </c>
      <c r="J65" s="243">
        <v>6200</v>
      </c>
      <c r="K65" s="501">
        <f>ROUND(I65*J65,0)</f>
        <v>6324000</v>
      </c>
      <c r="L65" s="502" t="s">
        <v>252</v>
      </c>
      <c r="M65" s="502" t="s">
        <v>164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/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49" t="str">
        <f>IF(OR(TH!L65=TH!$V$7,M65=TH!$V$7),"x","")</f>
        <v/>
      </c>
      <c r="W65" s="49" t="str">
        <f>IF(AND(B65&gt;='IN-NX'!$P$3,B65&lt;='IN-NX'!$Q$3,'IN-NX'!$D$7=D65,OR(LEFT(L65,2)="15",AND(LEFT(M65,2)&lt;&gt;"15",LEFT(M65,2)&lt;&gt;"33"))),"x","")</f>
        <v/>
      </c>
      <c r="X65" s="49" t="str">
        <f>IF(AND(OR(LEFT(TH!L65,2)="15",LEFT(TH!M65,2)="15"),'152-CT'!$J$8=TH!F65),"x","")</f>
        <v/>
      </c>
      <c r="Y65" s="49" t="str">
        <f>IF(AND(OR(LEFT(TH!L65,2)="15",LEFT(TH!M65,2)="15"),TK!$E$7=TH!F65),"x","")</f>
        <v/>
      </c>
      <c r="Z65" s="49" t="str">
        <f>IF(AND(B65&lt;=NKC!$N$8,B65&gt;=NKC!$M$8),"x","")</f>
        <v>x</v>
      </c>
      <c r="AA65" s="715"/>
      <c r="AB65" s="493"/>
    </row>
    <row r="66" spans="1:30" s="199" customFormat="1" ht="15.75" customHeight="1">
      <c r="A66" s="716" t="str">
        <f>IF(B66&lt;&gt;"",IF(AND(B66&gt;=_TM1,B66&lt;=_TM2,OR(TH!L66="1111",TH!M66="1111")),TH!D66,""),"")</f>
        <v/>
      </c>
      <c r="B66" s="36">
        <f t="shared" si="5"/>
        <v>9</v>
      </c>
      <c r="C66" s="185">
        <f t="shared" si="6"/>
        <v>41178</v>
      </c>
      <c r="D66" s="178" t="s">
        <v>569</v>
      </c>
      <c r="E66" s="178">
        <v>41178</v>
      </c>
      <c r="F66" s="183" t="s">
        <v>509</v>
      </c>
      <c r="G66" s="724" t="s">
        <v>519</v>
      </c>
      <c r="H66" s="187" t="s">
        <v>452</v>
      </c>
      <c r="I66" s="243"/>
      <c r="J66" s="243"/>
      <c r="K66" s="501">
        <v>632400</v>
      </c>
      <c r="L66" s="502" t="s">
        <v>252</v>
      </c>
      <c r="M66" s="502" t="s">
        <v>296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/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49" t="str">
        <f>IF(OR(TH!L66=TH!$V$7,M66=TH!$V$7),"x","")</f>
        <v/>
      </c>
      <c r="W66" s="49" t="str">
        <f>IF(AND(B66&gt;='IN-NX'!$P$3,B66&lt;='IN-NX'!$Q$3,'IN-NX'!$D$7=D66,OR(LEFT(L66,2)="15",AND(LEFT(M66,2)&lt;&gt;"15",LEFT(M66,2)&lt;&gt;"33"))),"x","")</f>
        <v/>
      </c>
      <c r="X66" s="49" t="str">
        <f>IF(AND(OR(LEFT(TH!L66,2)="15",LEFT(TH!M66,2)="15"),'152-CT'!$J$8=TH!F66),"x","")</f>
        <v/>
      </c>
      <c r="Y66" s="49" t="str">
        <f>IF(AND(OR(LEFT(TH!L66,2)="15",LEFT(TH!M66,2)="15"),TK!$E$7=TH!F66),"x","")</f>
        <v/>
      </c>
      <c r="Z66" s="49" t="str">
        <f>IF(AND(B66&lt;=NKC!$N$8,B66&gt;=NKC!$M$8),"x","")</f>
        <v>x</v>
      </c>
      <c r="AA66" s="715"/>
    </row>
    <row r="67" spans="1:30" s="199" customFormat="1" ht="15.75" customHeight="1">
      <c r="A67" s="716" t="str">
        <f>IF(B67&lt;&gt;"",IF(AND(B67&gt;=_TM1,B67&lt;=_TM2,OR(TH!L67="1111",TH!M67="1111")),TH!D67,""),"")</f>
        <v/>
      </c>
      <c r="B67" s="36">
        <f t="shared" si="5"/>
        <v>9</v>
      </c>
      <c r="C67" s="185">
        <f t="shared" si="6"/>
        <v>41182</v>
      </c>
      <c r="D67" s="185" t="s">
        <v>271</v>
      </c>
      <c r="E67" s="185">
        <v>41182</v>
      </c>
      <c r="F67" s="186" t="s">
        <v>561</v>
      </c>
      <c r="G67" s="724"/>
      <c r="H67" s="187" t="s">
        <v>384</v>
      </c>
      <c r="I67" s="243"/>
      <c r="J67" s="243"/>
      <c r="K67" s="501">
        <v>434287</v>
      </c>
      <c r="L67" s="502" t="s">
        <v>9</v>
      </c>
      <c r="M67" s="502" t="s">
        <v>17</v>
      </c>
      <c r="N67" s="49" t="str">
        <f>IF(AND('331-CT'!$E$7=TH!H67,OR(L67="331",M67="331")),"331",IF(AND(OR(L67="131",M67="131"),H67='131-CT'!$E$7),"131",""))</f>
        <v/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49" t="str">
        <f>IF(OR(TH!L67=TH!$V$7,M67=TH!$V$7),"x","")</f>
        <v>x</v>
      </c>
      <c r="W67" s="49" t="str">
        <f>IF(AND(B67&gt;='IN-NX'!$P$3,B67&lt;='IN-NX'!$Q$3,'IN-NX'!$D$7=D67,OR(LEFT(L67,2)="15",AND(LEFT(M67,2)&lt;&gt;"15",LEFT(M67,2)&lt;&gt;"33"))),"x","")</f>
        <v/>
      </c>
      <c r="X67" s="49" t="str">
        <f>IF(AND(OR(LEFT(TH!L67,2)="15",LEFT(TH!M67,2)="15"),'152-CT'!$J$8=TH!F67),"x","")</f>
        <v/>
      </c>
      <c r="Y67" s="49" t="str">
        <f>IF(AND(OR(LEFT(TH!L67,2)="15",LEFT(TH!M67,2)="15"),TK!$E$7=TH!F67),"x","")</f>
        <v/>
      </c>
      <c r="Z67" s="49" t="str">
        <f>IF(AND(B67&lt;=NKC!$N$8,B67&gt;=NKC!$M$8),"x","")</f>
        <v>x</v>
      </c>
      <c r="AA67" s="715"/>
      <c r="AB67" s="493"/>
      <c r="AC67" s="493"/>
      <c r="AD67" s="493"/>
    </row>
    <row r="68" spans="1:30" s="199" customFormat="1" ht="15.75" customHeight="1">
      <c r="A68" s="716" t="str">
        <f>IF(B68&lt;&gt;"",IF(AND(B68&gt;=_TM1,B68&lt;=_TM2,OR(TH!L68="1111",TH!M68="1111")),TH!D68,""),"")</f>
        <v/>
      </c>
      <c r="B68" s="36">
        <f t="shared" si="5"/>
        <v>9</v>
      </c>
      <c r="C68" s="185">
        <f t="shared" si="6"/>
        <v>41182</v>
      </c>
      <c r="D68" s="185" t="s">
        <v>271</v>
      </c>
      <c r="E68" s="185">
        <v>41182</v>
      </c>
      <c r="F68" s="186" t="s">
        <v>771</v>
      </c>
      <c r="G68" s="724"/>
      <c r="H68" s="187"/>
      <c r="I68" s="243"/>
      <c r="J68" s="243"/>
      <c r="K68" s="501">
        <v>8100000</v>
      </c>
      <c r="L68" s="502" t="s">
        <v>83</v>
      </c>
      <c r="M68" s="502" t="s">
        <v>254</v>
      </c>
      <c r="N68" s="49" t="str">
        <f>IF(AND('331-CT'!$E$7=TH!H68,OR(L68="331",M68="331")),"331",IF(AND(OR(L68="131",M68="131"),H68='131-CT'!$E$7),"131",""))</f>
        <v/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>642</v>
      </c>
      <c r="V68" s="49" t="str">
        <f>IF(OR(TH!L68=TH!$V$7,M68=TH!$V$7),"x","")</f>
        <v/>
      </c>
      <c r="W68" s="49" t="str">
        <f>IF(AND(B68&gt;='IN-NX'!$P$3,B68&lt;='IN-NX'!$Q$3,'IN-NX'!$D$7=D68,OR(LEFT(L68,2)="15",AND(LEFT(M68,2)&lt;&gt;"15",LEFT(M68,2)&lt;&gt;"33"))),"x","")</f>
        <v/>
      </c>
      <c r="X68" s="49" t="str">
        <f>IF(AND(OR(LEFT(TH!L68,2)="15",LEFT(TH!M68,2)="15"),'152-CT'!$J$8=TH!F68),"x","")</f>
        <v/>
      </c>
      <c r="Y68" s="49" t="str">
        <f>IF(AND(OR(LEFT(TH!L68,2)="15",LEFT(TH!M68,2)="15"),TK!$E$7=TH!F68),"x","")</f>
        <v/>
      </c>
      <c r="Z68" s="49" t="str">
        <f>IF(AND(B68&lt;=NKC!$N$8,B68&gt;=NKC!$M$8),"x","")</f>
        <v>x</v>
      </c>
      <c r="AA68" s="715"/>
      <c r="AB68" s="493"/>
    </row>
    <row r="69" spans="1:30" s="199" customFormat="1" ht="15.75" customHeight="1">
      <c r="A69" s="716" t="str">
        <f>IF(B69&lt;&gt;"",IF(AND(B69&gt;=_TM1,B69&lt;=_TM2,OR(TH!L69="1111",TH!M69="1111")),TH!D69,""),"")</f>
        <v/>
      </c>
      <c r="B69" s="36">
        <f t="shared" si="5"/>
        <v>9</v>
      </c>
      <c r="C69" s="185">
        <f t="shared" si="6"/>
        <v>41182</v>
      </c>
      <c r="D69" s="185" t="s">
        <v>271</v>
      </c>
      <c r="E69" s="185">
        <v>41182</v>
      </c>
      <c r="F69" s="186" t="s">
        <v>770</v>
      </c>
      <c r="G69" s="724"/>
      <c r="H69" s="187"/>
      <c r="I69" s="243"/>
      <c r="J69" s="243"/>
      <c r="K69" s="501">
        <v>5685000</v>
      </c>
      <c r="L69" s="502" t="s">
        <v>160</v>
      </c>
      <c r="M69" s="502" t="s">
        <v>254</v>
      </c>
      <c r="N69" s="49" t="str">
        <f>IF(AND('331-CT'!$E$7=TH!H69,OR(L69="331",M69="331")),"331",IF(AND(OR(L69="131",M69="131"),H69='131-CT'!$E$7),"131",""))</f>
        <v/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/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>154</v>
      </c>
      <c r="V69" s="49" t="str">
        <f>IF(OR(TH!L69=TH!$V$7,M69=TH!$V$7),"x","")</f>
        <v/>
      </c>
      <c r="W69" s="49" t="str">
        <f>IF(AND(B69&gt;='IN-NX'!$P$3,B69&lt;='IN-NX'!$Q$3,'IN-NX'!$D$7=D69,OR(LEFT(L69,2)="15",AND(LEFT(M69,2)&lt;&gt;"15",LEFT(M69,2)&lt;&gt;"33"))),"x","")</f>
        <v/>
      </c>
      <c r="X69" s="49" t="str">
        <f>IF(AND(OR(LEFT(TH!L69,2)="15",LEFT(TH!M69,2)="15"),'152-CT'!$J$8=TH!F69),"x","")</f>
        <v/>
      </c>
      <c r="Y69" s="49" t="str">
        <f>IF(AND(OR(LEFT(TH!L69,2)="15",LEFT(TH!M69,2)="15"),TK!$E$7=TH!F69),"x","")</f>
        <v/>
      </c>
      <c r="Z69" s="49" t="str">
        <f>IF(AND(B69&lt;=NKC!$N$8,B69&gt;=NKC!$M$8),"x","")</f>
        <v>x</v>
      </c>
      <c r="AA69" s="715"/>
      <c r="AB69" s="493"/>
    </row>
    <row r="70" spans="1:30" s="199" customFormat="1" ht="15.75" customHeight="1">
      <c r="A70" s="716" t="str">
        <f>IF(B70&lt;&gt;"",IF(AND(B70&gt;=_TM1,B70&lt;=_TM2,OR(TH!L70="1111",TH!M70="1111")),TH!D70,""),"")</f>
        <v/>
      </c>
      <c r="B70" s="36">
        <f t="shared" si="5"/>
        <v>9</v>
      </c>
      <c r="C70" s="185">
        <f t="shared" si="6"/>
        <v>41182</v>
      </c>
      <c r="D70" s="178" t="s">
        <v>467</v>
      </c>
      <c r="E70" s="185">
        <v>41182</v>
      </c>
      <c r="F70" s="186" t="s">
        <v>772</v>
      </c>
      <c r="G70" s="724"/>
      <c r="H70" s="187" t="s">
        <v>762</v>
      </c>
      <c r="I70" s="243"/>
      <c r="J70" s="243"/>
      <c r="K70" s="501">
        <f>K68+K69</f>
        <v>13785000</v>
      </c>
      <c r="L70" s="502" t="s">
        <v>254</v>
      </c>
      <c r="M70" s="502" t="s">
        <v>47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/>
      </c>
      <c r="P70" s="49" t="str">
        <f>IF(AND($L70=$O$7,$B70&lt;'111'!$N$11),"x","")</f>
        <v/>
      </c>
      <c r="Q70" s="49" t="str">
        <f>IF(AND($M70=$O$7,$B70&lt;'111'!$N$11),"x","")</f>
        <v>x</v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/>
      </c>
      <c r="T70" s="49" t="str">
        <f>IF(ISERROR(FIND('112'!$M$9,G70,1)),"",IF((AND(RIGHT(G70,2)=RIGHT('112'!$M$9,2),B70&lt;'112'!$N$8,$M70='112'!$I$6)),"x",""))</f>
        <v/>
      </c>
      <c r="U70" s="4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49" t="str">
        <f>IF(OR(TH!L70=TH!$V$7,M70=TH!$V$7),"x","")</f>
        <v/>
      </c>
      <c r="W70" s="49" t="str">
        <f>IF(AND(B70&gt;='IN-NX'!$P$3,B70&lt;='IN-NX'!$Q$3,'IN-NX'!$D$7=D70,OR(LEFT(L70,2)="15",AND(LEFT(M70,2)&lt;&gt;"15",LEFT(M70,2)&lt;&gt;"33"))),"x","")</f>
        <v/>
      </c>
      <c r="X70" s="49" t="str">
        <f>IF(AND(OR(LEFT(TH!L70,2)="15",LEFT(TH!M70,2)="15"),'152-CT'!$J$8=TH!F70),"x","")</f>
        <v/>
      </c>
      <c r="Y70" s="49" t="str">
        <f>IF(AND(OR(LEFT(TH!L70,2)="15",LEFT(TH!M70,2)="15"),TK!$E$7=TH!F70),"x","")</f>
        <v/>
      </c>
      <c r="Z70" s="49" t="str">
        <f>IF(AND(B70&lt;=NKC!$N$8,B70&gt;=NKC!$M$8),"x","")</f>
        <v>x</v>
      </c>
      <c r="AA70" s="715"/>
      <c r="AB70" s="493"/>
    </row>
    <row r="71" spans="1:30" s="199" customFormat="1" ht="15.75" customHeight="1">
      <c r="A71" s="716" t="str">
        <f>IF(B71&lt;&gt;"",IF(AND(B71&gt;=_TM1,B71&lt;=_TM2,OR(TH!L71="1111",TH!M71="1111")),TH!D71,""),"")</f>
        <v/>
      </c>
      <c r="B71" s="36">
        <f t="shared" si="5"/>
        <v>10</v>
      </c>
      <c r="C71" s="185">
        <f t="shared" si="6"/>
        <v>41183</v>
      </c>
      <c r="D71" s="178" t="s">
        <v>444</v>
      </c>
      <c r="E71" s="178">
        <v>41183</v>
      </c>
      <c r="F71" s="183" t="s">
        <v>447</v>
      </c>
      <c r="G71" s="723" t="s">
        <v>351</v>
      </c>
      <c r="H71" s="187" t="s">
        <v>448</v>
      </c>
      <c r="I71" s="243"/>
      <c r="J71" s="243"/>
      <c r="K71" s="501">
        <v>8024412</v>
      </c>
      <c r="L71" s="502" t="s">
        <v>24</v>
      </c>
      <c r="M71" s="502" t="s">
        <v>252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>x</v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/>
      </c>
      <c r="U71" s="4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49" t="str">
        <f>IF(OR(TH!L71=TH!$V$7,M71=TH!$V$7),"x","")</f>
        <v/>
      </c>
      <c r="W71" s="49" t="str">
        <f>IF(AND(B71&gt;='IN-NX'!$P$3,B71&lt;='IN-NX'!$Q$3,'IN-NX'!$D$7=D71,OR(LEFT(L71,2)="15",AND(LEFT(M71,2)&lt;&gt;"15",LEFT(M71,2)&lt;&gt;"33"))),"x","")</f>
        <v/>
      </c>
      <c r="X71" s="49" t="str">
        <f>IF(AND(OR(LEFT(TH!L71,2)="15",LEFT(TH!M71,2)="15"),'152-CT'!$J$8=TH!F71),"x","")</f>
        <v/>
      </c>
      <c r="Y71" s="49" t="str">
        <f>IF(AND(OR(LEFT(TH!L71,2)="15",LEFT(TH!M71,2)="15"),TK!$E$7=TH!F71),"x","")</f>
        <v/>
      </c>
      <c r="Z71" s="49" t="str">
        <f>IF(AND(B71&lt;=NKC!$N$8,B71&gt;=NKC!$M$8),"x","")</f>
        <v/>
      </c>
      <c r="AA71" s="715"/>
      <c r="AB71" s="493"/>
      <c r="AD71" s="493"/>
    </row>
    <row r="72" spans="1:30" s="199" customFormat="1" ht="15.75" customHeight="1">
      <c r="A72" s="716" t="str">
        <f>IF(B72&lt;&gt;"",IF(AND(B72&gt;=_TM1,B72&lt;=_TM2,OR(TH!L72="1111",TH!M72="1111")),TH!D72,""),"")</f>
        <v>T01</v>
      </c>
      <c r="B72" s="36">
        <f t="shared" si="5"/>
        <v>10</v>
      </c>
      <c r="C72" s="185">
        <f t="shared" si="6"/>
        <v>41187</v>
      </c>
      <c r="D72" s="178" t="s">
        <v>290</v>
      </c>
      <c r="E72" s="178">
        <v>41187</v>
      </c>
      <c r="F72" s="183" t="s">
        <v>449</v>
      </c>
      <c r="G72" s="723" t="s">
        <v>351</v>
      </c>
      <c r="H72" s="187" t="s">
        <v>454</v>
      </c>
      <c r="I72" s="243"/>
      <c r="J72" s="243"/>
      <c r="K72" s="501">
        <v>28000000</v>
      </c>
      <c r="L72" s="502" t="s">
        <v>47</v>
      </c>
      <c r="M72" s="502" t="s">
        <v>24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>x</v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>x</v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49" t="str">
        <f>IF(OR(TH!L72=TH!$V$7,M72=TH!$V$7),"x","")</f>
        <v/>
      </c>
      <c r="W72" s="49" t="str">
        <f>IF(AND(B72&gt;='IN-NX'!$P$3,B72&lt;='IN-NX'!$Q$3,'IN-NX'!$D$7=D72,OR(LEFT(L72,2)="15",AND(LEFT(M72,2)&lt;&gt;"15",LEFT(M72,2)&lt;&gt;"33"))),"x","")</f>
        <v/>
      </c>
      <c r="X72" s="49" t="str">
        <f>IF(AND(OR(LEFT(TH!L72,2)="15",LEFT(TH!M72,2)="15"),'152-CT'!$J$8=TH!F72),"x","")</f>
        <v/>
      </c>
      <c r="Y72" s="49" t="str">
        <f>IF(AND(OR(LEFT(TH!L72,2)="15",LEFT(TH!M72,2)="15"),TK!$E$7=TH!F72),"x","")</f>
        <v/>
      </c>
      <c r="Z72" s="49" t="str">
        <f>IF(AND(B72&lt;=NKC!$N$8,B72&gt;=NKC!$M$8),"x","")</f>
        <v/>
      </c>
      <c r="AA72" s="715"/>
      <c r="AB72" s="493"/>
      <c r="AC72" s="493"/>
      <c r="AD72" s="493"/>
    </row>
    <row r="73" spans="1:30" s="199" customFormat="1" ht="15.75" customHeight="1">
      <c r="A73" s="716" t="str">
        <f>IF(B73&lt;&gt;"",IF(AND(B73&gt;=_TM1,B73&lt;=_TM2,OR(TH!L73="1111",TH!M73="1111")),TH!D73,""),"")</f>
        <v/>
      </c>
      <c r="B73" s="36">
        <f t="shared" si="5"/>
        <v>10</v>
      </c>
      <c r="C73" s="185">
        <f t="shared" si="6"/>
        <v>41187</v>
      </c>
      <c r="D73" s="178" t="s">
        <v>456</v>
      </c>
      <c r="E73" s="178">
        <v>41187</v>
      </c>
      <c r="F73" s="183" t="s">
        <v>450</v>
      </c>
      <c r="G73" s="723" t="s">
        <v>351</v>
      </c>
      <c r="H73" s="187"/>
      <c r="I73" s="243"/>
      <c r="J73" s="243"/>
      <c r="K73" s="501">
        <v>20000</v>
      </c>
      <c r="L73" s="502" t="s">
        <v>83</v>
      </c>
      <c r="M73" s="502" t="s">
        <v>24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>x</v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49" t="str">
        <f>IF(OR(TH!L73=TH!$V$7,M73=TH!$V$7),"x","")</f>
        <v/>
      </c>
      <c r="W73" s="49" t="str">
        <f>IF(AND(B73&gt;='IN-NX'!$P$3,B73&lt;='IN-NX'!$Q$3,'IN-NX'!$D$7=D73,OR(LEFT(L73,2)="15",AND(LEFT(M73,2)&lt;&gt;"15",LEFT(M73,2)&lt;&gt;"33"))),"x","")</f>
        <v/>
      </c>
      <c r="X73" s="49" t="str">
        <f>IF(AND(OR(LEFT(TH!L73,2)="15",LEFT(TH!M73,2)="15"),'152-CT'!$J$8=TH!F73),"x","")</f>
        <v/>
      </c>
      <c r="Y73" s="49" t="str">
        <f>IF(AND(OR(LEFT(TH!L73,2)="15",LEFT(TH!M73,2)="15"),TK!$E$7=TH!F73),"x","")</f>
        <v/>
      </c>
      <c r="Z73" s="49" t="str">
        <f>IF(AND(B73&lt;=NKC!$N$8,B73&gt;=NKC!$M$8),"x","")</f>
        <v/>
      </c>
      <c r="AA73" s="715"/>
      <c r="AB73" s="493"/>
      <c r="AC73" s="493"/>
      <c r="AD73" s="493"/>
    </row>
    <row r="74" spans="1:30" s="199" customFormat="1" ht="15.75" customHeight="1">
      <c r="A74" s="716" t="str">
        <f>IF(B74&lt;&gt;"",IF(AND(B74&gt;=_TM1,B74&lt;=_TM2,OR(TH!L74="1111",TH!M74="1111")),TH!D74,""),"")</f>
        <v/>
      </c>
      <c r="B74" s="36">
        <f t="shared" si="5"/>
        <v>10</v>
      </c>
      <c r="C74" s="185">
        <f t="shared" si="6"/>
        <v>41187</v>
      </c>
      <c r="D74" s="178" t="s">
        <v>456</v>
      </c>
      <c r="E74" s="178">
        <v>41187</v>
      </c>
      <c r="F74" s="183" t="s">
        <v>603</v>
      </c>
      <c r="G74" s="723" t="s">
        <v>351</v>
      </c>
      <c r="H74" s="187"/>
      <c r="I74" s="243"/>
      <c r="J74" s="243"/>
      <c r="K74" s="501">
        <v>2000</v>
      </c>
      <c r="L74" s="502" t="s">
        <v>9</v>
      </c>
      <c r="M74" s="502" t="s">
        <v>24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>x</v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49" t="str">
        <f>IF(OR(TH!L74=TH!$V$7,M74=TH!$V$7),"x","")</f>
        <v/>
      </c>
      <c r="W74" s="49" t="str">
        <f>IF(AND(B74&gt;='IN-NX'!$P$3,B74&lt;='IN-NX'!$Q$3,'IN-NX'!$D$7=D74,OR(LEFT(L74,2)="15",AND(LEFT(M74,2)&lt;&gt;"15",LEFT(M74,2)&lt;&gt;"33"))),"x","")</f>
        <v/>
      </c>
      <c r="X74" s="49" t="str">
        <f>IF(AND(OR(LEFT(TH!L74,2)="15",LEFT(TH!M74,2)="15"),'152-CT'!$J$8=TH!F74),"x","")</f>
        <v/>
      </c>
      <c r="Y74" s="49" t="str">
        <f>IF(AND(OR(LEFT(TH!L74,2)="15",LEFT(TH!M74,2)="15"),TK!$E$7=TH!F74),"x","")</f>
        <v/>
      </c>
      <c r="Z74" s="49" t="str">
        <f>IF(AND(B74&lt;=NKC!$N$8,B74&gt;=NKC!$M$8),"x","")</f>
        <v/>
      </c>
      <c r="AA74" s="715">
        <v>10</v>
      </c>
      <c r="AB74" s="493"/>
      <c r="AC74" s="493"/>
      <c r="AD74" s="493"/>
    </row>
    <row r="75" spans="1:30" s="199" customFormat="1" ht="15.75" customHeight="1">
      <c r="A75" s="716" t="str">
        <f>IF(B75&lt;&gt;"",IF(AND(B75&gt;=_TM1,B75&lt;=_TM2,OR(TH!L75="1111",TH!M75="1111")),TH!D75,""),"")</f>
        <v/>
      </c>
      <c r="B75" s="36">
        <f t="shared" si="5"/>
        <v>10</v>
      </c>
      <c r="C75" s="185">
        <f t="shared" si="6"/>
        <v>41193</v>
      </c>
      <c r="D75" s="178" t="s">
        <v>564</v>
      </c>
      <c r="E75" s="185">
        <v>41193</v>
      </c>
      <c r="F75" s="183" t="s">
        <v>520</v>
      </c>
      <c r="G75" s="724" t="s">
        <v>412</v>
      </c>
      <c r="H75" s="187" t="s">
        <v>453</v>
      </c>
      <c r="I75" s="243">
        <v>1300</v>
      </c>
      <c r="J75" s="243">
        <v>5800</v>
      </c>
      <c r="K75" s="501">
        <f>ROUND(I75*J75,0)</f>
        <v>7540000</v>
      </c>
      <c r="L75" s="502" t="s">
        <v>252</v>
      </c>
      <c r="M75" s="502" t="s">
        <v>164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/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49" t="str">
        <f>IF(OR(TH!L75=TH!$V$7,M75=TH!$V$7),"x","")</f>
        <v/>
      </c>
      <c r="W75" s="49" t="str">
        <f>IF(AND(B75&gt;='IN-NX'!$P$3,B75&lt;='IN-NX'!$Q$3,'IN-NX'!$D$7=D75,OR(LEFT(L75,2)="15",AND(LEFT(M75,2)&lt;&gt;"15",LEFT(M75,2)&lt;&gt;"33"))),"x","")</f>
        <v/>
      </c>
      <c r="X75" s="49" t="str">
        <f>IF(AND(OR(LEFT(TH!L75,2)="15",LEFT(TH!M75,2)="15"),'152-CT'!$J$8=TH!F75),"x","")</f>
        <v/>
      </c>
      <c r="Y75" s="49" t="str">
        <f>IF(AND(OR(LEFT(TH!L75,2)="15",LEFT(TH!M75,2)="15"),TK!$E$7=TH!F75),"x","")</f>
        <v/>
      </c>
      <c r="Z75" s="49" t="str">
        <f>IF(AND(B75&lt;=NKC!$N$8,B75&gt;=NKC!$M$8),"x","")</f>
        <v/>
      </c>
      <c r="AA75" s="715"/>
      <c r="AB75" s="493"/>
    </row>
    <row r="76" spans="1:30" s="199" customFormat="1" ht="15.75" customHeight="1">
      <c r="A76" s="716" t="str">
        <f>IF(B76&lt;&gt;"",IF(AND(B76&gt;=_TM1,B76&lt;=_TM2,OR(TH!L76="1111",TH!M76="1111")),TH!D76,""),"")</f>
        <v/>
      </c>
      <c r="B76" s="36">
        <f t="shared" si="5"/>
        <v>10</v>
      </c>
      <c r="C76" s="185">
        <f t="shared" si="6"/>
        <v>41193</v>
      </c>
      <c r="D76" s="178" t="s">
        <v>564</v>
      </c>
      <c r="E76" s="185">
        <v>41193</v>
      </c>
      <c r="F76" s="183" t="s">
        <v>509</v>
      </c>
      <c r="G76" s="724" t="s">
        <v>412</v>
      </c>
      <c r="H76" s="187" t="s">
        <v>453</v>
      </c>
      <c r="I76" s="243"/>
      <c r="J76" s="243"/>
      <c r="K76" s="501">
        <v>754000</v>
      </c>
      <c r="L76" s="502" t="s">
        <v>252</v>
      </c>
      <c r="M76" s="502" t="s">
        <v>296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/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/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49" t="str">
        <f>IF(OR(TH!L76=TH!$V$7,M76=TH!$V$7),"x","")</f>
        <v/>
      </c>
      <c r="W76" s="49" t="str">
        <f>IF(AND(B76&gt;='IN-NX'!$P$3,B76&lt;='IN-NX'!$Q$3,'IN-NX'!$D$7=D76,OR(LEFT(L76,2)="15",AND(LEFT(M76,2)&lt;&gt;"15",LEFT(M76,2)&lt;&gt;"33"))),"x","")</f>
        <v/>
      </c>
      <c r="X76" s="49" t="str">
        <f>IF(AND(OR(LEFT(TH!L76,2)="15",LEFT(TH!M76,2)="15"),'152-CT'!$J$8=TH!F76),"x","")</f>
        <v/>
      </c>
      <c r="Y76" s="49" t="str">
        <f>IF(AND(OR(LEFT(TH!L76,2)="15",LEFT(TH!M76,2)="15"),TK!$E$7=TH!F76),"x","")</f>
        <v/>
      </c>
      <c r="Z76" s="49" t="str">
        <f>IF(AND(B76&lt;=NKC!$N$8,B76&gt;=NKC!$M$8),"x","")</f>
        <v/>
      </c>
      <c r="AA76" s="715"/>
      <c r="AB76" s="493"/>
    </row>
    <row r="77" spans="1:30" s="199" customFormat="1" ht="15.75" customHeight="1">
      <c r="A77" s="716" t="str">
        <f>IF(B77&lt;&gt;"",IF(AND(B77&gt;=_TM1,B77&lt;=_TM2,OR(TH!L77="1111",TH!M77="1111")),TH!D77,""),"")</f>
        <v/>
      </c>
      <c r="B77" s="36">
        <f t="shared" si="5"/>
        <v>10</v>
      </c>
      <c r="C77" s="185">
        <f t="shared" si="6"/>
        <v>41195</v>
      </c>
      <c r="D77" s="185" t="s">
        <v>469</v>
      </c>
      <c r="E77" s="178">
        <v>41195</v>
      </c>
      <c r="F77" s="183" t="s">
        <v>399</v>
      </c>
      <c r="G77" s="723" t="s">
        <v>400</v>
      </c>
      <c r="H77" s="7" t="s">
        <v>363</v>
      </c>
      <c r="I77" s="243">
        <v>500</v>
      </c>
      <c r="J77" s="243">
        <v>12750</v>
      </c>
      <c r="K77" s="37">
        <f>ROUND(I77*J77,0)</f>
        <v>6375000</v>
      </c>
      <c r="L77" s="188" t="s">
        <v>352</v>
      </c>
      <c r="M77" s="188" t="s">
        <v>8</v>
      </c>
      <c r="N77" s="49" t="str">
        <f>IF(AND('331-CT'!$E$7=TH!H77,OR(L77="331",M77="331")),"331",IF(AND(OR(L77="131",M77="131"),H77='131-CT'!$E$7),"131",""))</f>
        <v>331</v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/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49" t="str">
        <f>IF(OR(TH!L77=TH!$V$7,M77=TH!$V$7),"x","")</f>
        <v/>
      </c>
      <c r="W77" s="49" t="str">
        <f>IF(AND(B77&gt;='IN-NX'!$P$3,B77&lt;='IN-NX'!$Q$3,'IN-NX'!$D$7=D77,OR(LEFT(L77,2)="15",AND(LEFT(M77,2)&lt;&gt;"15",LEFT(M77,2)&lt;&gt;"33"))),"x","")</f>
        <v/>
      </c>
      <c r="X77" s="49" t="str">
        <f>IF(AND(OR(LEFT(TH!L77,2)="15",LEFT(TH!M77,2)="15"),'152-CT'!$J$8=TH!F77),"x","")</f>
        <v/>
      </c>
      <c r="Y77" s="49" t="str">
        <f>IF(AND(OR(LEFT(TH!L77,2)="15",LEFT(TH!M77,2)="15"),TK!$E$7=TH!F77),"x","")</f>
        <v/>
      </c>
      <c r="Z77" s="49" t="str">
        <f>IF(AND(B77&lt;=NKC!$N$8,B77&gt;=NKC!$M$8),"x","")</f>
        <v/>
      </c>
      <c r="AA77" s="715"/>
      <c r="AB77" s="493"/>
    </row>
    <row r="78" spans="1:30" s="199" customFormat="1" ht="15.75" customHeight="1">
      <c r="A78" s="716" t="str">
        <f>IF(B78&lt;&gt;"",IF(AND(B78&gt;=_TM1,B78&lt;=_TM2,OR(TH!L78="1111",TH!M78="1111")),TH!D78,""),"")</f>
        <v/>
      </c>
      <c r="B78" s="36">
        <f t="shared" si="5"/>
        <v>10</v>
      </c>
      <c r="C78" s="185">
        <f t="shared" si="6"/>
        <v>41195</v>
      </c>
      <c r="D78" s="185" t="s">
        <v>469</v>
      </c>
      <c r="E78" s="178">
        <v>41195</v>
      </c>
      <c r="F78" s="183" t="s">
        <v>365</v>
      </c>
      <c r="G78" s="723" t="s">
        <v>400</v>
      </c>
      <c r="H78" s="7" t="s">
        <v>363</v>
      </c>
      <c r="I78" s="243"/>
      <c r="J78" s="243"/>
      <c r="K78" s="37">
        <v>637500</v>
      </c>
      <c r="L78" s="188" t="s">
        <v>9</v>
      </c>
      <c r="M78" s="188" t="s">
        <v>8</v>
      </c>
      <c r="N78" s="49" t="str">
        <f>IF(AND('331-CT'!$E$7=TH!H78,OR(L78="331",M78="331")),"331",IF(AND(OR(L78="131",M78="131"),H78='131-CT'!$E$7),"131",""))</f>
        <v>331</v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/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49" t="str">
        <f>IF(OR(TH!L78=TH!$V$7,M78=TH!$V$7),"x","")</f>
        <v/>
      </c>
      <c r="W78" s="49" t="str">
        <f>IF(AND(B78&gt;='IN-NX'!$P$3,B78&lt;='IN-NX'!$Q$3,'IN-NX'!$D$7=D78,OR(LEFT(L78,2)="15",AND(LEFT(M78,2)&lt;&gt;"15",LEFT(M78,2)&lt;&gt;"33"))),"x","")</f>
        <v/>
      </c>
      <c r="X78" s="49" t="str">
        <f>IF(AND(OR(LEFT(TH!L78,2)="15",LEFT(TH!M78,2)="15"),'152-CT'!$J$8=TH!F78),"x","")</f>
        <v/>
      </c>
      <c r="Y78" s="49" t="str">
        <f>IF(AND(OR(LEFT(TH!L78,2)="15",LEFT(TH!M78,2)="15"),TK!$E$7=TH!F78),"x","")</f>
        <v/>
      </c>
      <c r="Z78" s="49" t="str">
        <f>IF(AND(B78&lt;=NKC!$N$8,B78&gt;=NKC!$M$8),"x","")</f>
        <v/>
      </c>
      <c r="AA78" s="715">
        <v>10</v>
      </c>
      <c r="AB78" s="493"/>
    </row>
    <row r="79" spans="1:30" s="199" customFormat="1" ht="15.75" customHeight="1">
      <c r="A79" s="716" t="str">
        <f>IF(B79&lt;&gt;"",IF(AND(B79&gt;=_TM1,B79&lt;=_TM2,OR(TH!L79="1111",TH!M79="1111")),TH!D79,""),"")</f>
        <v>C01</v>
      </c>
      <c r="B79" s="36">
        <f t="shared" si="5"/>
        <v>10</v>
      </c>
      <c r="C79" s="185">
        <f t="shared" si="6"/>
        <v>41195</v>
      </c>
      <c r="D79" s="185" t="s">
        <v>458</v>
      </c>
      <c r="E79" s="178">
        <v>41195</v>
      </c>
      <c r="F79" s="183" t="s">
        <v>457</v>
      </c>
      <c r="G79" s="723" t="s">
        <v>400</v>
      </c>
      <c r="H79" s="7" t="s">
        <v>363</v>
      </c>
      <c r="I79" s="243"/>
      <c r="J79" s="243"/>
      <c r="K79" s="37">
        <v>7012500</v>
      </c>
      <c r="L79" s="188" t="s">
        <v>8</v>
      </c>
      <c r="M79" s="188" t="s">
        <v>47</v>
      </c>
      <c r="N79" s="49" t="str">
        <f>IF(AND('331-CT'!$E$7=TH!H79,OR(L79="331",M79="331")),"331",IF(AND(OR(L79="131",M79="131"),H79='131-CT'!$E$7),"131",""))</f>
        <v>331</v>
      </c>
      <c r="O79" s="49" t="str">
        <f>IF(AND($B79&gt;='111'!$N$11,$B79&lt;='111'!$O$11,OR($L79=$O$7,$M79=$O$7)),"x","")</f>
        <v>x</v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49" t="str">
        <f>IF(OR(TH!L79=TH!$V$7,M79=TH!$V$7),"x","")</f>
        <v/>
      </c>
      <c r="W79" s="49" t="str">
        <f>IF(AND(B79&gt;='IN-NX'!$P$3,B79&lt;='IN-NX'!$Q$3,'IN-NX'!$D$7=D79,OR(LEFT(L79,2)="15",AND(LEFT(M79,2)&lt;&gt;"15",LEFT(M79,2)&lt;&gt;"33"))),"x","")</f>
        <v/>
      </c>
      <c r="X79" s="49" t="str">
        <f>IF(AND(OR(LEFT(TH!L79,2)="15",LEFT(TH!M79,2)="15"),'152-CT'!$J$8=TH!F79),"x","")</f>
        <v/>
      </c>
      <c r="Y79" s="49" t="str">
        <f>IF(AND(OR(LEFT(TH!L79,2)="15",LEFT(TH!M79,2)="15"),TK!$E$7=TH!F79),"x","")</f>
        <v/>
      </c>
      <c r="Z79" s="49" t="str">
        <f>IF(AND(B79&lt;=NKC!$N$8,B79&gt;=NKC!$M$8),"x","")</f>
        <v/>
      </c>
      <c r="AA79" s="715"/>
      <c r="AB79" s="493"/>
    </row>
    <row r="80" spans="1:30" s="199" customFormat="1" ht="15.75" customHeight="1">
      <c r="A80" s="716" t="str">
        <f>IF(B80&lt;&gt;"",IF(AND(B80&gt;=_TM1,B80&lt;=_TM2,OR(TH!L80="1111",TH!M80="1111")),TH!D80,""),"")</f>
        <v/>
      </c>
      <c r="B80" s="36">
        <f t="shared" si="5"/>
        <v>10</v>
      </c>
      <c r="C80" s="185">
        <f t="shared" si="6"/>
        <v>41198</v>
      </c>
      <c r="D80" s="178" t="s">
        <v>444</v>
      </c>
      <c r="E80" s="178">
        <v>41198</v>
      </c>
      <c r="F80" s="183" t="s">
        <v>447</v>
      </c>
      <c r="G80" s="723" t="s">
        <v>351</v>
      </c>
      <c r="H80" s="187" t="s">
        <v>452</v>
      </c>
      <c r="I80" s="243"/>
      <c r="J80" s="243"/>
      <c r="K80" s="501">
        <v>22732212</v>
      </c>
      <c r="L80" s="502" t="s">
        <v>24</v>
      </c>
      <c r="M80" s="502" t="s">
        <v>252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>x</v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49" t="str">
        <f>IF(OR(TH!L80=TH!$V$7,M80=TH!$V$7),"x","")</f>
        <v/>
      </c>
      <c r="W80" s="49" t="str">
        <f>IF(AND(B80&gt;='IN-NX'!$P$3,B80&lt;='IN-NX'!$Q$3,'IN-NX'!$D$7=D80,OR(LEFT(L80,2)="15",AND(LEFT(M80,2)&lt;&gt;"15",LEFT(M80,2)&lt;&gt;"33"))),"x","")</f>
        <v/>
      </c>
      <c r="X80" s="49" t="str">
        <f>IF(AND(OR(LEFT(TH!L80,2)="15",LEFT(TH!M80,2)="15"),'152-CT'!$J$8=TH!F80),"x","")</f>
        <v/>
      </c>
      <c r="Y80" s="49" t="str">
        <f>IF(AND(OR(LEFT(TH!L80,2)="15",LEFT(TH!M80,2)="15"),TK!$E$7=TH!F80),"x","")</f>
        <v/>
      </c>
      <c r="Z80" s="49" t="str">
        <f>IF(AND(B80&lt;=NKC!$N$8,B80&gt;=NKC!$M$8),"x","")</f>
        <v/>
      </c>
      <c r="AA80" s="715"/>
      <c r="AB80" s="493"/>
      <c r="AC80" s="493"/>
      <c r="AD80" s="493"/>
    </row>
    <row r="81" spans="1:28" s="199" customFormat="1" ht="15.75" customHeight="1">
      <c r="A81" s="716" t="str">
        <f>IF(B81&lt;&gt;"",IF(AND(B81&gt;=_TM1,B81&lt;=_TM2,OR(TH!L81="1111",TH!M81="1111")),TH!D81,""),"")</f>
        <v/>
      </c>
      <c r="B81" s="36">
        <f t="shared" si="5"/>
        <v>10</v>
      </c>
      <c r="C81" s="185">
        <f t="shared" si="6"/>
        <v>41198</v>
      </c>
      <c r="D81" s="178" t="s">
        <v>566</v>
      </c>
      <c r="E81" s="185">
        <v>41198</v>
      </c>
      <c r="F81" s="183" t="s">
        <v>521</v>
      </c>
      <c r="G81" s="724" t="s">
        <v>522</v>
      </c>
      <c r="H81" s="187" t="s">
        <v>523</v>
      </c>
      <c r="I81" s="243">
        <v>1000</v>
      </c>
      <c r="J81" s="243">
        <v>7660</v>
      </c>
      <c r="K81" s="501">
        <f>ROUND(I81*J81,0)</f>
        <v>7660000</v>
      </c>
      <c r="L81" s="502" t="s">
        <v>252</v>
      </c>
      <c r="M81" s="502" t="s">
        <v>164</v>
      </c>
      <c r="N81" s="49" t="str">
        <f>IF(AND('331-CT'!$E$7=TH!H81,OR(L81="331",M81="331")),"331",IF(AND(OR(L81="131",M81="131"),H81='131-CT'!$E$7),"131",""))</f>
        <v/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49" t="str">
        <f>IF(OR(TH!L81=TH!$V$7,M81=TH!$V$7),"x","")</f>
        <v/>
      </c>
      <c r="W81" s="49" t="str">
        <f>IF(AND(B81&gt;='IN-NX'!$P$3,B81&lt;='IN-NX'!$Q$3,'IN-NX'!$D$7=D81,OR(LEFT(L81,2)="15",AND(LEFT(M81,2)&lt;&gt;"15",LEFT(M81,2)&lt;&gt;"33"))),"x","")</f>
        <v/>
      </c>
      <c r="X81" s="49" t="str">
        <f>IF(AND(OR(LEFT(TH!L81,2)="15",LEFT(TH!M81,2)="15"),'152-CT'!$J$8=TH!F81),"x","")</f>
        <v/>
      </c>
      <c r="Y81" s="49" t="str">
        <f>IF(AND(OR(LEFT(TH!L81,2)="15",LEFT(TH!M81,2)="15"),TK!$E$7=TH!F81),"x","")</f>
        <v/>
      </c>
      <c r="Z81" s="49" t="str">
        <f>IF(AND(B81&lt;=NKC!$N$8,B81&gt;=NKC!$M$8),"x","")</f>
        <v/>
      </c>
      <c r="AA81" s="715"/>
    </row>
    <row r="82" spans="1:28" s="199" customFormat="1" ht="15.75" customHeight="1">
      <c r="A82" s="716" t="str">
        <f>IF(B82&lt;&gt;"",IF(AND(B82&gt;=_TM1,B82&lt;=_TM2,OR(TH!L82="1111",TH!M82="1111")),TH!D82,""),"")</f>
        <v/>
      </c>
      <c r="B82" s="36">
        <f t="shared" si="5"/>
        <v>10</v>
      </c>
      <c r="C82" s="185">
        <f t="shared" si="6"/>
        <v>41198</v>
      </c>
      <c r="D82" s="178" t="s">
        <v>566</v>
      </c>
      <c r="E82" s="185">
        <v>41198</v>
      </c>
      <c r="F82" s="183" t="s">
        <v>509</v>
      </c>
      <c r="G82" s="724" t="s">
        <v>522</v>
      </c>
      <c r="H82" s="187" t="s">
        <v>523</v>
      </c>
      <c r="I82" s="243"/>
      <c r="J82" s="243"/>
      <c r="K82" s="501">
        <v>766000</v>
      </c>
      <c r="L82" s="502" t="s">
        <v>252</v>
      </c>
      <c r="M82" s="502" t="s">
        <v>296</v>
      </c>
      <c r="N82" s="49" t="str">
        <f>IF(AND('331-CT'!$E$7=TH!H82,OR(L82="331",M82="331")),"331",IF(AND(OR(L82="131",M82="131"),H82='131-CT'!$E$7),"131",""))</f>
        <v/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49" t="str">
        <f>IF(OR(TH!L82=TH!$V$7,M82=TH!$V$7),"x","")</f>
        <v/>
      </c>
      <c r="W82" s="49" t="str">
        <f>IF(AND(B82&gt;='IN-NX'!$P$3,B82&lt;='IN-NX'!$Q$3,'IN-NX'!$D$7=D82,OR(LEFT(L82,2)="15",AND(LEFT(M82,2)&lt;&gt;"15",LEFT(M82,2)&lt;&gt;"33"))),"x","")</f>
        <v/>
      </c>
      <c r="X82" s="49" t="str">
        <f>IF(AND(OR(LEFT(TH!L82,2)="15",LEFT(TH!M82,2)="15"),'152-CT'!$J$8=TH!F82),"x","")</f>
        <v/>
      </c>
      <c r="Y82" s="49" t="str">
        <f>IF(AND(OR(LEFT(TH!L82,2)="15",LEFT(TH!M82,2)="15"),TK!$E$7=TH!F82),"x","")</f>
        <v/>
      </c>
      <c r="Z82" s="49" t="str">
        <f>IF(AND(B82&lt;=NKC!$N$8,B82&gt;=NKC!$M$8),"x","")</f>
        <v/>
      </c>
      <c r="AA82" s="715"/>
      <c r="AB82" s="493"/>
    </row>
    <row r="83" spans="1:28" s="199" customFormat="1" ht="15.75" customHeight="1">
      <c r="A83" s="716" t="str">
        <f>IF(B83&lt;&gt;"",IF(AND(B83&gt;=_TM1,B83&lt;=_TM2,OR(TH!L83="1111",TH!M83="1111")),TH!D83,""),"")</f>
        <v>C02</v>
      </c>
      <c r="B83" s="36">
        <f t="shared" si="5"/>
        <v>10</v>
      </c>
      <c r="C83" s="185">
        <f t="shared" si="6"/>
        <v>41199</v>
      </c>
      <c r="D83" s="185" t="s">
        <v>459</v>
      </c>
      <c r="E83" s="178">
        <v>41199</v>
      </c>
      <c r="F83" s="183" t="s">
        <v>381</v>
      </c>
      <c r="G83" s="723" t="s">
        <v>383</v>
      </c>
      <c r="H83" s="7" t="s">
        <v>384</v>
      </c>
      <c r="I83" s="243"/>
      <c r="J83" s="243"/>
      <c r="K83" s="37">
        <v>366032</v>
      </c>
      <c r="L83" s="188" t="s">
        <v>17</v>
      </c>
      <c r="M83" s="188" t="s">
        <v>47</v>
      </c>
      <c r="N83" s="49" t="str">
        <f>IF(AND('331-CT'!$E$7=TH!H83,OR(L83="331",M83="331")),"331",IF(AND(OR(L83="131",M83="131"),H83='131-CT'!$E$7),"131",""))</f>
        <v/>
      </c>
      <c r="O83" s="49" t="str">
        <f>IF(AND($B83&gt;='111'!$N$11,$B83&lt;='111'!$O$11,OR($L83=$O$7,$M83=$O$7)),"x","")</f>
        <v>x</v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49" t="str">
        <f>IF(OR(TH!L83=TH!$V$7,M83=TH!$V$7),"x","")</f>
        <v>x</v>
      </c>
      <c r="W83" s="49" t="str">
        <f>IF(AND(B83&gt;='IN-NX'!$P$3,B83&lt;='IN-NX'!$Q$3,'IN-NX'!$D$7=D83,OR(LEFT(L83,2)="15",AND(LEFT(M83,2)&lt;&gt;"15",LEFT(M83,2)&lt;&gt;"33"))),"x","")</f>
        <v/>
      </c>
      <c r="X83" s="49" t="str">
        <f>IF(AND(OR(LEFT(TH!L83,2)="15",LEFT(TH!M83,2)="15"),'152-CT'!$J$8=TH!F83),"x","")</f>
        <v/>
      </c>
      <c r="Y83" s="49" t="str">
        <f>IF(AND(OR(LEFT(TH!L83,2)="15",LEFT(TH!M83,2)="15"),TK!$E$7=TH!F83),"x","")</f>
        <v/>
      </c>
      <c r="Z83" s="49" t="str">
        <f>IF(AND(B83&lt;=NKC!$N$8,B83&gt;=NKC!$M$8),"x","")</f>
        <v/>
      </c>
      <c r="AA83" s="715"/>
      <c r="AB83" s="493"/>
    </row>
    <row r="84" spans="1:28" s="199" customFormat="1" ht="15.75" customHeight="1">
      <c r="A84" s="716" t="str">
        <f>IF(B84&lt;&gt;"",IF(AND(B84&gt;=_TM1,B84&lt;=_TM2,OR(TH!L84="1111",TH!M84="1111")),TH!D84,""),"")</f>
        <v>C02</v>
      </c>
      <c r="B84" s="36">
        <f t="shared" si="5"/>
        <v>10</v>
      </c>
      <c r="C84" s="185">
        <f t="shared" si="6"/>
        <v>41199</v>
      </c>
      <c r="D84" s="185" t="s">
        <v>459</v>
      </c>
      <c r="E84" s="178">
        <v>41199</v>
      </c>
      <c r="F84" s="183" t="s">
        <v>382</v>
      </c>
      <c r="G84" s="723" t="s">
        <v>383</v>
      </c>
      <c r="H84" s="7" t="s">
        <v>384</v>
      </c>
      <c r="I84" s="243"/>
      <c r="J84" s="243"/>
      <c r="K84" s="37">
        <v>750000</v>
      </c>
      <c r="L84" s="188" t="s">
        <v>63</v>
      </c>
      <c r="M84" s="188" t="s">
        <v>47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>x</v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/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49" t="str">
        <f>IF(OR(TH!L84=TH!$V$7,M84=TH!$V$7),"x","")</f>
        <v/>
      </c>
      <c r="W84" s="49" t="str">
        <f>IF(AND(B84&gt;='IN-NX'!$P$3,B84&lt;='IN-NX'!$Q$3,'IN-NX'!$D$7=D84,OR(LEFT(L84,2)="15",AND(LEFT(M84,2)&lt;&gt;"15",LEFT(M84,2)&lt;&gt;"33"))),"x","")</f>
        <v/>
      </c>
      <c r="X84" s="49" t="str">
        <f>IF(AND(OR(LEFT(TH!L84,2)="15",LEFT(TH!M84,2)="15"),'152-CT'!$J$8=TH!F84),"x","")</f>
        <v/>
      </c>
      <c r="Y84" s="49" t="str">
        <f>IF(AND(OR(LEFT(TH!L84,2)="15",LEFT(TH!M84,2)="15"),TK!$E$7=TH!F84),"x","")</f>
        <v/>
      </c>
      <c r="Z84" s="49" t="str">
        <f>IF(AND(B84&lt;=NKC!$N$8,B84&gt;=NKC!$M$8),"x","")</f>
        <v/>
      </c>
      <c r="AA84" s="715"/>
      <c r="AB84" s="493"/>
    </row>
    <row r="85" spans="1:28" s="199" customFormat="1" ht="15.75" customHeight="1">
      <c r="A85" s="716" t="str">
        <f>IF(B85&lt;&gt;"",IF(AND(B85&gt;=_TM1,B85&lt;=_TM2,OR(TH!L85="1111",TH!M85="1111")),TH!D85,""),"")</f>
        <v/>
      </c>
      <c r="B85" s="36">
        <f t="shared" si="5"/>
        <v>10</v>
      </c>
      <c r="C85" s="185">
        <f t="shared" si="6"/>
        <v>41199</v>
      </c>
      <c r="D85" s="185" t="s">
        <v>271</v>
      </c>
      <c r="E85" s="178">
        <v>41199</v>
      </c>
      <c r="F85" s="183" t="s">
        <v>385</v>
      </c>
      <c r="G85" s="723"/>
      <c r="H85" s="7" t="s">
        <v>384</v>
      </c>
      <c r="I85" s="243"/>
      <c r="J85" s="243"/>
      <c r="K85" s="37">
        <v>750000</v>
      </c>
      <c r="L85" s="188" t="s">
        <v>83</v>
      </c>
      <c r="M85" s="188" t="s">
        <v>63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49" t="str">
        <f>IF(OR(TH!L85=TH!$V$7,M85=TH!$V$7),"x","")</f>
        <v/>
      </c>
      <c r="W85" s="49" t="str">
        <f>IF(AND(B85&gt;='IN-NX'!$P$3,B85&lt;='IN-NX'!$Q$3,'IN-NX'!$D$7=D85,OR(LEFT(L85,2)="15",AND(LEFT(M85,2)&lt;&gt;"15",LEFT(M85,2)&lt;&gt;"33"))),"x","")</f>
        <v/>
      </c>
      <c r="X85" s="49" t="str">
        <f>IF(AND(OR(LEFT(TH!L85,2)="15",LEFT(TH!M85,2)="15"),'152-CT'!$J$8=TH!F85),"x","")</f>
        <v/>
      </c>
      <c r="Y85" s="49" t="str">
        <f>IF(AND(OR(LEFT(TH!L85,2)="15",LEFT(TH!M85,2)="15"),TK!$E$7=TH!F85),"x","")</f>
        <v/>
      </c>
      <c r="Z85" s="49" t="str">
        <f>IF(AND(B85&lt;=NKC!$N$8,B85&gt;=NKC!$M$8),"x","")</f>
        <v/>
      </c>
      <c r="AA85" s="715"/>
      <c r="AB85" s="493"/>
    </row>
    <row r="86" spans="1:28" s="199" customFormat="1" ht="15.75" customHeight="1">
      <c r="A86" s="716" t="str">
        <f>IF(B86&lt;&gt;"",IF(AND(B86&gt;=_TM1,B86&lt;=_TM2,OR(TH!L86="1111",TH!M86="1111")),TH!D86,""),"")</f>
        <v>C03</v>
      </c>
      <c r="B86" s="36">
        <f t="shared" si="5"/>
        <v>10</v>
      </c>
      <c r="C86" s="185">
        <f t="shared" si="6"/>
        <v>41201</v>
      </c>
      <c r="D86" s="185" t="s">
        <v>460</v>
      </c>
      <c r="E86" s="178">
        <v>41201</v>
      </c>
      <c r="F86" s="186" t="s">
        <v>390</v>
      </c>
      <c r="G86" s="723" t="s">
        <v>391</v>
      </c>
      <c r="H86" s="7" t="s">
        <v>389</v>
      </c>
      <c r="I86" s="243"/>
      <c r="J86" s="243"/>
      <c r="K86" s="37">
        <v>272000</v>
      </c>
      <c r="L86" s="188" t="s">
        <v>83</v>
      </c>
      <c r="M86" s="188" t="s">
        <v>47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>x</v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49" t="str">
        <f>IF(OR(TH!L86=TH!$V$7,M86=TH!$V$7),"x","")</f>
        <v/>
      </c>
      <c r="W86" s="49" t="str">
        <f>IF(AND(B86&gt;='IN-NX'!$P$3,B86&lt;='IN-NX'!$Q$3,'IN-NX'!$D$7=D86,OR(LEFT(L86,2)="15",AND(LEFT(M86,2)&lt;&gt;"15",LEFT(M86,2)&lt;&gt;"33"))),"x","")</f>
        <v/>
      </c>
      <c r="X86" s="49" t="str">
        <f>IF(AND(OR(LEFT(TH!L86,2)="15",LEFT(TH!M86,2)="15"),'152-CT'!$J$8=TH!F86),"x","")</f>
        <v/>
      </c>
      <c r="Y86" s="49" t="str">
        <f>IF(AND(OR(LEFT(TH!L86,2)="15",LEFT(TH!M86,2)="15"),TK!$E$7=TH!F86),"x","")</f>
        <v/>
      </c>
      <c r="Z86" s="49" t="str">
        <f>IF(AND(B86&lt;=NKC!$N$8,B86&gt;=NKC!$M$8),"x","")</f>
        <v/>
      </c>
      <c r="AA86" s="715"/>
      <c r="AB86" s="493"/>
    </row>
    <row r="87" spans="1:28" s="199" customFormat="1" ht="15.75" customHeight="1">
      <c r="A87" s="716" t="str">
        <f>IF(B87&lt;&gt;"",IF(AND(B87&gt;=_TM1,B87&lt;=_TM2,OR(TH!L87="1111",TH!M87="1111")),TH!D87,""),"")</f>
        <v/>
      </c>
      <c r="B87" s="36">
        <f t="shared" ref="B87:B150" si="7">IF(C87&lt;&gt;"",MONTH(C87),"")</f>
        <v>10</v>
      </c>
      <c r="C87" s="185">
        <f t="shared" ref="C87:C150" si="8">E87</f>
        <v>41201</v>
      </c>
      <c r="D87" s="185" t="s">
        <v>471</v>
      </c>
      <c r="E87" s="178">
        <v>41201</v>
      </c>
      <c r="F87" s="183" t="s">
        <v>369</v>
      </c>
      <c r="G87" s="723" t="s">
        <v>401</v>
      </c>
      <c r="H87" s="7" t="s">
        <v>363</v>
      </c>
      <c r="I87" s="243">
        <v>500</v>
      </c>
      <c r="J87" s="243">
        <v>11622</v>
      </c>
      <c r="K87" s="37">
        <f>ROUND(I87*J87,0)</f>
        <v>5811000</v>
      </c>
      <c r="L87" s="188" t="s">
        <v>352</v>
      </c>
      <c r="M87" s="188" t="s">
        <v>8</v>
      </c>
      <c r="N87" s="49" t="str">
        <f>IF(AND('331-CT'!$E$7=TH!H87,OR(L87="331",M87="331")),"331",IF(AND(OR(L87="131",M87="131"),H87='131-CT'!$E$7),"131",""))</f>
        <v>331</v>
      </c>
      <c r="O87" s="49" t="str">
        <f>IF(AND($B87&gt;='111'!$N$11,$B87&lt;='111'!$O$11,OR($L87=$O$7,$M87=$O$7)),"x","")</f>
        <v/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49" t="str">
        <f>IF(OR(TH!L87=TH!$V$7,M87=TH!$V$7),"x","")</f>
        <v/>
      </c>
      <c r="W87" s="49" t="str">
        <f>IF(AND(B87&gt;='IN-NX'!$P$3,B87&lt;='IN-NX'!$Q$3,'IN-NX'!$D$7=D87,OR(LEFT(L87,2)="15",AND(LEFT(M87,2)&lt;&gt;"15",LEFT(M87,2)&lt;&gt;"33"))),"x","")</f>
        <v/>
      </c>
      <c r="X87" s="49" t="str">
        <f>IF(AND(OR(LEFT(TH!L87,2)="15",LEFT(TH!M87,2)="15"),'152-CT'!$J$8=TH!F87),"x","")</f>
        <v/>
      </c>
      <c r="Y87" s="49" t="str">
        <f>IF(AND(OR(LEFT(TH!L87,2)="15",LEFT(TH!M87,2)="15"),TK!$E$7=TH!F87),"x","")</f>
        <v/>
      </c>
      <c r="Z87" s="49" t="str">
        <f>IF(AND(B87&lt;=NKC!$N$8,B87&gt;=NKC!$M$8),"x","")</f>
        <v/>
      </c>
      <c r="AA87" s="715"/>
      <c r="AB87" s="493"/>
    </row>
    <row r="88" spans="1:28" s="199" customFormat="1" ht="15.75" customHeight="1">
      <c r="A88" s="716" t="str">
        <f>IF(B88&lt;&gt;"",IF(AND(B88&gt;=_TM1,B88&lt;=_TM2,OR(TH!L88="1111",TH!M88="1111")),TH!D88,""),"")</f>
        <v/>
      </c>
      <c r="B88" s="36">
        <f t="shared" si="7"/>
        <v>10</v>
      </c>
      <c r="C88" s="185">
        <f t="shared" si="8"/>
        <v>41201</v>
      </c>
      <c r="D88" s="185" t="s">
        <v>471</v>
      </c>
      <c r="E88" s="178">
        <v>41201</v>
      </c>
      <c r="F88" s="183" t="s">
        <v>402</v>
      </c>
      <c r="G88" s="723" t="s">
        <v>401</v>
      </c>
      <c r="H88" s="7" t="s">
        <v>363</v>
      </c>
      <c r="I88" s="243">
        <v>500</v>
      </c>
      <c r="J88" s="243">
        <v>8556</v>
      </c>
      <c r="K88" s="37">
        <f>ROUND(I88*J88,0)</f>
        <v>4278000</v>
      </c>
      <c r="L88" s="188" t="s">
        <v>352</v>
      </c>
      <c r="M88" s="188" t="s">
        <v>8</v>
      </c>
      <c r="N88" s="49" t="str">
        <f>IF(AND('331-CT'!$E$7=TH!H88,OR(L88="331",M88="331")),"331",IF(AND(OR(L88="131",M88="131"),H88='131-CT'!$E$7),"131",""))</f>
        <v>331</v>
      </c>
      <c r="O88" s="49" t="str">
        <f>IF(AND($B88&gt;='111'!$N$11,$B88&lt;='111'!$O$11,OR($L88=$O$7,$M88=$O$7)),"x","")</f>
        <v/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49" t="str">
        <f>IF(OR(TH!L88=TH!$V$7,M88=TH!$V$7),"x","")</f>
        <v/>
      </c>
      <c r="W88" s="49" t="str">
        <f>IF(AND(B88&gt;='IN-NX'!$P$3,B88&lt;='IN-NX'!$Q$3,'IN-NX'!$D$7=D88,OR(LEFT(L88,2)="15",AND(LEFT(M88,2)&lt;&gt;"15",LEFT(M88,2)&lt;&gt;"33"))),"x","")</f>
        <v/>
      </c>
      <c r="X88" s="49" t="str">
        <f>IF(AND(OR(LEFT(TH!L88,2)="15",LEFT(TH!M88,2)="15"),'152-CT'!$J$8=TH!F88),"x","")</f>
        <v/>
      </c>
      <c r="Y88" s="49" t="str">
        <f>IF(AND(OR(LEFT(TH!L88,2)="15",LEFT(TH!M88,2)="15"),TK!$E$7=TH!F88),"x","")</f>
        <v/>
      </c>
      <c r="Z88" s="49" t="str">
        <f>IF(AND(B88&lt;=NKC!$N$8,B88&gt;=NKC!$M$8),"x","")</f>
        <v/>
      </c>
      <c r="AA88" s="715"/>
      <c r="AB88" s="493"/>
    </row>
    <row r="89" spans="1:28" s="199" customFormat="1" ht="15.75" customHeight="1">
      <c r="A89" s="716" t="str">
        <f>IF(B89&lt;&gt;"",IF(AND(B89&gt;=_TM1,B89&lt;=_TM2,OR(TH!L89="1111",TH!M89="1111")),TH!D89,""),"")</f>
        <v/>
      </c>
      <c r="B89" s="36">
        <f t="shared" si="7"/>
        <v>10</v>
      </c>
      <c r="C89" s="185">
        <f t="shared" si="8"/>
        <v>41201</v>
      </c>
      <c r="D89" s="185" t="s">
        <v>471</v>
      </c>
      <c r="E89" s="178">
        <v>41201</v>
      </c>
      <c r="F89" s="183" t="s">
        <v>365</v>
      </c>
      <c r="G89" s="723" t="s">
        <v>401</v>
      </c>
      <c r="H89" s="7" t="s">
        <v>363</v>
      </c>
      <c r="I89" s="243"/>
      <c r="J89" s="243"/>
      <c r="K89" s="37">
        <v>1008900</v>
      </c>
      <c r="L89" s="188" t="s">
        <v>9</v>
      </c>
      <c r="M89" s="188" t="s">
        <v>8</v>
      </c>
      <c r="N89" s="49" t="str">
        <f>IF(AND('331-CT'!$E$7=TH!H89,OR(L89="331",M89="331")),"331",IF(AND(OR(L89="131",M89="131"),H89='131-CT'!$E$7),"131",""))</f>
        <v>331</v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49" t="str">
        <f>IF(OR(TH!L89=TH!$V$7,M89=TH!$V$7),"x","")</f>
        <v/>
      </c>
      <c r="W89" s="49" t="str">
        <f>IF(AND(B89&gt;='IN-NX'!$P$3,B89&lt;='IN-NX'!$Q$3,'IN-NX'!$D$7=D89,OR(LEFT(L89,2)="15",AND(LEFT(M89,2)&lt;&gt;"15",LEFT(M89,2)&lt;&gt;"33"))),"x","")</f>
        <v/>
      </c>
      <c r="X89" s="49" t="str">
        <f>IF(AND(OR(LEFT(TH!L89,2)="15",LEFT(TH!M89,2)="15"),'152-CT'!$J$8=TH!F89),"x","")</f>
        <v/>
      </c>
      <c r="Y89" s="49" t="str">
        <f>IF(AND(OR(LEFT(TH!L89,2)="15",LEFT(TH!M89,2)="15"),TK!$E$7=TH!F89),"x","")</f>
        <v/>
      </c>
      <c r="Z89" s="49" t="str">
        <f>IF(AND(B89&lt;=NKC!$N$8,B89&gt;=NKC!$M$8),"x","")</f>
        <v/>
      </c>
      <c r="AA89" s="715">
        <v>10</v>
      </c>
      <c r="AB89" s="493"/>
    </row>
    <row r="90" spans="1:28" s="199" customFormat="1" ht="15.75" customHeight="1">
      <c r="A90" s="716" t="str">
        <f>IF(B90&lt;&gt;"",IF(AND(B90&gt;=_TM1,B90&lt;=_TM2,OR(TH!L90="1111",TH!M90="1111")),TH!D90,""),"")</f>
        <v>C04</v>
      </c>
      <c r="B90" s="36">
        <f t="shared" si="7"/>
        <v>10</v>
      </c>
      <c r="C90" s="185">
        <f t="shared" si="8"/>
        <v>41201</v>
      </c>
      <c r="D90" s="185" t="s">
        <v>461</v>
      </c>
      <c r="E90" s="178">
        <v>41201</v>
      </c>
      <c r="F90" s="183" t="s">
        <v>457</v>
      </c>
      <c r="G90" s="723" t="s">
        <v>401</v>
      </c>
      <c r="H90" s="7" t="s">
        <v>363</v>
      </c>
      <c r="I90" s="243"/>
      <c r="J90" s="243"/>
      <c r="K90" s="37">
        <v>11097900</v>
      </c>
      <c r="L90" s="188" t="s">
        <v>8</v>
      </c>
      <c r="M90" s="188" t="s">
        <v>47</v>
      </c>
      <c r="N90" s="49" t="str">
        <f>IF(AND('331-CT'!$E$7=TH!H90,OR(L90="331",M90="331")),"331",IF(AND(OR(L90="131",M90="131"),H90='131-CT'!$E$7),"131",""))</f>
        <v>331</v>
      </c>
      <c r="O90" s="49" t="str">
        <f>IF(AND($B90&gt;='111'!$N$11,$B90&lt;='111'!$O$11,OR($L90=$O$7,$M90=$O$7)),"x","")</f>
        <v>x</v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49" t="str">
        <f>IF(OR(TH!L90=TH!$V$7,M90=TH!$V$7),"x","")</f>
        <v/>
      </c>
      <c r="W90" s="49" t="str">
        <f>IF(AND(B90&gt;='IN-NX'!$P$3,B90&lt;='IN-NX'!$Q$3,'IN-NX'!$D$7=D90,OR(LEFT(L90,2)="15",AND(LEFT(M90,2)&lt;&gt;"15",LEFT(M90,2)&lt;&gt;"33"))),"x","")</f>
        <v/>
      </c>
      <c r="X90" s="49" t="str">
        <f>IF(AND(OR(LEFT(TH!L90,2)="15",LEFT(TH!M90,2)="15"),'152-CT'!$J$8=TH!F90),"x","")</f>
        <v/>
      </c>
      <c r="Y90" s="49" t="str">
        <f>IF(AND(OR(LEFT(TH!L90,2)="15",LEFT(TH!M90,2)="15"),TK!$E$7=TH!F90),"x","")</f>
        <v/>
      </c>
      <c r="Z90" s="49" t="str">
        <f>IF(AND(B90&lt;=NKC!$N$8,B90&gt;=NKC!$M$8),"x","")</f>
        <v/>
      </c>
      <c r="AA90" s="715"/>
      <c r="AB90" s="493"/>
    </row>
    <row r="91" spans="1:28" s="199" customFormat="1" ht="15.75" customHeight="1">
      <c r="A91" s="716" t="str">
        <f>IF(B91&lt;&gt;"",IF(AND(B91&gt;=_TM1,B91&lt;=_TM2,OR(TH!L91="1111",TH!M91="1111")),TH!D91,""),"")</f>
        <v>C05</v>
      </c>
      <c r="B91" s="36">
        <f t="shared" si="7"/>
        <v>10</v>
      </c>
      <c r="C91" s="185">
        <f t="shared" si="8"/>
        <v>41202</v>
      </c>
      <c r="D91" s="185" t="s">
        <v>462</v>
      </c>
      <c r="E91" s="178">
        <v>41202</v>
      </c>
      <c r="F91" s="186" t="s">
        <v>356</v>
      </c>
      <c r="G91" s="723" t="s">
        <v>403</v>
      </c>
      <c r="H91" s="198" t="s">
        <v>355</v>
      </c>
      <c r="I91" s="243"/>
      <c r="J91" s="243"/>
      <c r="K91" s="37">
        <f>187273+62727</f>
        <v>250000</v>
      </c>
      <c r="L91" s="188" t="s">
        <v>83</v>
      </c>
      <c r="M91" s="188" t="s">
        <v>47</v>
      </c>
      <c r="N91" s="49" t="str">
        <f>IF(AND('331-CT'!$E$7=TH!H91,OR(L91="331",M91="331")),"331",IF(AND(OR(L91="131",M91="131"),H91='131-CT'!$E$7),"131",""))</f>
        <v/>
      </c>
      <c r="O91" s="49" t="str">
        <f>IF(AND($B91&gt;='111'!$N$11,$B91&lt;='111'!$O$11,OR($L91=$O$7,$M91=$O$7)),"x","")</f>
        <v>x</v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49" t="str">
        <f>IF(OR(TH!L91=TH!$V$7,M91=TH!$V$7),"x","")</f>
        <v/>
      </c>
      <c r="W91" s="49" t="str">
        <f>IF(AND(B91&gt;='IN-NX'!$P$3,B91&lt;='IN-NX'!$Q$3,'IN-NX'!$D$7=D91,OR(LEFT(L91,2)="15",AND(LEFT(M91,2)&lt;&gt;"15",LEFT(M91,2)&lt;&gt;"33"))),"x","")</f>
        <v/>
      </c>
      <c r="X91" s="49" t="str">
        <f>IF(AND(OR(LEFT(TH!L91,2)="15",LEFT(TH!M91,2)="15"),'152-CT'!$J$8=TH!F91),"x","")</f>
        <v/>
      </c>
      <c r="Y91" s="49" t="str">
        <f>IF(AND(OR(LEFT(TH!L91,2)="15",LEFT(TH!M91,2)="15"),TK!$E$7=TH!F91),"x","")</f>
        <v/>
      </c>
      <c r="Z91" s="49" t="str">
        <f>IF(AND(B91&lt;=NKC!$N$8,B91&gt;=NKC!$M$8),"x","")</f>
        <v/>
      </c>
      <c r="AA91" s="715"/>
      <c r="AB91" s="493"/>
    </row>
    <row r="92" spans="1:28" s="199" customFormat="1" ht="15.75" customHeight="1">
      <c r="A92" s="716" t="str">
        <f>IF(B92&lt;&gt;"",IF(AND(B92&gt;=_TM1,B92&lt;=_TM2,OR(TH!L92="1111",TH!M92="1111")),TH!D92,""),"")</f>
        <v>C05</v>
      </c>
      <c r="B92" s="36">
        <f t="shared" si="7"/>
        <v>10</v>
      </c>
      <c r="C92" s="185">
        <f t="shared" si="8"/>
        <v>41202</v>
      </c>
      <c r="D92" s="185" t="s">
        <v>462</v>
      </c>
      <c r="E92" s="178">
        <v>41202</v>
      </c>
      <c r="F92" s="186" t="s">
        <v>357</v>
      </c>
      <c r="G92" s="723" t="s">
        <v>403</v>
      </c>
      <c r="H92" s="198" t="s">
        <v>355</v>
      </c>
      <c r="I92" s="243"/>
      <c r="J92" s="243"/>
      <c r="K92" s="37">
        <f>18727+6273</f>
        <v>25000</v>
      </c>
      <c r="L92" s="188" t="s">
        <v>9</v>
      </c>
      <c r="M92" s="188" t="s">
        <v>47</v>
      </c>
      <c r="N92" s="49" t="str">
        <f>IF(AND('331-CT'!$E$7=TH!H92,OR(L92="331",M92="331")),"331",IF(AND(OR(L92="131",M92="131"),H92='131-CT'!$E$7),"131",""))</f>
        <v/>
      </c>
      <c r="O92" s="49" t="str">
        <f>IF(AND($B92&gt;='111'!$N$11,$B92&lt;='111'!$O$11,OR($L92=$O$7,$M92=$O$7)),"x","")</f>
        <v>x</v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49" t="str">
        <f>IF(OR(TH!L92=TH!$V$7,M92=TH!$V$7),"x","")</f>
        <v/>
      </c>
      <c r="W92" s="49" t="str">
        <f>IF(AND(B92&gt;='IN-NX'!$P$3,B92&lt;='IN-NX'!$Q$3,'IN-NX'!$D$7=D92,OR(LEFT(L92,2)="15",AND(LEFT(M92,2)&lt;&gt;"15",LEFT(M92,2)&lt;&gt;"33"))),"x","")</f>
        <v/>
      </c>
      <c r="X92" s="49" t="str">
        <f>IF(AND(OR(LEFT(TH!L92,2)="15",LEFT(TH!M92,2)="15"),'152-CT'!$J$8=TH!F92),"x","")</f>
        <v/>
      </c>
      <c r="Y92" s="49" t="str">
        <f>IF(AND(OR(LEFT(TH!L92,2)="15",LEFT(TH!M92,2)="15"),TK!$E$7=TH!F92),"x","")</f>
        <v/>
      </c>
      <c r="Z92" s="49" t="str">
        <f>IF(AND(B92&lt;=NKC!$N$8,B92&gt;=NKC!$M$8),"x","")</f>
        <v/>
      </c>
      <c r="AA92" s="715">
        <v>10</v>
      </c>
      <c r="AB92" s="493"/>
    </row>
    <row r="93" spans="1:28" s="199" customFormat="1" ht="15.75" customHeight="1">
      <c r="A93" s="716" t="str">
        <f>IF(B93&lt;&gt;"",IF(AND(B93&gt;=_TM1,B93&lt;=_TM2,OR(TH!L93="1111",TH!M93="1111")),TH!D93,""),"")</f>
        <v/>
      </c>
      <c r="B93" s="36">
        <f t="shared" si="7"/>
        <v>10</v>
      </c>
      <c r="C93" s="185">
        <f t="shared" si="8"/>
        <v>41205</v>
      </c>
      <c r="D93" s="178" t="s">
        <v>567</v>
      </c>
      <c r="E93" s="185">
        <v>41205</v>
      </c>
      <c r="F93" s="183" t="s">
        <v>516</v>
      </c>
      <c r="G93" s="724" t="s">
        <v>524</v>
      </c>
      <c r="H93" s="187" t="s">
        <v>452</v>
      </c>
      <c r="I93" s="243">
        <v>993</v>
      </c>
      <c r="J93" s="243">
        <v>5150</v>
      </c>
      <c r="K93" s="501">
        <f>ROUND(I93*J93,0)</f>
        <v>5113950</v>
      </c>
      <c r="L93" s="502" t="s">
        <v>252</v>
      </c>
      <c r="M93" s="502" t="s">
        <v>164</v>
      </c>
      <c r="N93" s="49" t="str">
        <f>IF(AND('331-CT'!$E$7=TH!H93,OR(L93="331",M93="331")),"331",IF(AND(OR(L93="131",M93="131"),H93='131-CT'!$E$7),"131",""))</f>
        <v/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49" t="str">
        <f>IF(OR(TH!L93=TH!$V$7,M93=TH!$V$7),"x","")</f>
        <v/>
      </c>
      <c r="W93" s="49" t="str">
        <f>IF(AND(B93&gt;='IN-NX'!$P$3,B93&lt;='IN-NX'!$Q$3,'IN-NX'!$D$7=D93,OR(LEFT(L93,2)="15",AND(LEFT(M93,2)&lt;&gt;"15",LEFT(M93,2)&lt;&gt;"33"))),"x","")</f>
        <v/>
      </c>
      <c r="X93" s="49" t="str">
        <f>IF(AND(OR(LEFT(TH!L93,2)="15",LEFT(TH!M93,2)="15"),'152-CT'!$J$8=TH!F93),"x","")</f>
        <v/>
      </c>
      <c r="Y93" s="49" t="str">
        <f>IF(AND(OR(LEFT(TH!L93,2)="15",LEFT(TH!M93,2)="15"),TK!$E$7=TH!F93),"x","")</f>
        <v/>
      </c>
      <c r="Z93" s="49" t="str">
        <f>IF(AND(B93&lt;=NKC!$N$8,B93&gt;=NKC!$M$8),"x","")</f>
        <v/>
      </c>
      <c r="AA93" s="715"/>
      <c r="AB93" s="493"/>
    </row>
    <row r="94" spans="1:28" s="199" customFormat="1" ht="15.75" customHeight="1">
      <c r="A94" s="716" t="str">
        <f>IF(B94&lt;&gt;"",IF(AND(B94&gt;=_TM1,B94&lt;=_TM2,OR(TH!L94="1111",TH!M94="1111")),TH!D94,""),"")</f>
        <v/>
      </c>
      <c r="B94" s="36">
        <f t="shared" si="7"/>
        <v>10</v>
      </c>
      <c r="C94" s="185">
        <f t="shared" si="8"/>
        <v>41205</v>
      </c>
      <c r="D94" s="178" t="s">
        <v>567</v>
      </c>
      <c r="E94" s="185">
        <v>41205</v>
      </c>
      <c r="F94" s="183" t="s">
        <v>515</v>
      </c>
      <c r="G94" s="724" t="s">
        <v>524</v>
      </c>
      <c r="H94" s="187" t="s">
        <v>452</v>
      </c>
      <c r="I94" s="243">
        <v>1015</v>
      </c>
      <c r="J94" s="243">
        <v>7110</v>
      </c>
      <c r="K94" s="501">
        <f>ROUND(I94*J94,0)</f>
        <v>7216650</v>
      </c>
      <c r="L94" s="502" t="s">
        <v>252</v>
      </c>
      <c r="M94" s="502" t="s">
        <v>164</v>
      </c>
      <c r="N94" s="49" t="str">
        <f>IF(AND('331-CT'!$E$7=TH!H94,OR(L94="331",M94="331")),"331",IF(AND(OR(L94="131",M94="131"),H94='131-CT'!$E$7),"131",""))</f>
        <v/>
      </c>
      <c r="O94" s="49" t="str">
        <f>IF(AND($B94&gt;='111'!$N$11,$B94&lt;='111'!$O$11,OR($L94=$O$7,$M94=$O$7)),"x","")</f>
        <v/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49" t="str">
        <f>IF(OR(TH!L94=TH!$V$7,M94=TH!$V$7),"x","")</f>
        <v/>
      </c>
      <c r="W94" s="49" t="str">
        <f>IF(AND(B94&gt;='IN-NX'!$P$3,B94&lt;='IN-NX'!$Q$3,'IN-NX'!$D$7=D94,OR(LEFT(L94,2)="15",AND(LEFT(M94,2)&lt;&gt;"15",LEFT(M94,2)&lt;&gt;"33"))),"x","")</f>
        <v/>
      </c>
      <c r="X94" s="49" t="str">
        <f>IF(AND(OR(LEFT(TH!L94,2)="15",LEFT(TH!M94,2)="15"),'152-CT'!$J$8=TH!F94),"x","")</f>
        <v/>
      </c>
      <c r="Y94" s="49" t="str">
        <f>IF(AND(OR(LEFT(TH!L94,2)="15",LEFT(TH!M94,2)="15"),TK!$E$7=TH!F94),"x","")</f>
        <v/>
      </c>
      <c r="Z94" s="49" t="str">
        <f>IF(AND(B94&lt;=NKC!$N$8,B94&gt;=NKC!$M$8),"x","")</f>
        <v/>
      </c>
      <c r="AA94" s="715"/>
      <c r="AB94" s="493"/>
    </row>
    <row r="95" spans="1:28" s="199" customFormat="1" ht="15.75" customHeight="1">
      <c r="A95" s="716" t="str">
        <f>IF(B95&lt;&gt;"",IF(AND(B95&gt;=_TM1,B95&lt;=_TM2,OR(TH!L95="1111",TH!M95="1111")),TH!D95,""),"")</f>
        <v/>
      </c>
      <c r="B95" s="36">
        <f t="shared" si="7"/>
        <v>10</v>
      </c>
      <c r="C95" s="185">
        <f t="shared" si="8"/>
        <v>41205</v>
      </c>
      <c r="D95" s="178" t="s">
        <v>567</v>
      </c>
      <c r="E95" s="185">
        <v>41205</v>
      </c>
      <c r="F95" s="183" t="s">
        <v>509</v>
      </c>
      <c r="G95" s="724" t="s">
        <v>524</v>
      </c>
      <c r="H95" s="187" t="s">
        <v>452</v>
      </c>
      <c r="I95" s="243"/>
      <c r="J95" s="243"/>
      <c r="K95" s="501">
        <v>1233060</v>
      </c>
      <c r="L95" s="502" t="s">
        <v>252</v>
      </c>
      <c r="M95" s="502" t="s">
        <v>296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/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49" t="str">
        <f>IF(OR(TH!L95=TH!$V$7,M95=TH!$V$7),"x","")</f>
        <v/>
      </c>
      <c r="W95" s="49" t="str">
        <f>IF(AND(B95&gt;='IN-NX'!$P$3,B95&lt;='IN-NX'!$Q$3,'IN-NX'!$D$7=D95,OR(LEFT(L95,2)="15",AND(LEFT(M95,2)&lt;&gt;"15",LEFT(M95,2)&lt;&gt;"33"))),"x","")</f>
        <v/>
      </c>
      <c r="X95" s="49" t="str">
        <f>IF(AND(OR(LEFT(TH!L95,2)="15",LEFT(TH!M95,2)="15"),'152-CT'!$J$8=TH!F95),"x","")</f>
        <v/>
      </c>
      <c r="Y95" s="49" t="str">
        <f>IF(AND(OR(LEFT(TH!L95,2)="15",LEFT(TH!M95,2)="15"),TK!$E$7=TH!F95),"x","")</f>
        <v/>
      </c>
      <c r="Z95" s="49" t="str">
        <f>IF(AND(B95&lt;=NKC!$N$8,B95&gt;=NKC!$M$8),"x","")</f>
        <v/>
      </c>
      <c r="AA95" s="715"/>
      <c r="AB95" s="493"/>
    </row>
    <row r="96" spans="1:28" s="199" customFormat="1" ht="15.75" customHeight="1">
      <c r="A96" s="716" t="str">
        <f>IF(B96&lt;&gt;"",IF(AND(B96&gt;=_TM1,B96&lt;=_TM2,OR(TH!L96="1111",TH!M96="1111")),TH!D96,""),"")</f>
        <v>T02</v>
      </c>
      <c r="B96" s="36">
        <f t="shared" si="7"/>
        <v>10</v>
      </c>
      <c r="C96" s="185">
        <f t="shared" si="8"/>
        <v>41205</v>
      </c>
      <c r="D96" s="178" t="s">
        <v>291</v>
      </c>
      <c r="E96" s="185">
        <v>41205</v>
      </c>
      <c r="F96" s="186" t="s">
        <v>447</v>
      </c>
      <c r="G96" s="724" t="s">
        <v>524</v>
      </c>
      <c r="H96" s="187" t="s">
        <v>452</v>
      </c>
      <c r="I96" s="243"/>
      <c r="J96" s="243"/>
      <c r="K96" s="501">
        <v>13563660</v>
      </c>
      <c r="L96" s="502" t="s">
        <v>47</v>
      </c>
      <c r="M96" s="502" t="s">
        <v>252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>x</v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49" t="str">
        <f>IF(OR(TH!L96=TH!$V$7,M96=TH!$V$7),"x","")</f>
        <v/>
      </c>
      <c r="W96" s="49" t="str">
        <f>IF(AND(B96&gt;='IN-NX'!$P$3,B96&lt;='IN-NX'!$Q$3,'IN-NX'!$D$7=D96,OR(LEFT(L96,2)="15",AND(LEFT(M96,2)&lt;&gt;"15",LEFT(M96,2)&lt;&gt;"33"))),"x","")</f>
        <v/>
      </c>
      <c r="X96" s="49" t="str">
        <f>IF(AND(OR(LEFT(TH!L96,2)="15",LEFT(TH!M96,2)="15"),'152-CT'!$J$8=TH!F96),"x","")</f>
        <v/>
      </c>
      <c r="Y96" s="49" t="str">
        <f>IF(AND(OR(LEFT(TH!L96,2)="15",LEFT(TH!M96,2)="15"),TK!$E$7=TH!F96),"x","")</f>
        <v/>
      </c>
      <c r="Z96" s="49" t="str">
        <f>IF(AND(B96&lt;=NKC!$N$8,B96&gt;=NKC!$M$8),"x","")</f>
        <v/>
      </c>
      <c r="AA96" s="715"/>
      <c r="AB96" s="493"/>
    </row>
    <row r="97" spans="1:30" s="199" customFormat="1" ht="15.75" customHeight="1">
      <c r="A97" s="716" t="str">
        <f>IF(B97&lt;&gt;"",IF(AND(B97&gt;=_TM1,B97&lt;=_TM2,OR(TH!L97="1111",TH!M97="1111")),TH!D97,""),"")</f>
        <v/>
      </c>
      <c r="B97" s="36">
        <f t="shared" si="7"/>
        <v>10</v>
      </c>
      <c r="C97" s="185">
        <f t="shared" si="8"/>
        <v>41206</v>
      </c>
      <c r="D97" s="178" t="s">
        <v>444</v>
      </c>
      <c r="E97" s="178">
        <v>41206</v>
      </c>
      <c r="F97" s="183" t="s">
        <v>447</v>
      </c>
      <c r="G97" s="723" t="s">
        <v>351</v>
      </c>
      <c r="H97" s="187" t="s">
        <v>453</v>
      </c>
      <c r="I97" s="243"/>
      <c r="J97" s="243"/>
      <c r="K97" s="501">
        <v>8294000</v>
      </c>
      <c r="L97" s="502" t="s">
        <v>24</v>
      </c>
      <c r="M97" s="502" t="s">
        <v>252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>x</v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49" t="str">
        <f>IF(OR(TH!L97=TH!$V$7,M97=TH!$V$7),"x","")</f>
        <v/>
      </c>
      <c r="W97" s="49" t="str">
        <f>IF(AND(B97&gt;='IN-NX'!$P$3,B97&lt;='IN-NX'!$Q$3,'IN-NX'!$D$7=D97,OR(LEFT(L97,2)="15",AND(LEFT(M97,2)&lt;&gt;"15",LEFT(M97,2)&lt;&gt;"33"))),"x","")</f>
        <v/>
      </c>
      <c r="X97" s="49" t="str">
        <f>IF(AND(OR(LEFT(TH!L97,2)="15",LEFT(TH!M97,2)="15"),'152-CT'!$J$8=TH!F97),"x","")</f>
        <v/>
      </c>
      <c r="Y97" s="49" t="str">
        <f>IF(AND(OR(LEFT(TH!L97,2)="15",LEFT(TH!M97,2)="15"),TK!$E$7=TH!F97),"x","")</f>
        <v/>
      </c>
      <c r="Z97" s="49" t="str">
        <f>IF(AND(B97&lt;=NKC!$N$8,B97&gt;=NKC!$M$8),"x","")</f>
        <v/>
      </c>
      <c r="AA97" s="715"/>
      <c r="AB97" s="493"/>
      <c r="AC97" s="493"/>
      <c r="AD97" s="493"/>
    </row>
    <row r="98" spans="1:30" s="199" customFormat="1" ht="15.75" customHeight="1">
      <c r="A98" s="716" t="str">
        <f>IF(B98&lt;&gt;"",IF(AND(B98&gt;=_TM1,B98&lt;=_TM2,OR(TH!L98="1111",TH!M98="1111")),TH!D98,""),"")</f>
        <v/>
      </c>
      <c r="B98" s="36">
        <f t="shared" si="7"/>
        <v>10</v>
      </c>
      <c r="C98" s="185">
        <f t="shared" si="8"/>
        <v>41207</v>
      </c>
      <c r="D98" s="178" t="s">
        <v>456</v>
      </c>
      <c r="E98" s="178">
        <v>41207</v>
      </c>
      <c r="F98" s="183" t="s">
        <v>446</v>
      </c>
      <c r="G98" s="723" t="s">
        <v>351</v>
      </c>
      <c r="H98" s="187"/>
      <c r="I98" s="243"/>
      <c r="J98" s="243"/>
      <c r="K98" s="501">
        <v>11000</v>
      </c>
      <c r="L98" s="502" t="s">
        <v>83</v>
      </c>
      <c r="M98" s="502" t="s">
        <v>24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>x</v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49" t="str">
        <f>IF(OR(TH!L98=TH!$V$7,M98=TH!$V$7),"x","")</f>
        <v/>
      </c>
      <c r="W98" s="49" t="str">
        <f>IF(AND(B98&gt;='IN-NX'!$P$3,B98&lt;='IN-NX'!$Q$3,'IN-NX'!$D$7=D98,OR(LEFT(L98,2)="15",AND(LEFT(M98,2)&lt;&gt;"15",LEFT(M98,2)&lt;&gt;"33"))),"x","")</f>
        <v/>
      </c>
      <c r="X98" s="49" t="str">
        <f>IF(AND(OR(LEFT(TH!L98,2)="15",LEFT(TH!M98,2)="15"),'152-CT'!$J$8=TH!F98),"x","")</f>
        <v/>
      </c>
      <c r="Y98" s="49" t="str">
        <f>IF(AND(OR(LEFT(TH!L98,2)="15",LEFT(TH!M98,2)="15"),TK!$E$7=TH!F98),"x","")</f>
        <v/>
      </c>
      <c r="Z98" s="49" t="str">
        <f>IF(AND(B98&lt;=NKC!$N$8,B98&gt;=NKC!$M$8),"x","")</f>
        <v/>
      </c>
      <c r="AA98" s="715"/>
      <c r="AB98" s="493"/>
    </row>
    <row r="99" spans="1:30" s="199" customFormat="1" ht="15.75" customHeight="1">
      <c r="A99" s="716" t="str">
        <f>IF(B99&lt;&gt;"",IF(AND(B99&gt;=_TM1,B99&lt;=_TM2,OR(TH!L99="1111",TH!M99="1111")),TH!D99,""),"")</f>
        <v/>
      </c>
      <c r="B99" s="36">
        <f t="shared" si="7"/>
        <v>10</v>
      </c>
      <c r="C99" s="185">
        <f t="shared" si="8"/>
        <v>41207</v>
      </c>
      <c r="D99" s="178" t="s">
        <v>444</v>
      </c>
      <c r="E99" s="178">
        <v>41207</v>
      </c>
      <c r="F99" s="183" t="s">
        <v>451</v>
      </c>
      <c r="G99" s="723" t="s">
        <v>351</v>
      </c>
      <c r="H99" s="187"/>
      <c r="I99" s="243"/>
      <c r="J99" s="243"/>
      <c r="K99" s="501">
        <v>22296</v>
      </c>
      <c r="L99" s="502" t="s">
        <v>24</v>
      </c>
      <c r="M99" s="502" t="s">
        <v>40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>x</v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49" t="str">
        <f>IF(OR(TH!L99=TH!$V$7,M99=TH!$V$7),"x","")</f>
        <v/>
      </c>
      <c r="W99" s="49" t="str">
        <f>IF(AND(B99&gt;='IN-NX'!$P$3,B99&lt;='IN-NX'!$Q$3,'IN-NX'!$D$7=D99,OR(LEFT(L99,2)="15",AND(LEFT(M99,2)&lt;&gt;"15",LEFT(M99,2)&lt;&gt;"33"))),"x","")</f>
        <v/>
      </c>
      <c r="X99" s="49" t="str">
        <f>IF(AND(OR(LEFT(TH!L99,2)="15",LEFT(TH!M99,2)="15"),'152-CT'!$J$8=TH!F99),"x","")</f>
        <v/>
      </c>
      <c r="Y99" s="49" t="str">
        <f>IF(AND(OR(LEFT(TH!L99,2)="15",LEFT(TH!M99,2)="15"),TK!$E$7=TH!F99),"x","")</f>
        <v/>
      </c>
      <c r="Z99" s="49" t="str">
        <f>IF(AND(B99&lt;=NKC!$N$8,B99&gt;=NKC!$M$8),"x","")</f>
        <v/>
      </c>
      <c r="AA99" s="715"/>
      <c r="AB99" s="493"/>
    </row>
    <row r="100" spans="1:30" s="199" customFormat="1" ht="15.75" customHeight="1">
      <c r="A100" s="716" t="str">
        <f>IF(B100&lt;&gt;"",IF(AND(B100&gt;=_TM1,B100&lt;=_TM2,OR(TH!L100="1111",TH!M100="1111")),TH!D100,""),"")</f>
        <v/>
      </c>
      <c r="B100" s="36">
        <f t="shared" si="7"/>
        <v>10</v>
      </c>
      <c r="C100" s="185">
        <f t="shared" si="8"/>
        <v>41207</v>
      </c>
      <c r="D100" s="185" t="s">
        <v>472</v>
      </c>
      <c r="E100" s="178">
        <v>41207</v>
      </c>
      <c r="F100" s="183" t="s">
        <v>395</v>
      </c>
      <c r="G100" s="723" t="s">
        <v>394</v>
      </c>
      <c r="H100" s="7" t="s">
        <v>363</v>
      </c>
      <c r="I100" s="243">
        <v>500</v>
      </c>
      <c r="J100" s="243">
        <v>10286</v>
      </c>
      <c r="K100" s="37">
        <f>ROUND(I100*J100,0)</f>
        <v>5143000</v>
      </c>
      <c r="L100" s="188" t="s">
        <v>352</v>
      </c>
      <c r="M100" s="188" t="s">
        <v>8</v>
      </c>
      <c r="N100" s="49" t="str">
        <f>IF(AND('331-CT'!$E$7=TH!H100,OR(L100="331",M100="331")),"331",IF(AND(OR(L100="131",M100="131"),H100='131-CT'!$E$7),"131",""))</f>
        <v>331</v>
      </c>
      <c r="O100" s="49" t="str">
        <f>IF(AND($B100&gt;='111'!$N$11,$B100&lt;='111'!$O$11,OR($L100=$O$7,$M100=$O$7)),"x","")</f>
        <v/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49" t="str">
        <f>IF(OR(TH!L100=TH!$V$7,M100=TH!$V$7),"x","")</f>
        <v/>
      </c>
      <c r="W100" s="49" t="str">
        <f>IF(AND(B100&gt;='IN-NX'!$P$3,B100&lt;='IN-NX'!$Q$3,'IN-NX'!$D$7=D100,OR(LEFT(L100,2)="15",AND(LEFT(M100,2)&lt;&gt;"15",LEFT(M100,2)&lt;&gt;"33"))),"x","")</f>
        <v/>
      </c>
      <c r="X100" s="49" t="str">
        <f>IF(AND(OR(LEFT(TH!L100,2)="15",LEFT(TH!M100,2)="15"),'152-CT'!$J$8=TH!F100),"x","")</f>
        <v/>
      </c>
      <c r="Y100" s="49" t="str">
        <f>IF(AND(OR(LEFT(TH!L100,2)="15",LEFT(TH!M100,2)="15"),TK!$E$7=TH!F100),"x","")</f>
        <v/>
      </c>
      <c r="Z100" s="49" t="str">
        <f>IF(AND(B100&lt;=NKC!$N$8,B100&gt;=NKC!$M$8),"x","")</f>
        <v/>
      </c>
      <c r="AA100" s="715"/>
      <c r="AB100" s="493"/>
    </row>
    <row r="101" spans="1:30" s="199" customFormat="1" ht="15.75" customHeight="1">
      <c r="A101" s="716" t="str">
        <f>IF(B101&lt;&gt;"",IF(AND(B101&gt;=_TM1,B101&lt;=_TM2,OR(TH!L101="1111",TH!M101="1111")),TH!D101,""),"")</f>
        <v/>
      </c>
      <c r="B101" s="36">
        <f t="shared" si="7"/>
        <v>10</v>
      </c>
      <c r="C101" s="185">
        <f t="shared" si="8"/>
        <v>41207</v>
      </c>
      <c r="D101" s="185" t="s">
        <v>472</v>
      </c>
      <c r="E101" s="178">
        <v>41207</v>
      </c>
      <c r="F101" s="183" t="s">
        <v>396</v>
      </c>
      <c r="G101" s="723" t="s">
        <v>394</v>
      </c>
      <c r="H101" s="7" t="s">
        <v>363</v>
      </c>
      <c r="I101" s="243">
        <v>500</v>
      </c>
      <c r="J101" s="243">
        <v>13020</v>
      </c>
      <c r="K101" s="37">
        <f>ROUND(I101*J101,0)</f>
        <v>6510000</v>
      </c>
      <c r="L101" s="188" t="s">
        <v>352</v>
      </c>
      <c r="M101" s="188" t="s">
        <v>8</v>
      </c>
      <c r="N101" s="49" t="str">
        <f>IF(AND('331-CT'!$E$7=TH!H101,OR(L101="331",M101="331")),"331",IF(AND(OR(L101="131",M101="131"),H101='131-CT'!$E$7),"131",""))</f>
        <v>331</v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/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49" t="str">
        <f>IF(OR(TH!L101=TH!$V$7,M101=TH!$V$7),"x","")</f>
        <v/>
      </c>
      <c r="W101" s="49" t="str">
        <f>IF(AND(B101&gt;='IN-NX'!$P$3,B101&lt;='IN-NX'!$Q$3,'IN-NX'!$D$7=D101,OR(LEFT(L101,2)="15",AND(LEFT(M101,2)&lt;&gt;"15",LEFT(M101,2)&lt;&gt;"33"))),"x","")</f>
        <v/>
      </c>
      <c r="X101" s="49" t="str">
        <f>IF(AND(OR(LEFT(TH!L101,2)="15",LEFT(TH!M101,2)="15"),'152-CT'!$J$8=TH!F101),"x","")</f>
        <v/>
      </c>
      <c r="Y101" s="49" t="str">
        <f>IF(AND(OR(LEFT(TH!L101,2)="15",LEFT(TH!M101,2)="15"),TK!$E$7=TH!F101),"x","")</f>
        <v/>
      </c>
      <c r="Z101" s="49" t="str">
        <f>IF(AND(B101&lt;=NKC!$N$8,B101&gt;=NKC!$M$8),"x","")</f>
        <v/>
      </c>
      <c r="AA101" s="715"/>
      <c r="AB101" s="493"/>
    </row>
    <row r="102" spans="1:30" s="199" customFormat="1" ht="15.75" customHeight="1">
      <c r="A102" s="716" t="str">
        <f>IF(B102&lt;&gt;"",IF(AND(B102&gt;=_TM1,B102&lt;=_TM2,OR(TH!L102="1111",TH!M102="1111")),TH!D102,""),"")</f>
        <v/>
      </c>
      <c r="B102" s="36">
        <f t="shared" si="7"/>
        <v>10</v>
      </c>
      <c r="C102" s="185">
        <f t="shared" si="8"/>
        <v>41207</v>
      </c>
      <c r="D102" s="185" t="s">
        <v>472</v>
      </c>
      <c r="E102" s="178">
        <v>41207</v>
      </c>
      <c r="F102" s="183" t="s">
        <v>365</v>
      </c>
      <c r="G102" s="723" t="s">
        <v>394</v>
      </c>
      <c r="H102" s="7" t="s">
        <v>363</v>
      </c>
      <c r="I102" s="243"/>
      <c r="J102" s="243"/>
      <c r="K102" s="37">
        <v>1165300</v>
      </c>
      <c r="L102" s="188" t="s">
        <v>9</v>
      </c>
      <c r="M102" s="188" t="s">
        <v>8</v>
      </c>
      <c r="N102" s="49" t="str">
        <f>IF(AND('331-CT'!$E$7=TH!H102,OR(L102="331",M102="331")),"331",IF(AND(OR(L102="131",M102="131"),H102='131-CT'!$E$7),"131",""))</f>
        <v>331</v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/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49" t="str">
        <f>IF(OR(TH!L102=TH!$V$7,M102=TH!$V$7),"x","")</f>
        <v/>
      </c>
      <c r="W102" s="49" t="str">
        <f>IF(AND(B102&gt;='IN-NX'!$P$3,B102&lt;='IN-NX'!$Q$3,'IN-NX'!$D$7=D102,OR(LEFT(L102,2)="15",AND(LEFT(M102,2)&lt;&gt;"15",LEFT(M102,2)&lt;&gt;"33"))),"x","")</f>
        <v/>
      </c>
      <c r="X102" s="49" t="str">
        <f>IF(AND(OR(LEFT(TH!L102,2)="15",LEFT(TH!M102,2)="15"),'152-CT'!$J$8=TH!F102),"x","")</f>
        <v/>
      </c>
      <c r="Y102" s="49" t="str">
        <f>IF(AND(OR(LEFT(TH!L102,2)="15",LEFT(TH!M102,2)="15"),TK!$E$7=TH!F102),"x","")</f>
        <v/>
      </c>
      <c r="Z102" s="49" t="str">
        <f>IF(AND(B102&lt;=NKC!$N$8,B102&gt;=NKC!$M$8),"x","")</f>
        <v/>
      </c>
      <c r="AA102" s="715">
        <v>10</v>
      </c>
      <c r="AB102" s="493"/>
    </row>
    <row r="103" spans="1:30" s="199" customFormat="1" ht="15.75" customHeight="1">
      <c r="A103" s="716" t="str">
        <f>IF(B103&lt;&gt;"",IF(AND(B103&gt;=_TM1,B103&lt;=_TM2,OR(TH!L103="1111",TH!M103="1111")),TH!D103,""),"")</f>
        <v>C06</v>
      </c>
      <c r="B103" s="36">
        <f t="shared" si="7"/>
        <v>10</v>
      </c>
      <c r="C103" s="185">
        <f t="shared" si="8"/>
        <v>41207</v>
      </c>
      <c r="D103" s="185" t="s">
        <v>463</v>
      </c>
      <c r="E103" s="178">
        <v>41207</v>
      </c>
      <c r="F103" s="183" t="s">
        <v>457</v>
      </c>
      <c r="G103" s="723" t="s">
        <v>394</v>
      </c>
      <c r="H103" s="7" t="s">
        <v>363</v>
      </c>
      <c r="I103" s="243"/>
      <c r="J103" s="243"/>
      <c r="K103" s="37">
        <v>12818300</v>
      </c>
      <c r="L103" s="188" t="s">
        <v>8</v>
      </c>
      <c r="M103" s="188" t="s">
        <v>47</v>
      </c>
      <c r="N103" s="49" t="str">
        <f>IF(AND('331-CT'!$E$7=TH!H103,OR(L103="331",M103="331")),"331",IF(AND(OR(L103="131",M103="131"),H103='131-CT'!$E$7),"131",""))</f>
        <v>331</v>
      </c>
      <c r="O103" s="49" t="str">
        <f>IF(AND($B103&gt;='111'!$N$11,$B103&lt;='111'!$O$11,OR($L103=$O$7,$M103=$O$7)),"x","")</f>
        <v>x</v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/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49" t="str">
        <f>IF(OR(TH!L103=TH!$V$7,M103=TH!$V$7),"x","")</f>
        <v/>
      </c>
      <c r="W103" s="49" t="str">
        <f>IF(AND(B103&gt;='IN-NX'!$P$3,B103&lt;='IN-NX'!$Q$3,'IN-NX'!$D$7=D103,OR(LEFT(L103,2)="15",AND(LEFT(M103,2)&lt;&gt;"15",LEFT(M103,2)&lt;&gt;"33"))),"x","")</f>
        <v/>
      </c>
      <c r="X103" s="49" t="str">
        <f>IF(AND(OR(LEFT(TH!L103,2)="15",LEFT(TH!M103,2)="15"),'152-CT'!$J$8=TH!F103),"x","")</f>
        <v/>
      </c>
      <c r="Y103" s="49" t="str">
        <f>IF(AND(OR(LEFT(TH!L103,2)="15",LEFT(TH!M103,2)="15"),TK!$E$7=TH!F103),"x","")</f>
        <v/>
      </c>
      <c r="Z103" s="49" t="str">
        <f>IF(AND(B103&lt;=NKC!$N$8,B103&gt;=NKC!$M$8),"x","")</f>
        <v/>
      </c>
      <c r="AA103" s="715"/>
      <c r="AB103" s="493"/>
    </row>
    <row r="104" spans="1:30" s="199" customFormat="1" ht="15.75" customHeight="1">
      <c r="A104" s="716" t="str">
        <f>IF(B104&lt;&gt;"",IF(AND(B104&gt;=_TM1,B104&lt;=_TM2,OR(TH!L104="1111",TH!M104="1111")),TH!D104,""),"")</f>
        <v/>
      </c>
      <c r="B104" s="36">
        <f t="shared" si="7"/>
        <v>10</v>
      </c>
      <c r="C104" s="185">
        <f t="shared" si="8"/>
        <v>41207</v>
      </c>
      <c r="D104" s="178" t="s">
        <v>568</v>
      </c>
      <c r="E104" s="185">
        <v>41207</v>
      </c>
      <c r="F104" s="183" t="s">
        <v>518</v>
      </c>
      <c r="G104" s="724" t="s">
        <v>525</v>
      </c>
      <c r="H104" s="187" t="s">
        <v>452</v>
      </c>
      <c r="I104" s="243">
        <v>1010</v>
      </c>
      <c r="J104" s="243">
        <v>6200</v>
      </c>
      <c r="K104" s="501">
        <f>ROUND(I104*J104,0)</f>
        <v>6262000</v>
      </c>
      <c r="L104" s="502" t="s">
        <v>252</v>
      </c>
      <c r="M104" s="502" t="s">
        <v>164</v>
      </c>
      <c r="N104" s="49" t="str">
        <f>IF(AND('331-CT'!$E$7=TH!H104,OR(L104="331",M104="331")),"331",IF(AND(OR(L104="131",M104="131"),H104='131-CT'!$E$7),"131",""))</f>
        <v/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49" t="str">
        <f>IF(OR(TH!L104=TH!$V$7,M104=TH!$V$7),"x","")</f>
        <v/>
      </c>
      <c r="W104" s="49" t="str">
        <f>IF(AND(B104&gt;='IN-NX'!$P$3,B104&lt;='IN-NX'!$Q$3,'IN-NX'!$D$7=D104,OR(LEFT(L104,2)="15",AND(LEFT(M104,2)&lt;&gt;"15",LEFT(M104,2)&lt;&gt;"33"))),"x","")</f>
        <v/>
      </c>
      <c r="X104" s="49" t="str">
        <f>IF(AND(OR(LEFT(TH!L104,2)="15",LEFT(TH!M104,2)="15"),'152-CT'!$J$8=TH!F104),"x","")</f>
        <v/>
      </c>
      <c r="Y104" s="49" t="str">
        <f>IF(AND(OR(LEFT(TH!L104,2)="15",LEFT(TH!M104,2)="15"),TK!$E$7=TH!F104),"x","")</f>
        <v/>
      </c>
      <c r="Z104" s="49" t="str">
        <f>IF(AND(B104&lt;=NKC!$N$8,B104&gt;=NKC!$M$8),"x","")</f>
        <v/>
      </c>
      <c r="AA104" s="715"/>
    </row>
    <row r="105" spans="1:30" s="199" customFormat="1" ht="15.75" customHeight="1">
      <c r="A105" s="716" t="str">
        <f>IF(B105&lt;&gt;"",IF(AND(B105&gt;=_TM1,B105&lt;=_TM2,OR(TH!L105="1111",TH!M105="1111")),TH!D105,""),"")</f>
        <v/>
      </c>
      <c r="B105" s="36">
        <f t="shared" si="7"/>
        <v>10</v>
      </c>
      <c r="C105" s="185">
        <f t="shared" si="8"/>
        <v>41207</v>
      </c>
      <c r="D105" s="178" t="s">
        <v>568</v>
      </c>
      <c r="E105" s="185">
        <v>41207</v>
      </c>
      <c r="F105" s="186" t="s">
        <v>509</v>
      </c>
      <c r="G105" s="724" t="s">
        <v>525</v>
      </c>
      <c r="H105" s="187" t="s">
        <v>452</v>
      </c>
      <c r="I105" s="243"/>
      <c r="J105" s="243"/>
      <c r="K105" s="501">
        <v>626200</v>
      </c>
      <c r="L105" s="502" t="s">
        <v>252</v>
      </c>
      <c r="M105" s="502" t="s">
        <v>296</v>
      </c>
      <c r="N105" s="49" t="str">
        <f>IF(AND('331-CT'!$E$7=TH!H105,OR(L105="331",M105="331")),"331",IF(AND(OR(L105="131",M105="131"),H105='131-CT'!$E$7),"131",""))</f>
        <v/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49" t="str">
        <f>IF(OR(TH!L105=TH!$V$7,M105=TH!$V$7),"x","")</f>
        <v/>
      </c>
      <c r="W105" s="49" t="str">
        <f>IF(AND(B105&gt;='IN-NX'!$P$3,B105&lt;='IN-NX'!$Q$3,'IN-NX'!$D$7=D105,OR(LEFT(L105,2)="15",AND(LEFT(M105,2)&lt;&gt;"15",LEFT(M105,2)&lt;&gt;"33"))),"x","")</f>
        <v/>
      </c>
      <c r="X105" s="49" t="str">
        <f>IF(AND(OR(LEFT(TH!L105,2)="15",LEFT(TH!M105,2)="15"),'152-CT'!$J$8=TH!F105),"x","")</f>
        <v/>
      </c>
      <c r="Y105" s="49" t="str">
        <f>IF(AND(OR(LEFT(TH!L105,2)="15",LEFT(TH!M105,2)="15"),TK!$E$7=TH!F105),"x","")</f>
        <v/>
      </c>
      <c r="Z105" s="49" t="str">
        <f>IF(AND(B105&lt;=NKC!$N$8,B105&gt;=NKC!$M$8),"x","")</f>
        <v/>
      </c>
      <c r="AA105" s="715"/>
      <c r="AB105" s="493"/>
    </row>
    <row r="106" spans="1:30" s="199" customFormat="1" ht="15.75" customHeight="1">
      <c r="A106" s="716" t="str">
        <f>IF(B106&lt;&gt;"",IF(AND(B106&gt;=_TM1,B106&lt;=_TM2,OR(TH!L106="1111",TH!M106="1111")),TH!D106,""),"")</f>
        <v>T03</v>
      </c>
      <c r="B106" s="36">
        <f t="shared" si="7"/>
        <v>10</v>
      </c>
      <c r="C106" s="185">
        <f t="shared" si="8"/>
        <v>41207</v>
      </c>
      <c r="D106" s="178" t="s">
        <v>292</v>
      </c>
      <c r="E106" s="185">
        <v>41207</v>
      </c>
      <c r="F106" s="186" t="s">
        <v>447</v>
      </c>
      <c r="G106" s="724" t="s">
        <v>525</v>
      </c>
      <c r="H106" s="187" t="s">
        <v>452</v>
      </c>
      <c r="I106" s="243"/>
      <c r="J106" s="243"/>
      <c r="K106" s="501">
        <v>6888200</v>
      </c>
      <c r="L106" s="502" t="s">
        <v>47</v>
      </c>
      <c r="M106" s="502" t="s">
        <v>252</v>
      </c>
      <c r="N106" s="49" t="str">
        <f>IF(AND('331-CT'!$E$7=TH!H106,OR(L106="331",M106="331")),"331",IF(AND(OR(L106="131",M106="131"),H106='131-CT'!$E$7),"131",""))</f>
        <v/>
      </c>
      <c r="O106" s="49" t="str">
        <f>IF(AND($B106&gt;='111'!$N$11,$B106&lt;='111'!$O$11,OR($L106=$O$7,$M106=$O$7)),"x","")</f>
        <v>x</v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49" t="str">
        <f>IF(OR(TH!L106=TH!$V$7,M106=TH!$V$7),"x","")</f>
        <v/>
      </c>
      <c r="W106" s="49" t="str">
        <f>IF(AND(B106&gt;='IN-NX'!$P$3,B106&lt;='IN-NX'!$Q$3,'IN-NX'!$D$7=D106,OR(LEFT(L106,2)="15",AND(LEFT(M106,2)&lt;&gt;"15",LEFT(M106,2)&lt;&gt;"33"))),"x","")</f>
        <v/>
      </c>
      <c r="X106" s="49" t="str">
        <f>IF(AND(OR(LEFT(TH!L106,2)="15",LEFT(TH!M106,2)="15"),'152-CT'!$J$8=TH!F106),"x","")</f>
        <v/>
      </c>
      <c r="Y106" s="49" t="str">
        <f>IF(AND(OR(LEFT(TH!L106,2)="15",LEFT(TH!M106,2)="15"),TK!$E$7=TH!F106),"x","")</f>
        <v/>
      </c>
      <c r="Z106" s="49" t="str">
        <f>IF(AND(B106&lt;=NKC!$N$8,B106&gt;=NKC!$M$8),"x","")</f>
        <v/>
      </c>
      <c r="AA106" s="715"/>
      <c r="AB106" s="493"/>
    </row>
    <row r="107" spans="1:30" s="199" customFormat="1" ht="15.75" customHeight="1">
      <c r="A107" s="716" t="str">
        <f>IF(B107&lt;&gt;"",IF(AND(B107&gt;=_TM1,B107&lt;=_TM2,OR(TH!L107="1111",TH!M107="1111")),TH!D107,""),"")</f>
        <v/>
      </c>
      <c r="B107" s="36">
        <f t="shared" si="7"/>
        <v>10</v>
      </c>
      <c r="C107" s="185">
        <f t="shared" si="8"/>
        <v>41208</v>
      </c>
      <c r="D107" s="185" t="s">
        <v>473</v>
      </c>
      <c r="E107" s="178">
        <v>41208</v>
      </c>
      <c r="F107" s="183" t="s">
        <v>398</v>
      </c>
      <c r="G107" s="723" t="s">
        <v>397</v>
      </c>
      <c r="H107" s="7" t="s">
        <v>363</v>
      </c>
      <c r="I107" s="243">
        <v>505</v>
      </c>
      <c r="J107" s="243">
        <v>12124</v>
      </c>
      <c r="K107" s="37">
        <f>ROUND(I107*J107,0)</f>
        <v>6122620</v>
      </c>
      <c r="L107" s="188" t="s">
        <v>352</v>
      </c>
      <c r="M107" s="188" t="s">
        <v>8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/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49" t="str">
        <f>IF(OR(TH!L107=TH!$V$7,M107=TH!$V$7),"x","")</f>
        <v/>
      </c>
      <c r="W107" s="49" t="str">
        <f>IF(AND(B107&gt;='IN-NX'!$P$3,B107&lt;='IN-NX'!$Q$3,'IN-NX'!$D$7=D107,OR(LEFT(L107,2)="15",AND(LEFT(M107,2)&lt;&gt;"15",LEFT(M107,2)&lt;&gt;"33"))),"x","")</f>
        <v/>
      </c>
      <c r="X107" s="49" t="str">
        <f>IF(AND(OR(LEFT(TH!L107,2)="15",LEFT(TH!M107,2)="15"),'152-CT'!$J$8=TH!F107),"x","")</f>
        <v/>
      </c>
      <c r="Y107" s="49" t="str">
        <f>IF(AND(OR(LEFT(TH!L107,2)="15",LEFT(TH!M107,2)="15"),TK!$E$7=TH!F107),"x","")</f>
        <v/>
      </c>
      <c r="Z107" s="49" t="str">
        <f>IF(AND(B107&lt;=NKC!$N$8,B107&gt;=NKC!$M$8),"x","")</f>
        <v/>
      </c>
      <c r="AA107" s="715"/>
      <c r="AB107" s="493"/>
    </row>
    <row r="108" spans="1:30" s="199" customFormat="1" ht="15.75" customHeight="1">
      <c r="A108" s="716" t="str">
        <f>IF(B108&lt;&gt;"",IF(AND(B108&gt;=_TM1,B108&lt;=_TM2,OR(TH!L108="1111",TH!M108="1111")),TH!D108,""),"")</f>
        <v/>
      </c>
      <c r="B108" s="36">
        <f t="shared" si="7"/>
        <v>10</v>
      </c>
      <c r="C108" s="185">
        <f t="shared" si="8"/>
        <v>41208</v>
      </c>
      <c r="D108" s="185" t="s">
        <v>473</v>
      </c>
      <c r="E108" s="178">
        <v>41208</v>
      </c>
      <c r="F108" s="183" t="s">
        <v>365</v>
      </c>
      <c r="G108" s="723" t="s">
        <v>397</v>
      </c>
      <c r="H108" s="7" t="s">
        <v>363</v>
      </c>
      <c r="I108" s="243"/>
      <c r="J108" s="243"/>
      <c r="K108" s="37">
        <v>612262</v>
      </c>
      <c r="L108" s="188" t="s">
        <v>9</v>
      </c>
      <c r="M108" s="188" t="s">
        <v>8</v>
      </c>
      <c r="N108" s="49" t="str">
        <f>IF(AND('331-CT'!$E$7=TH!H108,OR(L108="331",M108="331")),"331",IF(AND(OR(L108="131",M108="131"),H108='131-CT'!$E$7),"131",""))</f>
        <v>331</v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49" t="str">
        <f>IF(OR(TH!L108=TH!$V$7,M108=TH!$V$7),"x","")</f>
        <v/>
      </c>
      <c r="W108" s="49" t="str">
        <f>IF(AND(B108&gt;='IN-NX'!$P$3,B108&lt;='IN-NX'!$Q$3,'IN-NX'!$D$7=D108,OR(LEFT(L108,2)="15",AND(LEFT(M108,2)&lt;&gt;"15",LEFT(M108,2)&lt;&gt;"33"))),"x","")</f>
        <v/>
      </c>
      <c r="X108" s="49" t="str">
        <f>IF(AND(OR(LEFT(TH!L108,2)="15",LEFT(TH!M108,2)="15"),'152-CT'!$J$8=TH!F108),"x","")</f>
        <v/>
      </c>
      <c r="Y108" s="49" t="str">
        <f>IF(AND(OR(LEFT(TH!L108,2)="15",LEFT(TH!M108,2)="15"),TK!$E$7=TH!F108),"x","")</f>
        <v/>
      </c>
      <c r="Z108" s="49" t="str">
        <f>IF(AND(B108&lt;=NKC!$N$8,B108&gt;=NKC!$M$8),"x","")</f>
        <v/>
      </c>
      <c r="AA108" s="715">
        <v>10</v>
      </c>
      <c r="AB108" s="493"/>
    </row>
    <row r="109" spans="1:30" s="199" customFormat="1" ht="15.75" customHeight="1">
      <c r="A109" s="716" t="str">
        <f>IF(B109&lt;&gt;"",IF(AND(B109&gt;=_TM1,B109&lt;=_TM2,OR(TH!L109="1111",TH!M109="1111")),TH!D109,""),"")</f>
        <v>C07</v>
      </c>
      <c r="B109" s="36">
        <f t="shared" si="7"/>
        <v>10</v>
      </c>
      <c r="C109" s="185">
        <f t="shared" si="8"/>
        <v>41208</v>
      </c>
      <c r="D109" s="185" t="s">
        <v>464</v>
      </c>
      <c r="E109" s="178">
        <v>41208</v>
      </c>
      <c r="F109" s="183" t="s">
        <v>457</v>
      </c>
      <c r="G109" s="723" t="s">
        <v>397</v>
      </c>
      <c r="H109" s="7" t="s">
        <v>363</v>
      </c>
      <c r="I109" s="243"/>
      <c r="J109" s="243"/>
      <c r="K109" s="37">
        <v>6734882</v>
      </c>
      <c r="L109" s="188" t="s">
        <v>8</v>
      </c>
      <c r="M109" s="188" t="s">
        <v>47</v>
      </c>
      <c r="N109" s="49" t="str">
        <f>IF(AND('331-CT'!$E$7=TH!H109,OR(L109="331",M109="331")),"331",IF(AND(OR(L109="131",M109="131"),H109='131-CT'!$E$7),"131",""))</f>
        <v>331</v>
      </c>
      <c r="O109" s="49" t="str">
        <f>IF(AND($B109&gt;='111'!$N$11,$B109&lt;='111'!$O$11,OR($L109=$O$7,$M109=$O$7)),"x","")</f>
        <v>x</v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49" t="str">
        <f>IF(OR(TH!L109=TH!$V$7,M109=TH!$V$7),"x","")</f>
        <v/>
      </c>
      <c r="W109" s="49" t="str">
        <f>IF(AND(B109&gt;='IN-NX'!$P$3,B109&lt;='IN-NX'!$Q$3,'IN-NX'!$D$7=D109,OR(LEFT(L109,2)="15",AND(LEFT(M109,2)&lt;&gt;"15",LEFT(M109,2)&lt;&gt;"33"))),"x","")</f>
        <v/>
      </c>
      <c r="X109" s="49" t="str">
        <f>IF(AND(OR(LEFT(TH!L109,2)="15",LEFT(TH!M109,2)="15"),'152-CT'!$J$8=TH!F109),"x","")</f>
        <v/>
      </c>
      <c r="Y109" s="49" t="str">
        <f>IF(AND(OR(LEFT(TH!L109,2)="15",LEFT(TH!M109,2)="15"),TK!$E$7=TH!F109),"x","")</f>
        <v/>
      </c>
      <c r="Z109" s="49" t="str">
        <f>IF(AND(B109&lt;=NKC!$N$8,B109&gt;=NKC!$M$8),"x","")</f>
        <v/>
      </c>
      <c r="AA109" s="715"/>
      <c r="AB109" s="493"/>
    </row>
    <row r="110" spans="1:30" s="199" customFormat="1" ht="15.75" customHeight="1">
      <c r="A110" s="716" t="str">
        <f>IF(B110&lt;&gt;"",IF(AND(B110&gt;=_TM1,B110&lt;=_TM2,OR(TH!L110="1111",TH!M110="1111")),TH!D110,""),"")</f>
        <v/>
      </c>
      <c r="B110" s="36">
        <f t="shared" si="7"/>
        <v>10</v>
      </c>
      <c r="C110" s="185">
        <f t="shared" si="8"/>
        <v>41209</v>
      </c>
      <c r="D110" s="185" t="s">
        <v>474</v>
      </c>
      <c r="E110" s="178">
        <v>41209</v>
      </c>
      <c r="F110" s="183" t="s">
        <v>388</v>
      </c>
      <c r="G110" s="723" t="s">
        <v>387</v>
      </c>
      <c r="H110" s="7" t="s">
        <v>386</v>
      </c>
      <c r="I110" s="243">
        <v>1000</v>
      </c>
      <c r="J110" s="243">
        <v>12319</v>
      </c>
      <c r="K110" s="37">
        <f>ROUND(I110*J110,0)</f>
        <v>12319000</v>
      </c>
      <c r="L110" s="188" t="s">
        <v>352</v>
      </c>
      <c r="M110" s="188" t="s">
        <v>8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/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49" t="str">
        <f>IF(OR(TH!L110=TH!$V$7,M110=TH!$V$7),"x","")</f>
        <v/>
      </c>
      <c r="W110" s="49" t="str">
        <f>IF(AND(B110&gt;='IN-NX'!$P$3,B110&lt;='IN-NX'!$Q$3,'IN-NX'!$D$7=D110,OR(LEFT(L110,2)="15",AND(LEFT(M110,2)&lt;&gt;"15",LEFT(M110,2)&lt;&gt;"33"))),"x","")</f>
        <v/>
      </c>
      <c r="X110" s="49" t="str">
        <f>IF(AND(OR(LEFT(TH!L110,2)="15",LEFT(TH!M110,2)="15"),'152-CT'!$J$8=TH!F110),"x","")</f>
        <v/>
      </c>
      <c r="Y110" s="49" t="str">
        <f>IF(AND(OR(LEFT(TH!L110,2)="15",LEFT(TH!M110,2)="15"),TK!$E$7=TH!F110),"x","")</f>
        <v/>
      </c>
      <c r="Z110" s="49" t="str">
        <f>IF(AND(B110&lt;=NKC!$N$8,B110&gt;=NKC!$M$8),"x","")</f>
        <v/>
      </c>
      <c r="AA110" s="715"/>
      <c r="AB110" s="493"/>
    </row>
    <row r="111" spans="1:30" s="199" customFormat="1" ht="15.75" customHeight="1">
      <c r="A111" s="716" t="str">
        <f>IF(B111&lt;&gt;"",IF(AND(B111&gt;=_TM1,B111&lt;=_TM2,OR(TH!L111="1111",TH!M111="1111")),TH!D111,""),"")</f>
        <v/>
      </c>
      <c r="B111" s="36">
        <f t="shared" si="7"/>
        <v>10</v>
      </c>
      <c r="C111" s="185">
        <f t="shared" si="8"/>
        <v>41209</v>
      </c>
      <c r="D111" s="185" t="s">
        <v>474</v>
      </c>
      <c r="E111" s="178">
        <v>41209</v>
      </c>
      <c r="F111" s="183" t="s">
        <v>350</v>
      </c>
      <c r="G111" s="723" t="s">
        <v>387</v>
      </c>
      <c r="H111" s="7" t="s">
        <v>386</v>
      </c>
      <c r="I111" s="243"/>
      <c r="J111" s="243"/>
      <c r="K111" s="37">
        <v>1231900</v>
      </c>
      <c r="L111" s="188" t="s">
        <v>9</v>
      </c>
      <c r="M111" s="188" t="s">
        <v>8</v>
      </c>
      <c r="N111" s="49" t="str">
        <f>IF(AND('331-CT'!$E$7=TH!H111,OR(L111="331",M111="331")),"331",IF(AND(OR(L111="131",M111="131"),H111='131-CT'!$E$7),"131",""))</f>
        <v/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49" t="str">
        <f>IF(OR(TH!L111=TH!$V$7,M111=TH!$V$7),"x","")</f>
        <v/>
      </c>
      <c r="W111" s="49" t="str">
        <f>IF(AND(B111&gt;='IN-NX'!$P$3,B111&lt;='IN-NX'!$Q$3,'IN-NX'!$D$7=D111,OR(LEFT(L111,2)="15",AND(LEFT(M111,2)&lt;&gt;"15",LEFT(M111,2)&lt;&gt;"33"))),"x","")</f>
        <v/>
      </c>
      <c r="X111" s="49" t="str">
        <f>IF(AND(OR(LEFT(TH!L111,2)="15",LEFT(TH!M111,2)="15"),'152-CT'!$J$8=TH!F111),"x","")</f>
        <v/>
      </c>
      <c r="Y111" s="49" t="str">
        <f>IF(AND(OR(LEFT(TH!L111,2)="15",LEFT(TH!M111,2)="15"),TK!$E$7=TH!F111),"x","")</f>
        <v/>
      </c>
      <c r="Z111" s="49" t="str">
        <f>IF(AND(B111&lt;=NKC!$N$8,B111&gt;=NKC!$M$8),"x","")</f>
        <v/>
      </c>
      <c r="AA111" s="715">
        <v>10</v>
      </c>
      <c r="AB111" s="493"/>
    </row>
    <row r="112" spans="1:30" s="199" customFormat="1" ht="15.75" customHeight="1">
      <c r="A112" s="716" t="str">
        <f>IF(B112&lt;&gt;"",IF(AND(B112&gt;=_TM1,B112&lt;=_TM2,OR(TH!L112="1111",TH!M112="1111")),TH!D112,""),"")</f>
        <v>C08</v>
      </c>
      <c r="B112" s="36">
        <f t="shared" si="7"/>
        <v>10</v>
      </c>
      <c r="C112" s="185">
        <f t="shared" si="8"/>
        <v>41209</v>
      </c>
      <c r="D112" s="185" t="s">
        <v>465</v>
      </c>
      <c r="E112" s="178">
        <v>41209</v>
      </c>
      <c r="F112" s="183" t="s">
        <v>457</v>
      </c>
      <c r="G112" s="723" t="s">
        <v>387</v>
      </c>
      <c r="H112" s="7" t="s">
        <v>386</v>
      </c>
      <c r="I112" s="243"/>
      <c r="J112" s="243"/>
      <c r="K112" s="37">
        <v>13550900</v>
      </c>
      <c r="L112" s="188" t="s">
        <v>8</v>
      </c>
      <c r="M112" s="188" t="s">
        <v>47</v>
      </c>
      <c r="N112" s="49" t="str">
        <f>IF(AND('331-CT'!$E$7=TH!H112,OR(L112="331",M112="331")),"331",IF(AND(OR(L112="131",M112="131"),H112='131-CT'!$E$7),"131",""))</f>
        <v/>
      </c>
      <c r="O112" s="49" t="str">
        <f>IF(AND($B112&gt;='111'!$N$11,$B112&lt;='111'!$O$11,OR($L112=$O$7,$M112=$O$7)),"x","")</f>
        <v>x</v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49" t="str">
        <f>IF(OR(TH!L112=TH!$V$7,M112=TH!$V$7),"x","")</f>
        <v/>
      </c>
      <c r="W112" s="49" t="str">
        <f>IF(AND(B112&gt;='IN-NX'!$P$3,B112&lt;='IN-NX'!$Q$3,'IN-NX'!$D$7=D112,OR(LEFT(L112,2)="15",AND(LEFT(M112,2)&lt;&gt;"15",LEFT(M112,2)&lt;&gt;"33"))),"x","")</f>
        <v/>
      </c>
      <c r="X112" s="49" t="str">
        <f>IF(AND(OR(LEFT(TH!L112,2)="15",LEFT(TH!M112,2)="15"),'152-CT'!$J$8=TH!F112),"x","")</f>
        <v/>
      </c>
      <c r="Y112" s="49" t="str">
        <f>IF(AND(OR(LEFT(TH!L112,2)="15",LEFT(TH!M112,2)="15"),TK!$E$7=TH!F112),"x","")</f>
        <v/>
      </c>
      <c r="Z112" s="49" t="str">
        <f>IF(AND(B112&lt;=NKC!$N$8,B112&gt;=NKC!$M$8),"x","")</f>
        <v/>
      </c>
      <c r="AA112" s="715"/>
      <c r="AB112" s="493"/>
    </row>
    <row r="113" spans="1:30" s="199" customFormat="1" ht="15.75" customHeight="1">
      <c r="A113" s="716" t="str">
        <f>IF(B113&lt;&gt;"",IF(AND(B113&gt;=_TM1,B113&lt;=_TM2,OR(TH!L113="1111",TH!M113="1111")),TH!D113,""),"")</f>
        <v>C09</v>
      </c>
      <c r="B113" s="36">
        <f t="shared" si="7"/>
        <v>10</v>
      </c>
      <c r="C113" s="185">
        <f t="shared" si="8"/>
        <v>41211</v>
      </c>
      <c r="D113" s="185" t="s">
        <v>466</v>
      </c>
      <c r="E113" s="178">
        <v>41211</v>
      </c>
      <c r="F113" s="186" t="s">
        <v>301</v>
      </c>
      <c r="G113" s="723" t="s">
        <v>392</v>
      </c>
      <c r="H113" s="7" t="s">
        <v>393</v>
      </c>
      <c r="I113" s="243"/>
      <c r="J113" s="243"/>
      <c r="K113" s="37">
        <v>1400000</v>
      </c>
      <c r="L113" s="188" t="s">
        <v>160</v>
      </c>
      <c r="M113" s="188" t="s">
        <v>47</v>
      </c>
      <c r="N113" s="49" t="str">
        <f>IF(AND('331-CT'!$E$7=TH!H113,OR(L113="331",M113="331")),"331",IF(AND(OR(L113="131",M113="131"),H113='131-CT'!$E$7),"131",""))</f>
        <v/>
      </c>
      <c r="O113" s="49" t="str">
        <f>IF(AND($B113&gt;='111'!$N$11,$B113&lt;='111'!$O$11,OR($L113=$O$7,$M113=$O$7)),"x","")</f>
        <v>x</v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49" t="str">
        <f>IF(OR(TH!L113=TH!$V$7,M113=TH!$V$7),"x","")</f>
        <v/>
      </c>
      <c r="W113" s="49" t="str">
        <f>IF(AND(B113&gt;='IN-NX'!$P$3,B113&lt;='IN-NX'!$Q$3,'IN-NX'!$D$7=D113,OR(LEFT(L113,2)="15",AND(LEFT(M113,2)&lt;&gt;"15",LEFT(M113,2)&lt;&gt;"33"))),"x","")</f>
        <v/>
      </c>
      <c r="X113" s="49" t="str">
        <f>IF(AND(OR(LEFT(TH!L113,2)="15",LEFT(TH!M113,2)="15"),'152-CT'!$J$8=TH!F113),"x","")</f>
        <v/>
      </c>
      <c r="Y113" s="49" t="str">
        <f>IF(AND(OR(LEFT(TH!L113,2)="15",LEFT(TH!M113,2)="15"),TK!$E$7=TH!F113),"x","")</f>
        <v/>
      </c>
      <c r="Z113" s="49" t="str">
        <f>IF(AND(B113&lt;=NKC!$N$8,B113&gt;=NKC!$M$8),"x","")</f>
        <v/>
      </c>
      <c r="AA113" s="715"/>
      <c r="AB113" s="493"/>
    </row>
    <row r="114" spans="1:30" s="199" customFormat="1" ht="15.75" customHeight="1">
      <c r="A114" s="716" t="str">
        <f>IF(B114&lt;&gt;"",IF(AND(B114&gt;=_TM1,B114&lt;=_TM2,OR(TH!L114="1111",TH!M114="1111")),TH!D114,""),"")</f>
        <v/>
      </c>
      <c r="B114" s="36">
        <f t="shared" si="7"/>
        <v>10</v>
      </c>
      <c r="C114" s="185">
        <f t="shared" si="8"/>
        <v>41211</v>
      </c>
      <c r="D114" s="178" t="s">
        <v>569</v>
      </c>
      <c r="E114" s="185">
        <v>41211</v>
      </c>
      <c r="F114" s="186" t="s">
        <v>526</v>
      </c>
      <c r="G114" s="724" t="s">
        <v>527</v>
      </c>
      <c r="H114" s="187" t="s">
        <v>523</v>
      </c>
      <c r="I114" s="243">
        <v>500</v>
      </c>
      <c r="J114" s="243">
        <v>15500</v>
      </c>
      <c r="K114" s="501">
        <f>ROUND(I114*J114,0)</f>
        <v>7750000</v>
      </c>
      <c r="L114" s="502" t="s">
        <v>252</v>
      </c>
      <c r="M114" s="502" t="s">
        <v>164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49" t="str">
        <f>IF(OR(TH!L114=TH!$V$7,M114=TH!$V$7),"x","")</f>
        <v/>
      </c>
      <c r="W114" s="49" t="str">
        <f>IF(AND(B114&gt;='IN-NX'!$P$3,B114&lt;='IN-NX'!$Q$3,'IN-NX'!$D$7=D114,OR(LEFT(L114,2)="15",AND(LEFT(M114,2)&lt;&gt;"15",LEFT(M114,2)&lt;&gt;"33"))),"x","")</f>
        <v/>
      </c>
      <c r="X114" s="49" t="str">
        <f>IF(AND(OR(LEFT(TH!L114,2)="15",LEFT(TH!M114,2)="15"),'152-CT'!$J$8=TH!F114),"x","")</f>
        <v/>
      </c>
      <c r="Y114" s="49" t="str">
        <f>IF(AND(OR(LEFT(TH!L114,2)="15",LEFT(TH!M114,2)="15"),TK!$E$7=TH!F114),"x","")</f>
        <v/>
      </c>
      <c r="Z114" s="49" t="str">
        <f>IF(AND(B114&lt;=NKC!$N$8,B114&gt;=NKC!$M$8),"x","")</f>
        <v/>
      </c>
      <c r="AA114" s="715"/>
      <c r="AB114" s="493"/>
      <c r="AC114" s="493"/>
      <c r="AD114" s="493"/>
    </row>
    <row r="115" spans="1:30" s="199" customFormat="1" ht="15.75" customHeight="1">
      <c r="A115" s="716" t="str">
        <f>IF(B115&lt;&gt;"",IF(AND(B115&gt;=_TM1,B115&lt;=_TM2,OR(TH!L115="1111",TH!M115="1111")),TH!D115,""),"")</f>
        <v/>
      </c>
      <c r="B115" s="36">
        <f t="shared" si="7"/>
        <v>10</v>
      </c>
      <c r="C115" s="185">
        <f t="shared" si="8"/>
        <v>41211</v>
      </c>
      <c r="D115" s="178" t="s">
        <v>569</v>
      </c>
      <c r="E115" s="185">
        <v>41211</v>
      </c>
      <c r="F115" s="186" t="s">
        <v>509</v>
      </c>
      <c r="G115" s="724" t="s">
        <v>527</v>
      </c>
      <c r="H115" s="187" t="s">
        <v>523</v>
      </c>
      <c r="I115" s="243"/>
      <c r="J115" s="243"/>
      <c r="K115" s="501">
        <v>775000</v>
      </c>
      <c r="L115" s="502" t="s">
        <v>252</v>
      </c>
      <c r="M115" s="502" t="s">
        <v>296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49" t="str">
        <f>IF(OR(TH!L115=TH!$V$7,M115=TH!$V$7),"x","")</f>
        <v/>
      </c>
      <c r="W115" s="49" t="str">
        <f>IF(AND(B115&gt;='IN-NX'!$P$3,B115&lt;='IN-NX'!$Q$3,'IN-NX'!$D$7=D115,OR(LEFT(L115,2)="15",AND(LEFT(M115,2)&lt;&gt;"15",LEFT(M115,2)&lt;&gt;"33"))),"x","")</f>
        <v/>
      </c>
      <c r="X115" s="49" t="str">
        <f>IF(AND(OR(LEFT(TH!L115,2)="15",LEFT(TH!M115,2)="15"),'152-CT'!$J$8=TH!F115),"x","")</f>
        <v/>
      </c>
      <c r="Y115" s="49" t="str">
        <f>IF(AND(OR(LEFT(TH!L115,2)="15",LEFT(TH!M115,2)="15"),TK!$E$7=TH!F115),"x","")</f>
        <v/>
      </c>
      <c r="Z115" s="49" t="str">
        <f>IF(AND(B115&lt;=NKC!$N$8,B115&gt;=NKC!$M$8),"x","")</f>
        <v/>
      </c>
      <c r="AA115" s="715"/>
      <c r="AB115" s="493"/>
      <c r="AC115" s="493"/>
      <c r="AD115" s="493"/>
    </row>
    <row r="116" spans="1:30" s="199" customFormat="1" ht="15.75" customHeight="1">
      <c r="A116" s="716" t="str">
        <f>IF(B116&lt;&gt;"",IF(AND(B116&gt;=_TM1,B116&lt;=_TM2,OR(TH!L116="1111",TH!M116="1111")),TH!D116,""),"")</f>
        <v/>
      </c>
      <c r="B116" s="36">
        <f t="shared" si="7"/>
        <v>10</v>
      </c>
      <c r="C116" s="185">
        <f t="shared" si="8"/>
        <v>41213</v>
      </c>
      <c r="D116" s="178" t="s">
        <v>570</v>
      </c>
      <c r="E116" s="185">
        <v>41213</v>
      </c>
      <c r="F116" s="186" t="s">
        <v>528</v>
      </c>
      <c r="G116" s="724" t="s">
        <v>529</v>
      </c>
      <c r="H116" s="187" t="s">
        <v>452</v>
      </c>
      <c r="I116" s="243">
        <v>1000</v>
      </c>
      <c r="J116" s="243">
        <v>7880</v>
      </c>
      <c r="K116" s="501">
        <f>ROUND(I116*J116,0)</f>
        <v>7880000</v>
      </c>
      <c r="L116" s="502" t="s">
        <v>252</v>
      </c>
      <c r="M116" s="502" t="s">
        <v>164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/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49" t="str">
        <f>IF(OR(TH!L116=TH!$V$7,M116=TH!$V$7),"x","")</f>
        <v/>
      </c>
      <c r="W116" s="49" t="str">
        <f>IF(AND(B116&gt;='IN-NX'!$P$3,B116&lt;='IN-NX'!$Q$3,'IN-NX'!$D$7=D116,OR(LEFT(L116,2)="15",AND(LEFT(M116,2)&lt;&gt;"15",LEFT(M116,2)&lt;&gt;"33"))),"x","")</f>
        <v/>
      </c>
      <c r="X116" s="49" t="str">
        <f>IF(AND(OR(LEFT(TH!L116,2)="15",LEFT(TH!M116,2)="15"),'152-CT'!$J$8=TH!F116),"x","")</f>
        <v/>
      </c>
      <c r="Y116" s="49" t="str">
        <f>IF(AND(OR(LEFT(TH!L116,2)="15",LEFT(TH!M116,2)="15"),TK!$E$7=TH!F116),"x","")</f>
        <v/>
      </c>
      <c r="Z116" s="49" t="str">
        <f>IF(AND(B116&lt;=NKC!$N$8,B116&gt;=NKC!$M$8),"x","")</f>
        <v/>
      </c>
      <c r="AA116" s="715"/>
      <c r="AB116" s="493"/>
      <c r="AC116" s="493"/>
      <c r="AD116" s="493"/>
    </row>
    <row r="117" spans="1:30" s="199" customFormat="1" ht="15.75" customHeight="1">
      <c r="A117" s="716" t="str">
        <f>IF(B117&lt;&gt;"",IF(AND(B117&gt;=_TM1,B117&lt;=_TM2,OR(TH!L117="1111",TH!M117="1111")),TH!D117,""),"")</f>
        <v/>
      </c>
      <c r="B117" s="36">
        <f t="shared" si="7"/>
        <v>10</v>
      </c>
      <c r="C117" s="185">
        <f t="shared" si="8"/>
        <v>41213</v>
      </c>
      <c r="D117" s="178" t="s">
        <v>570</v>
      </c>
      <c r="E117" s="185">
        <v>41213</v>
      </c>
      <c r="F117" s="186" t="s">
        <v>518</v>
      </c>
      <c r="G117" s="724" t="s">
        <v>529</v>
      </c>
      <c r="H117" s="187" t="s">
        <v>452</v>
      </c>
      <c r="I117" s="243">
        <v>400</v>
      </c>
      <c r="J117" s="243">
        <v>6400</v>
      </c>
      <c r="K117" s="501">
        <f>ROUND(I117*J117,0)</f>
        <v>2560000</v>
      </c>
      <c r="L117" s="502" t="s">
        <v>252</v>
      </c>
      <c r="M117" s="502" t="s">
        <v>164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/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49" t="str">
        <f>IF(OR(TH!L117=TH!$V$7,M117=TH!$V$7),"x","")</f>
        <v/>
      </c>
      <c r="W117" s="49" t="str">
        <f>IF(AND(B117&gt;='IN-NX'!$P$3,B117&lt;='IN-NX'!$Q$3,'IN-NX'!$D$7=D117,OR(LEFT(L117,2)="15",AND(LEFT(M117,2)&lt;&gt;"15",LEFT(M117,2)&lt;&gt;"33"))),"x","")</f>
        <v/>
      </c>
      <c r="X117" s="49" t="str">
        <f>IF(AND(OR(LEFT(TH!L117,2)="15",LEFT(TH!M117,2)="15"),'152-CT'!$J$8=TH!F117),"x","")</f>
        <v/>
      </c>
      <c r="Y117" s="49" t="str">
        <f>IF(AND(OR(LEFT(TH!L117,2)="15",LEFT(TH!M117,2)="15"),TK!$E$7=TH!F117),"x","")</f>
        <v/>
      </c>
      <c r="Z117" s="49" t="str">
        <f>IF(AND(B117&lt;=NKC!$N$8,B117&gt;=NKC!$M$8),"x","")</f>
        <v/>
      </c>
      <c r="AA117" s="715"/>
      <c r="AB117" s="493"/>
    </row>
    <row r="118" spans="1:30" s="199" customFormat="1" ht="15.75" customHeight="1">
      <c r="A118" s="716" t="str">
        <f>IF(B118&lt;&gt;"",IF(AND(B118&gt;=_TM1,B118&lt;=_TM2,OR(TH!L118="1111",TH!M118="1111")),TH!D118,""),"")</f>
        <v/>
      </c>
      <c r="B118" s="36">
        <f t="shared" si="7"/>
        <v>10</v>
      </c>
      <c r="C118" s="185">
        <f t="shared" si="8"/>
        <v>41213</v>
      </c>
      <c r="D118" s="178" t="s">
        <v>570</v>
      </c>
      <c r="E118" s="185">
        <v>41213</v>
      </c>
      <c r="F118" s="186" t="s">
        <v>509</v>
      </c>
      <c r="G118" s="724" t="s">
        <v>529</v>
      </c>
      <c r="H118" s="187" t="s">
        <v>452</v>
      </c>
      <c r="I118" s="243"/>
      <c r="J118" s="243"/>
      <c r="K118" s="501">
        <v>1044000</v>
      </c>
      <c r="L118" s="502" t="s">
        <v>252</v>
      </c>
      <c r="M118" s="502" t="s">
        <v>296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49" t="str">
        <f>IF(OR(TH!L118=TH!$V$7,M118=TH!$V$7),"x","")</f>
        <v/>
      </c>
      <c r="W118" s="49" t="str">
        <f>IF(AND(B118&gt;='IN-NX'!$P$3,B118&lt;='IN-NX'!$Q$3,'IN-NX'!$D$7=D118,OR(LEFT(L118,2)="15",AND(LEFT(M118,2)&lt;&gt;"15",LEFT(M118,2)&lt;&gt;"33"))),"x","")</f>
        <v/>
      </c>
      <c r="X118" s="49" t="str">
        <f>IF(AND(OR(LEFT(TH!L118,2)="15",LEFT(TH!M118,2)="15"),'152-CT'!$J$8=TH!F118),"x","")</f>
        <v/>
      </c>
      <c r="Y118" s="49" t="str">
        <f>IF(AND(OR(LEFT(TH!L118,2)="15",LEFT(TH!M118,2)="15"),TK!$E$7=TH!F118),"x","")</f>
        <v/>
      </c>
      <c r="Z118" s="49" t="str">
        <f>IF(AND(B118&lt;=NKC!$N$8,B118&gt;=NKC!$M$8),"x","")</f>
        <v/>
      </c>
      <c r="AA118" s="715"/>
      <c r="AB118" s="493"/>
      <c r="AC118" s="493"/>
      <c r="AD118" s="493"/>
    </row>
    <row r="119" spans="1:30" s="199" customFormat="1" ht="15.75" customHeight="1">
      <c r="A119" s="716" t="str">
        <f>IF(B119&lt;&gt;"",IF(AND(B119&gt;=_TM1,B119&lt;=_TM2,OR(TH!L119="1111",TH!M119="1111")),TH!D119,""),"")</f>
        <v>T04</v>
      </c>
      <c r="B119" s="36">
        <f t="shared" si="7"/>
        <v>10</v>
      </c>
      <c r="C119" s="185">
        <f t="shared" si="8"/>
        <v>41213</v>
      </c>
      <c r="D119" s="178" t="s">
        <v>492</v>
      </c>
      <c r="E119" s="185">
        <v>41213</v>
      </c>
      <c r="F119" s="186" t="s">
        <v>447</v>
      </c>
      <c r="G119" s="724" t="s">
        <v>529</v>
      </c>
      <c r="H119" s="187" t="s">
        <v>452</v>
      </c>
      <c r="I119" s="243"/>
      <c r="J119" s="243"/>
      <c r="K119" s="501">
        <v>11484000</v>
      </c>
      <c r="L119" s="502" t="s">
        <v>47</v>
      </c>
      <c r="M119" s="502" t="s">
        <v>252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>x</v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49" t="str">
        <f>IF(OR(TH!L119=TH!$V$7,M119=TH!$V$7),"x","")</f>
        <v/>
      </c>
      <c r="W119" s="49" t="str">
        <f>IF(AND(B119&gt;='IN-NX'!$P$3,B119&lt;='IN-NX'!$Q$3,'IN-NX'!$D$7=D119,OR(LEFT(L119,2)="15",AND(LEFT(M119,2)&lt;&gt;"15",LEFT(M119,2)&lt;&gt;"33"))),"x","")</f>
        <v/>
      </c>
      <c r="X119" s="49" t="str">
        <f>IF(AND(OR(LEFT(TH!L119,2)="15",LEFT(TH!M119,2)="15"),'152-CT'!$J$8=TH!F119),"x","")</f>
        <v/>
      </c>
      <c r="Y119" s="49" t="str">
        <f>IF(AND(OR(LEFT(TH!L119,2)="15",LEFT(TH!M119,2)="15"),TK!$E$7=TH!F119),"x","")</f>
        <v/>
      </c>
      <c r="Z119" s="49" t="str">
        <f>IF(AND(B119&lt;=NKC!$N$8,B119&gt;=NKC!$M$8),"x","")</f>
        <v/>
      </c>
      <c r="AA119" s="715"/>
      <c r="AB119" s="493"/>
      <c r="AC119" s="493"/>
      <c r="AD119" s="493"/>
    </row>
    <row r="120" spans="1:30" s="199" customFormat="1" ht="15.75" customHeight="1">
      <c r="A120" s="716" t="str">
        <f>IF(B120&lt;&gt;"",IF(AND(B120&gt;=_TM1,B120&lt;=_TM2,OR(TH!L120="1111",TH!M120="1111")),TH!D120,""),"")</f>
        <v/>
      </c>
      <c r="B120" s="36">
        <f t="shared" si="7"/>
        <v>10</v>
      </c>
      <c r="C120" s="185">
        <f t="shared" si="8"/>
        <v>41213</v>
      </c>
      <c r="D120" s="185" t="s">
        <v>271</v>
      </c>
      <c r="E120" s="185">
        <v>41213</v>
      </c>
      <c r="F120" s="186" t="s">
        <v>561</v>
      </c>
      <c r="G120" s="724"/>
      <c r="H120" s="187" t="s">
        <v>384</v>
      </c>
      <c r="I120" s="243"/>
      <c r="J120" s="243"/>
      <c r="K120" s="501">
        <v>515398</v>
      </c>
      <c r="L120" s="502" t="s">
        <v>9</v>
      </c>
      <c r="M120" s="502" t="s">
        <v>17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49" t="str">
        <f>IF(OR(TH!L120=TH!$V$7,M120=TH!$V$7),"x","")</f>
        <v>x</v>
      </c>
      <c r="W120" s="49" t="str">
        <f>IF(AND(B120&gt;='IN-NX'!$P$3,B120&lt;='IN-NX'!$Q$3,'IN-NX'!$D$7=D120,OR(LEFT(L120,2)="15",AND(LEFT(M120,2)&lt;&gt;"15",LEFT(M120,2)&lt;&gt;"33"))),"x","")</f>
        <v/>
      </c>
      <c r="X120" s="49" t="str">
        <f>IF(AND(OR(LEFT(TH!L120,2)="15",LEFT(TH!M120,2)="15"),'152-CT'!$J$8=TH!F120),"x","")</f>
        <v/>
      </c>
      <c r="Y120" s="49" t="str">
        <f>IF(AND(OR(LEFT(TH!L120,2)="15",LEFT(TH!M120,2)="15"),TK!$E$7=TH!F120),"x","")</f>
        <v/>
      </c>
      <c r="Z120" s="49" t="str">
        <f>IF(AND(B120&lt;=NKC!$N$8,B120&gt;=NKC!$M$8),"x","")</f>
        <v/>
      </c>
      <c r="AA120" s="715"/>
      <c r="AB120" s="493"/>
    </row>
    <row r="121" spans="1:30" s="199" customFormat="1" ht="15.75" customHeight="1">
      <c r="A121" s="716" t="str">
        <f>IF(B121&lt;&gt;"",IF(AND(B121&gt;=_TM1,B121&lt;=_TM2,OR(TH!L121="1111",TH!M121="1111")),TH!D121,""),"")</f>
        <v/>
      </c>
      <c r="B121" s="36">
        <f t="shared" si="7"/>
        <v>10</v>
      </c>
      <c r="C121" s="185">
        <f t="shared" si="8"/>
        <v>41213</v>
      </c>
      <c r="D121" s="185" t="s">
        <v>271</v>
      </c>
      <c r="E121" s="185">
        <v>41213</v>
      </c>
      <c r="F121" s="186" t="s">
        <v>771</v>
      </c>
      <c r="G121" s="724"/>
      <c r="H121" s="187"/>
      <c r="I121" s="243"/>
      <c r="J121" s="243"/>
      <c r="K121" s="501">
        <v>8100000</v>
      </c>
      <c r="L121" s="502" t="s">
        <v>83</v>
      </c>
      <c r="M121" s="502" t="s">
        <v>254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49" t="str">
        <f>IF(OR(TH!L121=TH!$V$7,M121=TH!$V$7),"x","")</f>
        <v/>
      </c>
      <c r="W121" s="49" t="str">
        <f>IF(AND(B121&gt;='IN-NX'!$P$3,B121&lt;='IN-NX'!$Q$3,'IN-NX'!$D$7=D121,OR(LEFT(L121,2)="15",AND(LEFT(M121,2)&lt;&gt;"15",LEFT(M121,2)&lt;&gt;"33"))),"x","")</f>
        <v/>
      </c>
      <c r="X121" s="49" t="str">
        <f>IF(AND(OR(LEFT(TH!L121,2)="15",LEFT(TH!M121,2)="15"),'152-CT'!$J$8=TH!F121),"x","")</f>
        <v/>
      </c>
      <c r="Y121" s="49" t="str">
        <f>IF(AND(OR(LEFT(TH!L121,2)="15",LEFT(TH!M121,2)="15"),TK!$E$7=TH!F121),"x","")</f>
        <v/>
      </c>
      <c r="Z121" s="49" t="str">
        <f>IF(AND(B121&lt;=NKC!$N$8,B121&gt;=NKC!$M$8),"x","")</f>
        <v/>
      </c>
      <c r="AA121" s="715"/>
      <c r="AB121" s="493"/>
    </row>
    <row r="122" spans="1:30" s="199" customFormat="1" ht="15.75" customHeight="1">
      <c r="A122" s="716" t="str">
        <f>IF(B122&lt;&gt;"",IF(AND(B122&gt;=_TM1,B122&lt;=_TM2,OR(TH!L122="1111",TH!M122="1111")),TH!D122,""),"")</f>
        <v/>
      </c>
      <c r="B122" s="36">
        <f t="shared" si="7"/>
        <v>10</v>
      </c>
      <c r="C122" s="185">
        <f t="shared" si="8"/>
        <v>41213</v>
      </c>
      <c r="D122" s="185" t="s">
        <v>271</v>
      </c>
      <c r="E122" s="185">
        <v>41213</v>
      </c>
      <c r="F122" s="186" t="s">
        <v>770</v>
      </c>
      <c r="G122" s="724"/>
      <c r="H122" s="187"/>
      <c r="I122" s="243"/>
      <c r="J122" s="243"/>
      <c r="K122" s="501">
        <v>5685000</v>
      </c>
      <c r="L122" s="502" t="s">
        <v>160</v>
      </c>
      <c r="M122" s="502" t="s">
        <v>254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49" t="str">
        <f>IF(OR(TH!L122=TH!$V$7,M122=TH!$V$7),"x","")</f>
        <v/>
      </c>
      <c r="W122" s="49" t="str">
        <f>IF(AND(B122&gt;='IN-NX'!$P$3,B122&lt;='IN-NX'!$Q$3,'IN-NX'!$D$7=D122,OR(LEFT(L122,2)="15",AND(LEFT(M122,2)&lt;&gt;"15",LEFT(M122,2)&lt;&gt;"33"))),"x","")</f>
        <v/>
      </c>
      <c r="X122" s="49" t="str">
        <f>IF(AND(OR(LEFT(TH!L122,2)="15",LEFT(TH!M122,2)="15"),'152-CT'!$J$8=TH!F122),"x","")</f>
        <v/>
      </c>
      <c r="Y122" s="49" t="str">
        <f>IF(AND(OR(LEFT(TH!L122,2)="15",LEFT(TH!M122,2)="15"),TK!$E$7=TH!F122),"x","")</f>
        <v/>
      </c>
      <c r="Z122" s="49" t="str">
        <f>IF(AND(B122&lt;=NKC!$N$8,B122&gt;=NKC!$M$8),"x","")</f>
        <v/>
      </c>
      <c r="AA122" s="715"/>
      <c r="AB122" s="493"/>
    </row>
    <row r="123" spans="1:30" s="199" customFormat="1" ht="15.75" customHeight="1">
      <c r="A123" s="716" t="str">
        <f>IF(B123&lt;&gt;"",IF(AND(B123&gt;=_TM1,B123&lt;=_TM2,OR(TH!L123="1111",TH!M123="1111")),TH!D123,""),"")</f>
        <v>C10</v>
      </c>
      <c r="B123" s="36">
        <f t="shared" si="7"/>
        <v>10</v>
      </c>
      <c r="C123" s="185">
        <f t="shared" si="8"/>
        <v>41213</v>
      </c>
      <c r="D123" s="185" t="s">
        <v>467</v>
      </c>
      <c r="E123" s="185">
        <v>41213</v>
      </c>
      <c r="F123" s="186" t="s">
        <v>773</v>
      </c>
      <c r="G123" s="724"/>
      <c r="H123" s="187" t="s">
        <v>762</v>
      </c>
      <c r="I123" s="243"/>
      <c r="J123" s="243"/>
      <c r="K123" s="501">
        <f>K121+K122</f>
        <v>13785000</v>
      </c>
      <c r="L123" s="502" t="s">
        <v>254</v>
      </c>
      <c r="M123" s="502" t="s">
        <v>47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>x</v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49" t="str">
        <f>IF(OR(TH!L123=TH!$V$7,M123=TH!$V$7),"x","")</f>
        <v/>
      </c>
      <c r="W123" s="49" t="str">
        <f>IF(AND(B123&gt;='IN-NX'!$P$3,B123&lt;='IN-NX'!$Q$3,'IN-NX'!$D$7=D123,OR(LEFT(L123,2)="15",AND(LEFT(M123,2)&lt;&gt;"15",LEFT(M123,2)&lt;&gt;"33"))),"x","")</f>
        <v/>
      </c>
      <c r="X123" s="49" t="str">
        <f>IF(AND(OR(LEFT(TH!L123,2)="15",LEFT(TH!M123,2)="15"),'152-CT'!$J$8=TH!F123),"x","")</f>
        <v/>
      </c>
      <c r="Y123" s="49" t="str">
        <f>IF(AND(OR(LEFT(TH!L123,2)="15",LEFT(TH!M123,2)="15"),TK!$E$7=TH!F123),"x","")</f>
        <v/>
      </c>
      <c r="Z123" s="49" t="str">
        <f>IF(AND(B123&lt;=NKC!$N$8,B123&gt;=NKC!$M$8),"x","")</f>
        <v/>
      </c>
      <c r="AA123" s="715"/>
      <c r="AB123" s="493"/>
    </row>
    <row r="124" spans="1:30" s="199" customFormat="1" ht="15.75" customHeight="1">
      <c r="A124" s="716" t="str">
        <f>IF(B124&lt;&gt;"",IF(AND(B124&gt;=_TM1,B124&lt;=_TM2,OR(TH!L124="1111",TH!M124="1111")),TH!D124,""),"")</f>
        <v>T05</v>
      </c>
      <c r="B124" s="36">
        <f t="shared" si="7"/>
        <v>11</v>
      </c>
      <c r="C124" s="185">
        <f t="shared" si="8"/>
        <v>41214</v>
      </c>
      <c r="D124" s="178" t="s">
        <v>498</v>
      </c>
      <c r="E124" s="178">
        <v>41214</v>
      </c>
      <c r="F124" s="183" t="s">
        <v>449</v>
      </c>
      <c r="G124" s="723" t="s">
        <v>351</v>
      </c>
      <c r="H124" s="187" t="s">
        <v>454</v>
      </c>
      <c r="I124" s="243"/>
      <c r="J124" s="243"/>
      <c r="K124" s="501">
        <v>31000000</v>
      </c>
      <c r="L124" s="502" t="s">
        <v>47</v>
      </c>
      <c r="M124" s="502" t="s">
        <v>24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>x</v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>x</v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49" t="str">
        <f>IF(OR(TH!L124=TH!$V$7,M124=TH!$V$7),"x","")</f>
        <v/>
      </c>
      <c r="W124" s="49" t="str">
        <f>IF(AND(B124&gt;='IN-NX'!$P$3,B124&lt;='IN-NX'!$Q$3,'IN-NX'!$D$7=D124,OR(LEFT(L124,2)="15",AND(LEFT(M124,2)&lt;&gt;"15",LEFT(M124,2)&lt;&gt;"33"))),"x","")</f>
        <v/>
      </c>
      <c r="X124" s="49" t="str">
        <f>IF(AND(OR(LEFT(TH!L124,2)="15",LEFT(TH!M124,2)="15"),'152-CT'!$J$8=TH!F124),"x","")</f>
        <v/>
      </c>
      <c r="Y124" s="49" t="str">
        <f>IF(AND(OR(LEFT(TH!L124,2)="15",LEFT(TH!M124,2)="15"),TK!$E$7=TH!F124),"x","")</f>
        <v/>
      </c>
      <c r="Z124" s="49" t="str">
        <f>IF(AND(B124&lt;=NKC!$N$8,B124&gt;=NKC!$M$8),"x","")</f>
        <v/>
      </c>
      <c r="AA124" s="715"/>
      <c r="AB124" s="493"/>
      <c r="AC124" s="493"/>
      <c r="AD124" s="493"/>
    </row>
    <row r="125" spans="1:30" s="199" customFormat="1" ht="15.75" customHeight="1">
      <c r="A125" s="716" t="str">
        <f>IF(B125&lt;&gt;"",IF(AND(B125&gt;=_TM1,B125&lt;=_TM2,OR(TH!L125="1111",TH!M125="1111")),TH!D125,""),"")</f>
        <v/>
      </c>
      <c r="B125" s="36">
        <f t="shared" si="7"/>
        <v>11</v>
      </c>
      <c r="C125" s="185">
        <f t="shared" si="8"/>
        <v>41214</v>
      </c>
      <c r="D125" s="178" t="s">
        <v>571</v>
      </c>
      <c r="E125" s="185">
        <v>41214</v>
      </c>
      <c r="F125" s="186" t="s">
        <v>530</v>
      </c>
      <c r="G125" s="724" t="s">
        <v>531</v>
      </c>
      <c r="H125" s="187" t="s">
        <v>507</v>
      </c>
      <c r="I125" s="243">
        <v>550</v>
      </c>
      <c r="J125" s="243">
        <v>6125</v>
      </c>
      <c r="K125" s="501">
        <f>ROUND(I125*J125,0)</f>
        <v>3368750</v>
      </c>
      <c r="L125" s="502" t="s">
        <v>252</v>
      </c>
      <c r="M125" s="502" t="s">
        <v>164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/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/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49" t="str">
        <f>IF(OR(TH!L125=TH!$V$7,M125=TH!$V$7),"x","")</f>
        <v/>
      </c>
      <c r="W125" s="49" t="str">
        <f>IF(AND(B125&gt;='IN-NX'!$P$3,B125&lt;='IN-NX'!$Q$3,'IN-NX'!$D$7=D125,OR(LEFT(L125,2)="15",AND(LEFT(M125,2)&lt;&gt;"15",LEFT(M125,2)&lt;&gt;"33"))),"x","")</f>
        <v/>
      </c>
      <c r="X125" s="49" t="str">
        <f>IF(AND(OR(LEFT(TH!L125,2)="15",LEFT(TH!M125,2)="15"),'152-CT'!$J$8=TH!F125),"x","")</f>
        <v/>
      </c>
      <c r="Y125" s="49" t="str">
        <f>IF(AND(OR(LEFT(TH!L125,2)="15",LEFT(TH!M125,2)="15"),TK!$E$7=TH!F125),"x","")</f>
        <v/>
      </c>
      <c r="Z125" s="49" t="str">
        <f>IF(AND(B125&lt;=NKC!$N$8,B125&gt;=NKC!$M$8),"x","")</f>
        <v/>
      </c>
      <c r="AA125" s="715"/>
      <c r="AB125" s="493"/>
      <c r="AC125" s="493"/>
      <c r="AD125" s="493"/>
    </row>
    <row r="126" spans="1:30" s="199" customFormat="1" ht="15.75" customHeight="1">
      <c r="A126" s="716" t="str">
        <f>IF(B126&lt;&gt;"",IF(AND(B126&gt;=_TM1,B126&lt;=_TM2,OR(TH!L126="1111",TH!M126="1111")),TH!D126,""),"")</f>
        <v/>
      </c>
      <c r="B126" s="36">
        <f t="shared" si="7"/>
        <v>11</v>
      </c>
      <c r="C126" s="185">
        <f t="shared" si="8"/>
        <v>41214</v>
      </c>
      <c r="D126" s="178" t="s">
        <v>571</v>
      </c>
      <c r="E126" s="185">
        <v>41214</v>
      </c>
      <c r="F126" s="186" t="s">
        <v>505</v>
      </c>
      <c r="G126" s="724" t="s">
        <v>531</v>
      </c>
      <c r="H126" s="187" t="s">
        <v>507</v>
      </c>
      <c r="I126" s="243">
        <v>1050</v>
      </c>
      <c r="J126" s="243">
        <v>6760</v>
      </c>
      <c r="K126" s="501">
        <f>ROUND(I126*J126,0)</f>
        <v>7098000</v>
      </c>
      <c r="L126" s="502" t="s">
        <v>252</v>
      </c>
      <c r="M126" s="502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49" t="str">
        <f>IF(OR(TH!L126=TH!$V$7,M126=TH!$V$7),"x","")</f>
        <v/>
      </c>
      <c r="W126" s="49" t="str">
        <f>IF(AND(B126&gt;='IN-NX'!$P$3,B126&lt;='IN-NX'!$Q$3,'IN-NX'!$D$7=D126,OR(LEFT(L126,2)="15",AND(LEFT(M126,2)&lt;&gt;"15",LEFT(M126,2)&lt;&gt;"33"))),"x","")</f>
        <v/>
      </c>
      <c r="X126" s="49" t="str">
        <f>IF(AND(OR(LEFT(TH!L126,2)="15",LEFT(TH!M126,2)="15"),'152-CT'!$J$8=TH!F126),"x","")</f>
        <v/>
      </c>
      <c r="Y126" s="49" t="str">
        <f>IF(AND(OR(LEFT(TH!L126,2)="15",LEFT(TH!M126,2)="15"),TK!$E$7=TH!F126),"x","")</f>
        <v/>
      </c>
      <c r="Z126" s="49" t="str">
        <f>IF(AND(B126&lt;=NKC!$N$8,B126&gt;=NKC!$M$8),"x","")</f>
        <v/>
      </c>
      <c r="AA126" s="715"/>
      <c r="AB126" s="493"/>
      <c r="AC126" s="493"/>
      <c r="AD126" s="493"/>
    </row>
    <row r="127" spans="1:30" s="199" customFormat="1" ht="15.75" customHeight="1">
      <c r="A127" s="716" t="str">
        <f>IF(B127&lt;&gt;"",IF(AND(B127&gt;=_TM1,B127&lt;=_TM2,OR(TH!L127="1111",TH!M127="1111")),TH!D127,""),"")</f>
        <v/>
      </c>
      <c r="B127" s="36">
        <f t="shared" si="7"/>
        <v>11</v>
      </c>
      <c r="C127" s="185">
        <f t="shared" si="8"/>
        <v>41214</v>
      </c>
      <c r="D127" s="178" t="s">
        <v>571</v>
      </c>
      <c r="E127" s="185">
        <v>41214</v>
      </c>
      <c r="F127" s="186" t="s">
        <v>509</v>
      </c>
      <c r="G127" s="724" t="s">
        <v>531</v>
      </c>
      <c r="H127" s="187" t="s">
        <v>507</v>
      </c>
      <c r="I127" s="243"/>
      <c r="J127" s="243"/>
      <c r="K127" s="501">
        <v>1046675</v>
      </c>
      <c r="L127" s="502" t="s">
        <v>252</v>
      </c>
      <c r="M127" s="502" t="s">
        <v>296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49" t="str">
        <f>IF(OR(TH!L127=TH!$V$7,M127=TH!$V$7),"x","")</f>
        <v/>
      </c>
      <c r="W127" s="49" t="str">
        <f>IF(AND(B127&gt;='IN-NX'!$P$3,B127&lt;='IN-NX'!$Q$3,'IN-NX'!$D$7=D127,OR(LEFT(L127,2)="15",AND(LEFT(M127,2)&lt;&gt;"15",LEFT(M127,2)&lt;&gt;"33"))),"x","")</f>
        <v/>
      </c>
      <c r="X127" s="49" t="str">
        <f>IF(AND(OR(LEFT(TH!L127,2)="15",LEFT(TH!M127,2)="15"),'152-CT'!$J$8=TH!F127),"x","")</f>
        <v/>
      </c>
      <c r="Y127" s="49" t="str">
        <f>IF(AND(OR(LEFT(TH!L127,2)="15",LEFT(TH!M127,2)="15"),TK!$E$7=TH!F127),"x","")</f>
        <v/>
      </c>
      <c r="Z127" s="49" t="str">
        <f>IF(AND(B127&lt;=NKC!$N$8,B127&gt;=NKC!$M$8),"x","")</f>
        <v/>
      </c>
      <c r="AA127" s="715"/>
      <c r="AB127" s="493"/>
      <c r="AC127" s="493"/>
      <c r="AD127" s="493"/>
    </row>
    <row r="128" spans="1:30" s="493" customFormat="1" ht="15.75" customHeight="1">
      <c r="A128" s="716" t="str">
        <f>IF(B128&lt;&gt;"",IF(AND(B128&gt;=_TM1,B128&lt;=_TM2,OR(TH!L128="1111",TH!M128="1111")),TH!D128,""),"")</f>
        <v>T06</v>
      </c>
      <c r="B128" s="36">
        <f t="shared" si="7"/>
        <v>11</v>
      </c>
      <c r="C128" s="185">
        <f t="shared" si="8"/>
        <v>41214</v>
      </c>
      <c r="D128" s="178" t="s">
        <v>585</v>
      </c>
      <c r="E128" s="185">
        <v>41214</v>
      </c>
      <c r="F128" s="186" t="s">
        <v>447</v>
      </c>
      <c r="G128" s="724" t="s">
        <v>531</v>
      </c>
      <c r="H128" s="187" t="s">
        <v>507</v>
      </c>
      <c r="I128" s="243"/>
      <c r="J128" s="243"/>
      <c r="K128" s="501">
        <v>11513425</v>
      </c>
      <c r="L128" s="502" t="s">
        <v>47</v>
      </c>
      <c r="M128" s="502" t="s">
        <v>252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>x</v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49" t="str">
        <f>IF(OR(TH!L128=TH!$V$7,M128=TH!$V$7),"x","")</f>
        <v/>
      </c>
      <c r="W128" s="49" t="str">
        <f>IF(AND(B128&gt;='IN-NX'!$P$3,B128&lt;='IN-NX'!$Q$3,'IN-NX'!$D$7=D128,OR(LEFT(L128,2)="15",AND(LEFT(M128,2)&lt;&gt;"15",LEFT(M128,2)&lt;&gt;"33"))),"x","")</f>
        <v/>
      </c>
      <c r="X128" s="49" t="str">
        <f>IF(AND(OR(LEFT(TH!L128,2)="15",LEFT(TH!M128,2)="15"),'152-CT'!$J$8=TH!F128),"x","")</f>
        <v/>
      </c>
      <c r="Y128" s="49" t="str">
        <f>IF(AND(OR(LEFT(TH!L128,2)="15",LEFT(TH!M128,2)="15"),TK!$E$7=TH!F128),"x","")</f>
        <v/>
      </c>
      <c r="Z128" s="49" t="str">
        <f>IF(AND(B128&lt;=NKC!$N$8,B128&gt;=NKC!$M$8),"x","")</f>
        <v/>
      </c>
      <c r="AA128" s="715"/>
    </row>
    <row r="129" spans="1:30" s="493" customFormat="1" ht="15.75" customHeight="1">
      <c r="A129" s="716" t="str">
        <f>IF(B129&lt;&gt;"",IF(AND(B129&gt;=_TM1,B129&lt;=_TM2,OR(TH!L129="1111",TH!M129="1111")),TH!D129,""),"")</f>
        <v/>
      </c>
      <c r="B129" s="36">
        <f t="shared" si="7"/>
        <v>11</v>
      </c>
      <c r="C129" s="185">
        <f t="shared" si="8"/>
        <v>41215</v>
      </c>
      <c r="D129" s="185" t="s">
        <v>475</v>
      </c>
      <c r="E129" s="178">
        <v>41215</v>
      </c>
      <c r="F129" s="183" t="s">
        <v>399</v>
      </c>
      <c r="G129" s="723" t="s">
        <v>418</v>
      </c>
      <c r="H129" s="7" t="s">
        <v>363</v>
      </c>
      <c r="I129" s="243">
        <v>1000</v>
      </c>
      <c r="J129" s="243">
        <v>12750</v>
      </c>
      <c r="K129" s="37">
        <f>ROUND(I129*J129,0)</f>
        <v>12750000</v>
      </c>
      <c r="L129" s="188" t="s">
        <v>352</v>
      </c>
      <c r="M129" s="188" t="s">
        <v>8</v>
      </c>
      <c r="N129" s="49" t="str">
        <f>IF(AND('331-CT'!$E$7=TH!H129,OR(L129="331",M129="331")),"331",IF(AND(OR(L129="131",M129="131"),H129='131-CT'!$E$7),"131",""))</f>
        <v>331</v>
      </c>
      <c r="O129" s="49" t="str">
        <f>IF(AND($B129&gt;='111'!$N$11,$B129&lt;='111'!$O$11,OR($L129=$O$7,$M129=$O$7)),"x","")</f>
        <v/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49" t="str">
        <f>IF(OR(TH!L129=TH!$V$7,M129=TH!$V$7),"x","")</f>
        <v/>
      </c>
      <c r="W129" s="49" t="str">
        <f>IF(AND(B129&gt;='IN-NX'!$P$3,B129&lt;='IN-NX'!$Q$3,'IN-NX'!$D$7=D129,OR(LEFT(L129,2)="15",AND(LEFT(M129,2)&lt;&gt;"15",LEFT(M129,2)&lt;&gt;"33"))),"x","")</f>
        <v/>
      </c>
      <c r="X129" s="49" t="str">
        <f>IF(AND(OR(LEFT(TH!L129,2)="15",LEFT(TH!M129,2)="15"),'152-CT'!$J$8=TH!F129),"x","")</f>
        <v/>
      </c>
      <c r="Y129" s="49" t="str">
        <f>IF(AND(OR(LEFT(TH!L129,2)="15",LEFT(TH!M129,2)="15"),TK!$E$7=TH!F129),"x","")</f>
        <v/>
      </c>
      <c r="Z129" s="49" t="str">
        <f>IF(AND(B129&lt;=NKC!$N$8,B129&gt;=NKC!$M$8),"x","")</f>
        <v/>
      </c>
      <c r="AA129" s="715"/>
      <c r="AB129" s="199"/>
      <c r="AC129" s="199"/>
      <c r="AD129" s="199"/>
    </row>
    <row r="130" spans="1:30" s="493" customFormat="1" ht="15.75" customHeight="1">
      <c r="A130" s="716" t="str">
        <f>IF(B130&lt;&gt;"",IF(AND(B130&gt;=_TM1,B130&lt;=_TM2,OR(TH!L130="1111",TH!M130="1111")),TH!D130,""),"")</f>
        <v/>
      </c>
      <c r="B130" s="36">
        <f t="shared" si="7"/>
        <v>11</v>
      </c>
      <c r="C130" s="185">
        <f t="shared" si="8"/>
        <v>41215</v>
      </c>
      <c r="D130" s="185" t="s">
        <v>475</v>
      </c>
      <c r="E130" s="178">
        <v>41215</v>
      </c>
      <c r="F130" s="183" t="s">
        <v>365</v>
      </c>
      <c r="G130" s="723" t="s">
        <v>418</v>
      </c>
      <c r="H130" s="7" t="s">
        <v>363</v>
      </c>
      <c r="I130" s="243"/>
      <c r="J130" s="243"/>
      <c r="K130" s="37">
        <v>1275000</v>
      </c>
      <c r="L130" s="188" t="s">
        <v>9</v>
      </c>
      <c r="M130" s="188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49" t="str">
        <f>IF(OR(TH!L130=TH!$V$7,M130=TH!$V$7),"x","")</f>
        <v/>
      </c>
      <c r="W130" s="49" t="str">
        <f>IF(AND(B130&gt;='IN-NX'!$P$3,B130&lt;='IN-NX'!$Q$3,'IN-NX'!$D$7=D130,OR(LEFT(L130,2)="15",AND(LEFT(M130,2)&lt;&gt;"15",LEFT(M130,2)&lt;&gt;"33"))),"x","")</f>
        <v/>
      </c>
      <c r="X130" s="49" t="str">
        <f>IF(AND(OR(LEFT(TH!L130,2)="15",LEFT(TH!M130,2)="15"),'152-CT'!$J$8=TH!F130),"x","")</f>
        <v/>
      </c>
      <c r="Y130" s="49" t="str">
        <f>IF(AND(OR(LEFT(TH!L130,2)="15",LEFT(TH!M130,2)="15"),TK!$E$7=TH!F130),"x","")</f>
        <v/>
      </c>
      <c r="Z130" s="49" t="str">
        <f>IF(AND(B130&lt;=NKC!$N$8,B130&gt;=NKC!$M$8),"x","")</f>
        <v/>
      </c>
      <c r="AA130" s="715"/>
      <c r="AB130" s="199"/>
      <c r="AC130" s="199"/>
      <c r="AD130" s="199"/>
    </row>
    <row r="131" spans="1:30" s="199" customFormat="1" ht="15.75" customHeight="1">
      <c r="A131" s="716" t="str">
        <f>IF(B131&lt;&gt;"",IF(AND(B131&gt;=_TM1,B131&lt;=_TM2,OR(TH!L131="1111",TH!M131="1111")),TH!D131,""),"")</f>
        <v>C11</v>
      </c>
      <c r="B131" s="36">
        <f t="shared" si="7"/>
        <v>11</v>
      </c>
      <c r="C131" s="185">
        <f t="shared" si="8"/>
        <v>41215</v>
      </c>
      <c r="D131" s="185" t="s">
        <v>468</v>
      </c>
      <c r="E131" s="178">
        <v>41215</v>
      </c>
      <c r="F131" s="183" t="s">
        <v>457</v>
      </c>
      <c r="G131" s="723" t="s">
        <v>418</v>
      </c>
      <c r="H131" s="7" t="s">
        <v>363</v>
      </c>
      <c r="I131" s="243"/>
      <c r="J131" s="243"/>
      <c r="K131" s="37">
        <v>14025000</v>
      </c>
      <c r="L131" s="188" t="s">
        <v>8</v>
      </c>
      <c r="M131" s="188" t="s">
        <v>47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>x</v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49" t="str">
        <f>IF(OR(TH!L131=TH!$V$7,M131=TH!$V$7),"x","")</f>
        <v/>
      </c>
      <c r="W131" s="49" t="str">
        <f>IF(AND(B131&gt;='IN-NX'!$P$3,B131&lt;='IN-NX'!$Q$3,'IN-NX'!$D$7=D131,OR(LEFT(L131,2)="15",AND(LEFT(M131,2)&lt;&gt;"15",LEFT(M131,2)&lt;&gt;"33"))),"x","")</f>
        <v/>
      </c>
      <c r="X131" s="49" t="str">
        <f>IF(AND(OR(LEFT(TH!L131,2)="15",LEFT(TH!M131,2)="15"),'152-CT'!$J$8=TH!F131),"x","")</f>
        <v/>
      </c>
      <c r="Y131" s="49" t="str">
        <f>IF(AND(OR(LEFT(TH!L131,2)="15",LEFT(TH!M131,2)="15"),TK!$E$7=TH!F131),"x","")</f>
        <v/>
      </c>
      <c r="Z131" s="49" t="str">
        <f>IF(AND(B131&lt;=NKC!$N$8,B131&gt;=NKC!$M$8),"x","")</f>
        <v/>
      </c>
      <c r="AA131" s="715"/>
      <c r="AB131" s="493"/>
    </row>
    <row r="132" spans="1:30" s="199" customFormat="1" ht="15.75" customHeight="1">
      <c r="A132" s="716" t="str">
        <f>IF(B132&lt;&gt;"",IF(AND(B132&gt;=_TM1,B132&lt;=_TM2,OR(TH!L132="1111",TH!M132="1111")),TH!D132,""),"")</f>
        <v/>
      </c>
      <c r="B132" s="36">
        <f t="shared" si="7"/>
        <v>11</v>
      </c>
      <c r="C132" s="185">
        <f t="shared" si="8"/>
        <v>41215</v>
      </c>
      <c r="D132" s="185" t="s">
        <v>476</v>
      </c>
      <c r="E132" s="178">
        <v>41215</v>
      </c>
      <c r="F132" s="183" t="s">
        <v>372</v>
      </c>
      <c r="G132" s="723" t="s">
        <v>419</v>
      </c>
      <c r="H132" s="7" t="s">
        <v>363</v>
      </c>
      <c r="I132" s="243">
        <v>500</v>
      </c>
      <c r="J132" s="243">
        <v>10298</v>
      </c>
      <c r="K132" s="37">
        <f>ROUND(I132*J132,0)</f>
        <v>5149000</v>
      </c>
      <c r="L132" s="188" t="s">
        <v>352</v>
      </c>
      <c r="M132" s="188" t="s">
        <v>8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/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49" t="str">
        <f>IF(OR(TH!L132=TH!$V$7,M132=TH!$V$7),"x","")</f>
        <v/>
      </c>
      <c r="W132" s="49" t="str">
        <f>IF(AND(B132&gt;='IN-NX'!$P$3,B132&lt;='IN-NX'!$Q$3,'IN-NX'!$D$7=D132,OR(LEFT(L132,2)="15",AND(LEFT(M132,2)&lt;&gt;"15",LEFT(M132,2)&lt;&gt;"33"))),"x","")</f>
        <v/>
      </c>
      <c r="X132" s="49" t="str">
        <f>IF(AND(OR(LEFT(TH!L132,2)="15",LEFT(TH!M132,2)="15"),'152-CT'!$J$8=TH!F132),"x","")</f>
        <v/>
      </c>
      <c r="Y132" s="49" t="str">
        <f>IF(AND(OR(LEFT(TH!L132,2)="15",LEFT(TH!M132,2)="15"),TK!$E$7=TH!F132),"x","")</f>
        <v/>
      </c>
      <c r="Z132" s="49" t="str">
        <f>IF(AND(B132&lt;=NKC!$N$8,B132&gt;=NKC!$M$8),"x","")</f>
        <v/>
      </c>
      <c r="AA132" s="715"/>
    </row>
    <row r="133" spans="1:30" s="493" customFormat="1" ht="15.75" customHeight="1">
      <c r="A133" s="716" t="str">
        <f>IF(B133&lt;&gt;"",IF(AND(B133&gt;=_TM1,B133&lt;=_TM2,OR(TH!L133="1111",TH!M133="1111")),TH!D133,""),"")</f>
        <v/>
      </c>
      <c r="B133" s="36">
        <f t="shared" si="7"/>
        <v>11</v>
      </c>
      <c r="C133" s="185">
        <f t="shared" si="8"/>
        <v>41215</v>
      </c>
      <c r="D133" s="185" t="s">
        <v>476</v>
      </c>
      <c r="E133" s="178">
        <v>41215</v>
      </c>
      <c r="F133" s="183" t="s">
        <v>365</v>
      </c>
      <c r="G133" s="723" t="s">
        <v>419</v>
      </c>
      <c r="H133" s="7" t="s">
        <v>363</v>
      </c>
      <c r="I133" s="243"/>
      <c r="J133" s="243"/>
      <c r="K133" s="37">
        <v>514900</v>
      </c>
      <c r="L133" s="188" t="s">
        <v>9</v>
      </c>
      <c r="M133" s="188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49" t="str">
        <f>IF(OR(TH!L133=TH!$V$7,M133=TH!$V$7),"x","")</f>
        <v/>
      </c>
      <c r="W133" s="49" t="str">
        <f>IF(AND(B133&gt;='IN-NX'!$P$3,B133&lt;='IN-NX'!$Q$3,'IN-NX'!$D$7=D133,OR(LEFT(L133,2)="15",AND(LEFT(M133,2)&lt;&gt;"15",LEFT(M133,2)&lt;&gt;"33"))),"x","")</f>
        <v/>
      </c>
      <c r="X133" s="49" t="str">
        <f>IF(AND(OR(LEFT(TH!L133,2)="15",LEFT(TH!M133,2)="15"),'152-CT'!$J$8=TH!F133),"x","")</f>
        <v/>
      </c>
      <c r="Y133" s="49" t="str">
        <f>IF(AND(OR(LEFT(TH!L133,2)="15",LEFT(TH!M133,2)="15"),TK!$E$7=TH!F133),"x","")</f>
        <v/>
      </c>
      <c r="Z133" s="49" t="str">
        <f>IF(AND(B133&lt;=NKC!$N$8,B133&gt;=NKC!$M$8),"x","")</f>
        <v/>
      </c>
      <c r="AA133" s="715"/>
      <c r="AB133" s="199"/>
      <c r="AC133" s="199"/>
      <c r="AD133" s="199"/>
    </row>
    <row r="134" spans="1:30" s="493" customFormat="1" ht="15.75" customHeight="1">
      <c r="A134" s="716" t="str">
        <f>IF(B134&lt;&gt;"",IF(AND(B134&gt;=_TM1,B134&lt;=_TM2,OR(TH!L134="1111",TH!M134="1111")),TH!D134,""),"")</f>
        <v>C12</v>
      </c>
      <c r="B134" s="36">
        <f t="shared" si="7"/>
        <v>11</v>
      </c>
      <c r="C134" s="185">
        <f t="shared" si="8"/>
        <v>41215</v>
      </c>
      <c r="D134" s="185" t="s">
        <v>477</v>
      </c>
      <c r="E134" s="178">
        <v>41215</v>
      </c>
      <c r="F134" s="183" t="s">
        <v>457</v>
      </c>
      <c r="G134" s="723" t="s">
        <v>419</v>
      </c>
      <c r="H134" s="7" t="s">
        <v>363</v>
      </c>
      <c r="I134" s="243"/>
      <c r="J134" s="243"/>
      <c r="K134" s="37">
        <v>5663900</v>
      </c>
      <c r="L134" s="188" t="s">
        <v>8</v>
      </c>
      <c r="M134" s="188" t="s">
        <v>47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>x</v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49" t="str">
        <f>IF(OR(TH!L134=TH!$V$7,M134=TH!$V$7),"x","")</f>
        <v/>
      </c>
      <c r="W134" s="49" t="str">
        <f>IF(AND(B134&gt;='IN-NX'!$P$3,B134&lt;='IN-NX'!$Q$3,'IN-NX'!$D$7=D134,OR(LEFT(L134,2)="15",AND(LEFT(M134,2)&lt;&gt;"15",LEFT(M134,2)&lt;&gt;"33"))),"x","")</f>
        <v/>
      </c>
      <c r="X134" s="49" t="str">
        <f>IF(AND(OR(LEFT(TH!L134,2)="15",LEFT(TH!M134,2)="15"),'152-CT'!$J$8=TH!F134),"x","")</f>
        <v/>
      </c>
      <c r="Y134" s="49" t="str">
        <f>IF(AND(OR(LEFT(TH!L134,2)="15",LEFT(TH!M134,2)="15"),TK!$E$7=TH!F134),"x","")</f>
        <v/>
      </c>
      <c r="Z134" s="49" t="str">
        <f>IF(AND(B134&lt;=NKC!$N$8,B134&gt;=NKC!$M$8),"x","")</f>
        <v/>
      </c>
      <c r="AA134" s="715"/>
      <c r="AC134" s="199"/>
      <c r="AD134" s="199"/>
    </row>
    <row r="135" spans="1:30" s="493" customFormat="1" ht="15.75" customHeight="1">
      <c r="A135" s="716" t="str">
        <f>IF(B135&lt;&gt;"",IF(AND(B135&gt;=_TM1,B135&lt;=_TM2,OR(TH!L135="1111",TH!M135="1111")),TH!D135,""),"")</f>
        <v/>
      </c>
      <c r="B135" s="36">
        <f t="shared" si="7"/>
        <v>11</v>
      </c>
      <c r="C135" s="185">
        <f t="shared" si="8"/>
        <v>41215</v>
      </c>
      <c r="D135" s="178" t="s">
        <v>572</v>
      </c>
      <c r="E135" s="185">
        <v>41215</v>
      </c>
      <c r="F135" s="186" t="s">
        <v>508</v>
      </c>
      <c r="G135" s="724" t="s">
        <v>532</v>
      </c>
      <c r="H135" s="187" t="s">
        <v>507</v>
      </c>
      <c r="I135" s="243">
        <v>11050</v>
      </c>
      <c r="J135" s="243">
        <v>900</v>
      </c>
      <c r="K135" s="501">
        <f>ROUND(I135*J135,0)</f>
        <v>9945000</v>
      </c>
      <c r="L135" s="502" t="s">
        <v>252</v>
      </c>
      <c r="M135" s="502" t="s">
        <v>164</v>
      </c>
      <c r="N135" s="49" t="str">
        <f>IF(AND('331-CT'!$E$7=TH!H135,OR(L135="331",M135="331")),"331",IF(AND(OR(L135="131",M135="131"),H135='131-CT'!$E$7),"131",""))</f>
        <v/>
      </c>
      <c r="O135" s="49" t="str">
        <f>IF(AND($B135&gt;='111'!$N$11,$B135&lt;='111'!$O$11,OR($L135=$O$7,$M135=$O$7)),"x","")</f>
        <v/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49" t="str">
        <f>IF(OR(TH!L135=TH!$V$7,M135=TH!$V$7),"x","")</f>
        <v/>
      </c>
      <c r="W135" s="49" t="str">
        <f>IF(AND(B135&gt;='IN-NX'!$P$3,B135&lt;='IN-NX'!$Q$3,'IN-NX'!$D$7=D135,OR(LEFT(L135,2)="15",AND(LEFT(M135,2)&lt;&gt;"15",LEFT(M135,2)&lt;&gt;"33"))),"x","")</f>
        <v/>
      </c>
      <c r="X135" s="49" t="str">
        <f>IF(AND(OR(LEFT(TH!L135,2)="15",LEFT(TH!M135,2)="15"),'152-CT'!$J$8=TH!F135),"x","")</f>
        <v/>
      </c>
      <c r="Y135" s="49" t="str">
        <f>IF(AND(OR(LEFT(TH!L135,2)="15",LEFT(TH!M135,2)="15"),TK!$E$7=TH!F135),"x","")</f>
        <v/>
      </c>
      <c r="Z135" s="49" t="str">
        <f>IF(AND(B135&lt;=NKC!$N$8,B135&gt;=NKC!$M$8),"x","")</f>
        <v/>
      </c>
      <c r="AA135" s="715"/>
    </row>
    <row r="136" spans="1:30" s="493" customFormat="1" ht="15.75" customHeight="1">
      <c r="A136" s="716" t="str">
        <f>IF(B136&lt;&gt;"",IF(AND(B136&gt;=_TM1,B136&lt;=_TM2,OR(TH!L136="1111",TH!M136="1111")),TH!D136,""),"")</f>
        <v/>
      </c>
      <c r="B136" s="36">
        <f t="shared" si="7"/>
        <v>11</v>
      </c>
      <c r="C136" s="185">
        <f t="shared" si="8"/>
        <v>41215</v>
      </c>
      <c r="D136" s="178" t="s">
        <v>572</v>
      </c>
      <c r="E136" s="185">
        <v>41215</v>
      </c>
      <c r="F136" s="186" t="s">
        <v>509</v>
      </c>
      <c r="G136" s="724" t="s">
        <v>532</v>
      </c>
      <c r="H136" s="187" t="s">
        <v>507</v>
      </c>
      <c r="I136" s="243"/>
      <c r="J136" s="243"/>
      <c r="K136" s="501">
        <v>994500</v>
      </c>
      <c r="L136" s="502" t="s">
        <v>252</v>
      </c>
      <c r="M136" s="502" t="s">
        <v>296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49" t="str">
        <f>IF(OR(TH!L136=TH!$V$7,M136=TH!$V$7),"x","")</f>
        <v/>
      </c>
      <c r="W136" s="49" t="str">
        <f>IF(AND(B136&gt;='IN-NX'!$P$3,B136&lt;='IN-NX'!$Q$3,'IN-NX'!$D$7=D136,OR(LEFT(L136,2)="15",AND(LEFT(M136,2)&lt;&gt;"15",LEFT(M136,2)&lt;&gt;"33"))),"x","")</f>
        <v/>
      </c>
      <c r="X136" s="49" t="str">
        <f>IF(AND(OR(LEFT(TH!L136,2)="15",LEFT(TH!M136,2)="15"),'152-CT'!$J$8=TH!F136),"x","")</f>
        <v/>
      </c>
      <c r="Y136" s="49" t="str">
        <f>IF(AND(OR(LEFT(TH!L136,2)="15",LEFT(TH!M136,2)="15"),TK!$E$7=TH!F136),"x","")</f>
        <v/>
      </c>
      <c r="Z136" s="49" t="str">
        <f>IF(AND(B136&lt;=NKC!$N$8,B136&gt;=NKC!$M$8),"x","")</f>
        <v/>
      </c>
      <c r="AA136" s="715"/>
    </row>
    <row r="137" spans="1:30" s="493" customFormat="1" ht="15.75" customHeight="1">
      <c r="A137" s="716" t="str">
        <f>IF(B137&lt;&gt;"",IF(AND(B137&gt;=_TM1,B137&lt;=_TM2,OR(TH!L137="1111",TH!M137="1111")),TH!D137,""),"")</f>
        <v>T07</v>
      </c>
      <c r="B137" s="36">
        <f t="shared" si="7"/>
        <v>11</v>
      </c>
      <c r="C137" s="185">
        <f t="shared" si="8"/>
        <v>41215</v>
      </c>
      <c r="D137" s="178" t="s">
        <v>586</v>
      </c>
      <c r="E137" s="185">
        <v>41215</v>
      </c>
      <c r="F137" s="186" t="s">
        <v>447</v>
      </c>
      <c r="G137" s="724" t="s">
        <v>532</v>
      </c>
      <c r="H137" s="187" t="s">
        <v>507</v>
      </c>
      <c r="I137" s="243"/>
      <c r="J137" s="243"/>
      <c r="K137" s="501">
        <v>10939500</v>
      </c>
      <c r="L137" s="502" t="s">
        <v>47</v>
      </c>
      <c r="M137" s="502" t="s">
        <v>252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>x</v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49" t="str">
        <f>IF(OR(TH!L137=TH!$V$7,M137=TH!$V$7),"x","")</f>
        <v/>
      </c>
      <c r="W137" s="49" t="str">
        <f>IF(AND(B137&gt;='IN-NX'!$P$3,B137&lt;='IN-NX'!$Q$3,'IN-NX'!$D$7=D137,OR(LEFT(L137,2)="15",AND(LEFT(M137,2)&lt;&gt;"15",LEFT(M137,2)&lt;&gt;"33"))),"x","")</f>
        <v/>
      </c>
      <c r="X137" s="49" t="str">
        <f>IF(AND(OR(LEFT(TH!L137,2)="15",LEFT(TH!M137,2)="15"),'152-CT'!$J$8=TH!F137),"x","")</f>
        <v/>
      </c>
      <c r="Y137" s="49" t="str">
        <f>IF(AND(OR(LEFT(TH!L137,2)="15",LEFT(TH!M137,2)="15"),TK!$E$7=TH!F137),"x","")</f>
        <v/>
      </c>
      <c r="Z137" s="49" t="str">
        <f>IF(AND(B137&lt;=NKC!$N$8,B137&gt;=NKC!$M$8),"x","")</f>
        <v/>
      </c>
      <c r="AA137" s="715"/>
    </row>
    <row r="138" spans="1:30" s="493" customFormat="1" ht="15.75" customHeight="1">
      <c r="A138" s="716" t="str">
        <f>IF(B138&lt;&gt;"",IF(AND(B138&gt;=_TM1,B138&lt;=_TM2,OR(TH!L138="1111",TH!M138="1111")),TH!D138,""),"")</f>
        <v/>
      </c>
      <c r="B138" s="36">
        <f t="shared" si="7"/>
        <v>11</v>
      </c>
      <c r="C138" s="185">
        <f t="shared" si="8"/>
        <v>41219</v>
      </c>
      <c r="D138" s="178" t="s">
        <v>573</v>
      </c>
      <c r="E138" s="185">
        <v>41219</v>
      </c>
      <c r="F138" s="186" t="s">
        <v>533</v>
      </c>
      <c r="G138" s="724" t="s">
        <v>534</v>
      </c>
      <c r="H138" s="187" t="s">
        <v>535</v>
      </c>
      <c r="I138" s="243">
        <v>500</v>
      </c>
      <c r="J138" s="243">
        <v>11450</v>
      </c>
      <c r="K138" s="501">
        <f>ROUND(I138*J138,0)</f>
        <v>5725000</v>
      </c>
      <c r="L138" s="502" t="s">
        <v>252</v>
      </c>
      <c r="M138" s="502" t="s">
        <v>164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/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49" t="str">
        <f>IF(OR(TH!L138=TH!$V$7,M138=TH!$V$7),"x","")</f>
        <v/>
      </c>
      <c r="W138" s="49" t="str">
        <f>IF(AND(B138&gt;='IN-NX'!$P$3,B138&lt;='IN-NX'!$Q$3,'IN-NX'!$D$7=D138,OR(LEFT(L138,2)="15",AND(LEFT(M138,2)&lt;&gt;"15",LEFT(M138,2)&lt;&gt;"33"))),"x","")</f>
        <v/>
      </c>
      <c r="X138" s="49" t="str">
        <f>IF(AND(OR(LEFT(TH!L138,2)="15",LEFT(TH!M138,2)="15"),'152-CT'!$J$8=TH!F138),"x","")</f>
        <v/>
      </c>
      <c r="Y138" s="49" t="str">
        <f>IF(AND(OR(LEFT(TH!L138,2)="15",LEFT(TH!M138,2)="15"),TK!$E$7=TH!F138),"x","")</f>
        <v/>
      </c>
      <c r="Z138" s="49" t="str">
        <f>IF(AND(B138&lt;=NKC!$N$8,B138&gt;=NKC!$M$8),"x","")</f>
        <v/>
      </c>
      <c r="AA138" s="715"/>
      <c r="AC138" s="199"/>
      <c r="AD138" s="199"/>
    </row>
    <row r="139" spans="1:30" s="493" customFormat="1" ht="15.75" customHeight="1">
      <c r="A139" s="716" t="str">
        <f>IF(B139&lt;&gt;"",IF(AND(B139&gt;=_TM1,B139&lt;=_TM2,OR(TH!L139="1111",TH!M139="1111")),TH!D139,""),"")</f>
        <v/>
      </c>
      <c r="B139" s="36">
        <f t="shared" si="7"/>
        <v>11</v>
      </c>
      <c r="C139" s="185">
        <f t="shared" si="8"/>
        <v>41219</v>
      </c>
      <c r="D139" s="178" t="s">
        <v>573</v>
      </c>
      <c r="E139" s="185">
        <v>41219</v>
      </c>
      <c r="F139" s="186" t="s">
        <v>509</v>
      </c>
      <c r="G139" s="724" t="s">
        <v>534</v>
      </c>
      <c r="H139" s="187" t="s">
        <v>535</v>
      </c>
      <c r="I139" s="243"/>
      <c r="J139" s="243"/>
      <c r="K139" s="501">
        <v>572500</v>
      </c>
      <c r="L139" s="502" t="s">
        <v>252</v>
      </c>
      <c r="M139" s="502" t="s">
        <v>296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49" t="str">
        <f>IF(OR(TH!L139=TH!$V$7,M139=TH!$V$7),"x","")</f>
        <v/>
      </c>
      <c r="W139" s="49" t="str">
        <f>IF(AND(B139&gt;='IN-NX'!$P$3,B139&lt;='IN-NX'!$Q$3,'IN-NX'!$D$7=D139,OR(LEFT(L139,2)="15",AND(LEFT(M139,2)&lt;&gt;"15",LEFT(M139,2)&lt;&gt;"33"))),"x","")</f>
        <v/>
      </c>
      <c r="X139" s="49" t="str">
        <f>IF(AND(OR(LEFT(TH!L139,2)="15",LEFT(TH!M139,2)="15"),'152-CT'!$J$8=TH!F139),"x","")</f>
        <v/>
      </c>
      <c r="Y139" s="49" t="str">
        <f>IF(AND(OR(LEFT(TH!L139,2)="15",LEFT(TH!M139,2)="15"),TK!$E$7=TH!F139),"x","")</f>
        <v/>
      </c>
      <c r="Z139" s="49" t="str">
        <f>IF(AND(B139&lt;=NKC!$N$8,B139&gt;=NKC!$M$8),"x","")</f>
        <v/>
      </c>
      <c r="AA139" s="715"/>
      <c r="AC139" s="199"/>
      <c r="AD139" s="199"/>
    </row>
    <row r="140" spans="1:30" s="493" customFormat="1" ht="15.75" customHeight="1">
      <c r="A140" s="716" t="str">
        <f>IF(B140&lt;&gt;"",IF(AND(B140&gt;=_TM1,B140&lt;=_TM2,OR(TH!L140="1111",TH!M140="1111")),TH!D140,""),"")</f>
        <v>T08</v>
      </c>
      <c r="B140" s="36">
        <f t="shared" si="7"/>
        <v>11</v>
      </c>
      <c r="C140" s="185">
        <f t="shared" si="8"/>
        <v>41219</v>
      </c>
      <c r="D140" s="178" t="s">
        <v>587</v>
      </c>
      <c r="E140" s="185">
        <v>41219</v>
      </c>
      <c r="F140" s="186" t="s">
        <v>447</v>
      </c>
      <c r="G140" s="724" t="s">
        <v>534</v>
      </c>
      <c r="H140" s="187" t="s">
        <v>535</v>
      </c>
      <c r="I140" s="243"/>
      <c r="J140" s="243"/>
      <c r="K140" s="501">
        <v>6297500</v>
      </c>
      <c r="L140" s="502" t="s">
        <v>47</v>
      </c>
      <c r="M140" s="502" t="s">
        <v>252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>x</v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49" t="str">
        <f>IF(OR(TH!L140=TH!$V$7,M140=TH!$V$7),"x","")</f>
        <v/>
      </c>
      <c r="W140" s="49" t="str">
        <f>IF(AND(B140&gt;='IN-NX'!$P$3,B140&lt;='IN-NX'!$Q$3,'IN-NX'!$D$7=D140,OR(LEFT(L140,2)="15",AND(LEFT(M140,2)&lt;&gt;"15",LEFT(M140,2)&lt;&gt;"33"))),"x","")</f>
        <v/>
      </c>
      <c r="X140" s="49" t="str">
        <f>IF(AND(OR(LEFT(TH!L140,2)="15",LEFT(TH!M140,2)="15"),'152-CT'!$J$8=TH!F140),"x","")</f>
        <v/>
      </c>
      <c r="Y140" s="49" t="str">
        <f>IF(AND(OR(LEFT(TH!L140,2)="15",LEFT(TH!M140,2)="15"),TK!$E$7=TH!F140),"x","")</f>
        <v/>
      </c>
      <c r="Z140" s="49" t="str">
        <f>IF(AND(B140&lt;=NKC!$N$8,B140&gt;=NKC!$M$8),"x","")</f>
        <v/>
      </c>
      <c r="AA140" s="715"/>
      <c r="AC140" s="199"/>
      <c r="AD140" s="199"/>
    </row>
    <row r="141" spans="1:30" s="493" customFormat="1" ht="15.75" customHeight="1">
      <c r="A141" s="716" t="str">
        <f>IF(B141&lt;&gt;"",IF(AND(B141&gt;=_TM1,B141&lt;=_TM2,OR(TH!L141="1111",TH!M141="1111")),TH!D141,""),"")</f>
        <v/>
      </c>
      <c r="B141" s="36">
        <f t="shared" si="7"/>
        <v>11</v>
      </c>
      <c r="C141" s="185">
        <f t="shared" si="8"/>
        <v>41220</v>
      </c>
      <c r="D141" s="178" t="s">
        <v>444</v>
      </c>
      <c r="E141" s="178">
        <v>41220</v>
      </c>
      <c r="F141" s="183" t="s">
        <v>447</v>
      </c>
      <c r="G141" s="723" t="s">
        <v>351</v>
      </c>
      <c r="H141" s="187" t="s">
        <v>452</v>
      </c>
      <c r="I141" s="243"/>
      <c r="J141" s="243"/>
      <c r="K141" s="501">
        <v>6956400</v>
      </c>
      <c r="L141" s="502" t="s">
        <v>24</v>
      </c>
      <c r="M141" s="502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/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>x</v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49" t="str">
        <f>IF(OR(TH!L141=TH!$V$7,M141=TH!$V$7),"x","")</f>
        <v/>
      </c>
      <c r="W141" s="49" t="str">
        <f>IF(AND(B141&gt;='IN-NX'!$P$3,B141&lt;='IN-NX'!$Q$3,'IN-NX'!$D$7=D141,OR(LEFT(L141,2)="15",AND(LEFT(M141,2)&lt;&gt;"15",LEFT(M141,2)&lt;&gt;"33"))),"x","")</f>
        <v/>
      </c>
      <c r="X141" s="49" t="str">
        <f>IF(AND(OR(LEFT(TH!L141,2)="15",LEFT(TH!M141,2)="15"),'152-CT'!$J$8=TH!F141),"x","")</f>
        <v/>
      </c>
      <c r="Y141" s="49" t="str">
        <f>IF(AND(OR(LEFT(TH!L141,2)="15",LEFT(TH!M141,2)="15"),TK!$E$7=TH!F141),"x","")</f>
        <v/>
      </c>
      <c r="Z141" s="49" t="str">
        <f>IF(AND(B141&lt;=NKC!$N$8,B141&gt;=NKC!$M$8),"x","")</f>
        <v/>
      </c>
      <c r="AA141" s="715"/>
    </row>
    <row r="142" spans="1:30" s="493" customFormat="1" ht="15.75" customHeight="1">
      <c r="A142" s="716" t="str">
        <f>IF(B142&lt;&gt;"",IF(AND(B142&gt;=_TM1,B142&lt;=_TM2,OR(TH!L142="1111",TH!M142="1111")),TH!D142,""),"")</f>
        <v>C13</v>
      </c>
      <c r="B142" s="36">
        <f t="shared" si="7"/>
        <v>11</v>
      </c>
      <c r="C142" s="185">
        <f t="shared" si="8"/>
        <v>41220</v>
      </c>
      <c r="D142" s="185" t="s">
        <v>478</v>
      </c>
      <c r="E142" s="178">
        <v>41220</v>
      </c>
      <c r="F142" s="186" t="s">
        <v>342</v>
      </c>
      <c r="G142" s="723" t="s">
        <v>416</v>
      </c>
      <c r="H142" s="7" t="s">
        <v>415</v>
      </c>
      <c r="I142" s="243"/>
      <c r="J142" s="243"/>
      <c r="K142" s="37">
        <v>4845455</v>
      </c>
      <c r="L142" s="188" t="s">
        <v>83</v>
      </c>
      <c r="M142" s="188" t="s">
        <v>47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>x</v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/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49" t="str">
        <f>IF(OR(TH!L142=TH!$V$7,M142=TH!$V$7),"x","")</f>
        <v/>
      </c>
      <c r="W142" s="49" t="str">
        <f>IF(AND(B142&gt;='IN-NX'!$P$3,B142&lt;='IN-NX'!$Q$3,'IN-NX'!$D$7=D142,OR(LEFT(L142,2)="15",AND(LEFT(M142,2)&lt;&gt;"15",LEFT(M142,2)&lt;&gt;"33"))),"x","")</f>
        <v/>
      </c>
      <c r="X142" s="49" t="str">
        <f>IF(AND(OR(LEFT(TH!L142,2)="15",LEFT(TH!M142,2)="15"),'152-CT'!$J$8=TH!F142),"x","")</f>
        <v/>
      </c>
      <c r="Y142" s="49" t="str">
        <f>IF(AND(OR(LEFT(TH!L142,2)="15",LEFT(TH!M142,2)="15"),TK!$E$7=TH!F142),"x","")</f>
        <v/>
      </c>
      <c r="Z142" s="49" t="str">
        <f>IF(AND(B142&lt;=NKC!$N$8,B142&gt;=NKC!$M$8),"x","")</f>
        <v/>
      </c>
      <c r="AA142" s="715"/>
      <c r="AC142" s="199"/>
      <c r="AD142" s="199"/>
    </row>
    <row r="143" spans="1:30" s="493" customFormat="1" ht="15.75" customHeight="1">
      <c r="A143" s="716" t="str">
        <f>IF(B143&lt;&gt;"",IF(AND(B143&gt;=_TM1,B143&lt;=_TM2,OR(TH!L143="1111",TH!M143="1111")),TH!D143,""),"")</f>
        <v>C13</v>
      </c>
      <c r="B143" s="36">
        <f t="shared" si="7"/>
        <v>11</v>
      </c>
      <c r="C143" s="185">
        <f t="shared" si="8"/>
        <v>41220</v>
      </c>
      <c r="D143" s="185" t="s">
        <v>478</v>
      </c>
      <c r="E143" s="178">
        <v>41220</v>
      </c>
      <c r="F143" s="186" t="s">
        <v>343</v>
      </c>
      <c r="G143" s="723" t="s">
        <v>416</v>
      </c>
      <c r="H143" s="7" t="s">
        <v>415</v>
      </c>
      <c r="I143" s="243"/>
      <c r="J143" s="243"/>
      <c r="K143" s="37">
        <v>484545</v>
      </c>
      <c r="L143" s="188" t="s">
        <v>9</v>
      </c>
      <c r="M143" s="188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>x</v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49" t="str">
        <f>IF(OR(TH!L143=TH!$V$7,M143=TH!$V$7),"x","")</f>
        <v/>
      </c>
      <c r="W143" s="49" t="str">
        <f>IF(AND(B143&gt;='IN-NX'!$P$3,B143&lt;='IN-NX'!$Q$3,'IN-NX'!$D$7=D143,OR(LEFT(L143,2)="15",AND(LEFT(M143,2)&lt;&gt;"15",LEFT(M143,2)&lt;&gt;"33"))),"x","")</f>
        <v/>
      </c>
      <c r="X143" s="49" t="str">
        <f>IF(AND(OR(LEFT(TH!L143,2)="15",LEFT(TH!M143,2)="15"),'152-CT'!$J$8=TH!F143),"x","")</f>
        <v/>
      </c>
      <c r="Y143" s="49" t="str">
        <f>IF(AND(OR(LEFT(TH!L143,2)="15",LEFT(TH!M143,2)="15"),TK!$E$7=TH!F143),"x","")</f>
        <v/>
      </c>
      <c r="Z143" s="49" t="str">
        <f>IF(AND(B143&lt;=NKC!$N$8,B143&gt;=NKC!$M$8),"x","")</f>
        <v/>
      </c>
      <c r="AA143" s="715"/>
      <c r="AC143" s="199"/>
      <c r="AD143" s="199"/>
    </row>
    <row r="144" spans="1:30" s="493" customFormat="1" ht="15.75" customHeight="1">
      <c r="A144" s="716" t="str">
        <f>IF(B144&lt;&gt;"",IF(AND(B144&gt;=_TM1,B144&lt;=_TM2,OR(TH!L144="1111",TH!M144="1111")),TH!D144,""),"")</f>
        <v/>
      </c>
      <c r="B144" s="36">
        <f t="shared" si="7"/>
        <v>11</v>
      </c>
      <c r="C144" s="185">
        <f t="shared" si="8"/>
        <v>41220</v>
      </c>
      <c r="D144" s="178" t="s">
        <v>574</v>
      </c>
      <c r="E144" s="185">
        <v>41220</v>
      </c>
      <c r="F144" s="186" t="s">
        <v>521</v>
      </c>
      <c r="G144" s="724" t="s">
        <v>536</v>
      </c>
      <c r="H144" s="187" t="s">
        <v>523</v>
      </c>
      <c r="I144" s="243">
        <v>1000</v>
      </c>
      <c r="J144" s="243">
        <v>7660</v>
      </c>
      <c r="K144" s="501">
        <f>ROUND(I144*J144,0)</f>
        <v>7660000</v>
      </c>
      <c r="L144" s="502" t="s">
        <v>252</v>
      </c>
      <c r="M144" s="502" t="s">
        <v>164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/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49" t="str">
        <f>IF(OR(TH!L144=TH!$V$7,M144=TH!$V$7),"x","")</f>
        <v/>
      </c>
      <c r="W144" s="49" t="str">
        <f>IF(AND(B144&gt;='IN-NX'!$P$3,B144&lt;='IN-NX'!$Q$3,'IN-NX'!$D$7=D144,OR(LEFT(L144,2)="15",AND(LEFT(M144,2)&lt;&gt;"15",LEFT(M144,2)&lt;&gt;"33"))),"x","")</f>
        <v/>
      </c>
      <c r="X144" s="49" t="str">
        <f>IF(AND(OR(LEFT(TH!L144,2)="15",LEFT(TH!M144,2)="15"),'152-CT'!$J$8=TH!F144),"x","")</f>
        <v/>
      </c>
      <c r="Y144" s="49" t="str">
        <f>IF(AND(OR(LEFT(TH!L144,2)="15",LEFT(TH!M144,2)="15"),TK!$E$7=TH!F144),"x","")</f>
        <v/>
      </c>
      <c r="Z144" s="49" t="str">
        <f>IF(AND(B144&lt;=NKC!$N$8,B144&gt;=NKC!$M$8),"x","")</f>
        <v/>
      </c>
      <c r="AA144" s="715"/>
      <c r="AC144" s="199"/>
      <c r="AD144" s="199"/>
    </row>
    <row r="145" spans="1:30" s="199" customFormat="1" ht="15.75" customHeight="1">
      <c r="A145" s="716" t="str">
        <f>IF(B145&lt;&gt;"",IF(AND(B145&gt;=_TM1,B145&lt;=_TM2,OR(TH!L145="1111",TH!M145="1111")),TH!D145,""),"")</f>
        <v/>
      </c>
      <c r="B145" s="36">
        <f t="shared" si="7"/>
        <v>11</v>
      </c>
      <c r="C145" s="185">
        <f t="shared" si="8"/>
        <v>41220</v>
      </c>
      <c r="D145" s="178" t="s">
        <v>574</v>
      </c>
      <c r="E145" s="185">
        <v>41220</v>
      </c>
      <c r="F145" s="186" t="s">
        <v>509</v>
      </c>
      <c r="G145" s="724" t="s">
        <v>536</v>
      </c>
      <c r="H145" s="187" t="s">
        <v>523</v>
      </c>
      <c r="I145" s="243"/>
      <c r="J145" s="243"/>
      <c r="K145" s="501">
        <v>766000</v>
      </c>
      <c r="L145" s="502" t="s">
        <v>252</v>
      </c>
      <c r="M145" s="502" t="s">
        <v>296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49" t="str">
        <f>IF(OR(TH!L145=TH!$V$7,M145=TH!$V$7),"x","")</f>
        <v/>
      </c>
      <c r="W145" s="49" t="str">
        <f>IF(AND(B145&gt;='IN-NX'!$P$3,B145&lt;='IN-NX'!$Q$3,'IN-NX'!$D$7=D145,OR(LEFT(L145,2)="15",AND(LEFT(M145,2)&lt;&gt;"15",LEFT(M145,2)&lt;&gt;"33"))),"x","")</f>
        <v/>
      </c>
      <c r="X145" s="49" t="str">
        <f>IF(AND(OR(LEFT(TH!L145,2)="15",LEFT(TH!M145,2)="15"),'152-CT'!$J$8=TH!F145),"x","")</f>
        <v/>
      </c>
      <c r="Y145" s="49" t="str">
        <f>IF(AND(OR(LEFT(TH!L145,2)="15",LEFT(TH!M145,2)="15"),TK!$E$7=TH!F145),"x","")</f>
        <v/>
      </c>
      <c r="Z145" s="49" t="str">
        <f>IF(AND(B145&lt;=NKC!$N$8,B145&gt;=NKC!$M$8),"x","")</f>
        <v/>
      </c>
      <c r="AA145" s="715"/>
      <c r="AB145" s="493"/>
    </row>
    <row r="146" spans="1:30" s="493" customFormat="1" ht="15.75" customHeight="1">
      <c r="A146" s="716" t="str">
        <f>IF(B146&lt;&gt;"",IF(AND(B146&gt;=_TM1,B146&lt;=_TM2,OR(TH!L146="1111",TH!M146="1111")),TH!D146,""),"")</f>
        <v>C14</v>
      </c>
      <c r="B146" s="36">
        <f t="shared" si="7"/>
        <v>11</v>
      </c>
      <c r="C146" s="185">
        <f t="shared" si="8"/>
        <v>41221</v>
      </c>
      <c r="D146" s="185" t="s">
        <v>479</v>
      </c>
      <c r="E146" s="178">
        <v>41221</v>
      </c>
      <c r="F146" s="183" t="s">
        <v>405</v>
      </c>
      <c r="G146" s="723" t="s">
        <v>407</v>
      </c>
      <c r="H146" s="187" t="s">
        <v>404</v>
      </c>
      <c r="I146" s="243"/>
      <c r="J146" s="243"/>
      <c r="K146" s="37">
        <v>4372550</v>
      </c>
      <c r="L146" s="188" t="s">
        <v>83</v>
      </c>
      <c r="M146" s="188" t="s">
        <v>47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>x</v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49" t="str">
        <f>IF(OR(TH!L146=TH!$V$7,M146=TH!$V$7),"x","")</f>
        <v/>
      </c>
      <c r="W146" s="49" t="str">
        <f>IF(AND(B146&gt;='IN-NX'!$P$3,B146&lt;='IN-NX'!$Q$3,'IN-NX'!$D$7=D146,OR(LEFT(L146,2)="15",AND(LEFT(M146,2)&lt;&gt;"15",LEFT(M146,2)&lt;&gt;"33"))),"x","")</f>
        <v/>
      </c>
      <c r="X146" s="49" t="str">
        <f>IF(AND(OR(LEFT(TH!L146,2)="15",LEFT(TH!M146,2)="15"),'152-CT'!$J$8=TH!F146),"x","")</f>
        <v/>
      </c>
      <c r="Y146" s="49" t="str">
        <f>IF(AND(OR(LEFT(TH!L146,2)="15",LEFT(TH!M146,2)="15"),TK!$E$7=TH!F146),"x","")</f>
        <v/>
      </c>
      <c r="Z146" s="49" t="str">
        <f>IF(AND(B146&lt;=NKC!$N$8,B146&gt;=NKC!$M$8),"x","")</f>
        <v/>
      </c>
      <c r="AA146" s="715"/>
      <c r="AC146" s="199"/>
      <c r="AD146" s="199"/>
    </row>
    <row r="147" spans="1:30" s="493" customFormat="1" ht="15.75" customHeight="1">
      <c r="A147" s="716" t="str">
        <f>IF(B147&lt;&gt;"",IF(AND(B147&gt;=_TM1,B147&lt;=_TM2,OR(TH!L147="1111",TH!M147="1111")),TH!D147,""),"")</f>
        <v>C14</v>
      </c>
      <c r="B147" s="36">
        <f t="shared" si="7"/>
        <v>11</v>
      </c>
      <c r="C147" s="185">
        <f t="shared" si="8"/>
        <v>41221</v>
      </c>
      <c r="D147" s="185" t="s">
        <v>479</v>
      </c>
      <c r="E147" s="178">
        <v>41221</v>
      </c>
      <c r="F147" s="183" t="s">
        <v>406</v>
      </c>
      <c r="G147" s="723" t="s">
        <v>407</v>
      </c>
      <c r="H147" s="187" t="s">
        <v>404</v>
      </c>
      <c r="I147" s="243"/>
      <c r="J147" s="243"/>
      <c r="K147" s="37">
        <v>437255</v>
      </c>
      <c r="L147" s="188" t="s">
        <v>9</v>
      </c>
      <c r="M147" s="188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>x</v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49" t="str">
        <f>IF(OR(TH!L147=TH!$V$7,M147=TH!$V$7),"x","")</f>
        <v/>
      </c>
      <c r="W147" s="49" t="str">
        <f>IF(AND(B147&gt;='IN-NX'!$P$3,B147&lt;='IN-NX'!$Q$3,'IN-NX'!$D$7=D147,OR(LEFT(L147,2)="15",AND(LEFT(M147,2)&lt;&gt;"15",LEFT(M147,2)&lt;&gt;"33"))),"x","")</f>
        <v/>
      </c>
      <c r="X147" s="49" t="str">
        <f>IF(AND(OR(LEFT(TH!L147,2)="15",LEFT(TH!M147,2)="15"),'152-CT'!$J$8=TH!F147),"x","")</f>
        <v/>
      </c>
      <c r="Y147" s="49" t="str">
        <f>IF(AND(OR(LEFT(TH!L147,2)="15",LEFT(TH!M147,2)="15"),TK!$E$7=TH!F147),"x","")</f>
        <v/>
      </c>
      <c r="Z147" s="49" t="str">
        <f>IF(AND(B147&lt;=NKC!$N$8,B147&gt;=NKC!$M$8),"x","")</f>
        <v/>
      </c>
      <c r="AA147" s="715"/>
      <c r="AC147" s="199"/>
      <c r="AD147" s="199"/>
    </row>
    <row r="148" spans="1:30" s="493" customFormat="1" ht="15.75" customHeight="1">
      <c r="A148" s="716" t="str">
        <f>IF(B148&lt;&gt;"",IF(AND(B148&gt;=_TM1,B148&lt;=_TM2,OR(TH!L148="1111",TH!M148="1111")),TH!D148,""),"")</f>
        <v/>
      </c>
      <c r="B148" s="36">
        <f t="shared" si="7"/>
        <v>11</v>
      </c>
      <c r="C148" s="185">
        <f t="shared" si="8"/>
        <v>41221</v>
      </c>
      <c r="D148" s="178" t="s">
        <v>575</v>
      </c>
      <c r="E148" s="185">
        <v>41221</v>
      </c>
      <c r="F148" s="186" t="s">
        <v>512</v>
      </c>
      <c r="G148" s="724" t="s">
        <v>537</v>
      </c>
      <c r="H148" s="187" t="s">
        <v>452</v>
      </c>
      <c r="I148" s="243">
        <v>1000</v>
      </c>
      <c r="J148" s="243">
        <v>6342</v>
      </c>
      <c r="K148" s="501">
        <f>ROUND(I148*J148,0)</f>
        <v>6342000</v>
      </c>
      <c r="L148" s="502" t="s">
        <v>252</v>
      </c>
      <c r="M148" s="502" t="s">
        <v>164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/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49" t="str">
        <f>IF(OR(TH!L148=TH!$V$7,M148=TH!$V$7),"x","")</f>
        <v/>
      </c>
      <c r="W148" s="49" t="str">
        <f>IF(AND(B148&gt;='IN-NX'!$P$3,B148&lt;='IN-NX'!$Q$3,'IN-NX'!$D$7=D148,OR(LEFT(L148,2)="15",AND(LEFT(M148,2)&lt;&gt;"15",LEFT(M148,2)&lt;&gt;"33"))),"x","")</f>
        <v/>
      </c>
      <c r="X148" s="49" t="str">
        <f>IF(AND(OR(LEFT(TH!L148,2)="15",LEFT(TH!M148,2)="15"),'152-CT'!$J$8=TH!F148),"x","")</f>
        <v/>
      </c>
      <c r="Y148" s="49" t="str">
        <f>IF(AND(OR(LEFT(TH!L148,2)="15",LEFT(TH!M148,2)="15"),TK!$E$7=TH!F148),"x","")</f>
        <v/>
      </c>
      <c r="Z148" s="49" t="str">
        <f>IF(AND(B148&lt;=NKC!$N$8,B148&gt;=NKC!$M$8),"x","")</f>
        <v/>
      </c>
      <c r="AA148" s="715"/>
      <c r="AC148" s="199"/>
      <c r="AD148" s="199"/>
    </row>
    <row r="149" spans="1:30" s="199" customFormat="1" ht="15.75" customHeight="1">
      <c r="A149" s="716" t="str">
        <f>IF(B149&lt;&gt;"",IF(AND(B149&gt;=_TM1,B149&lt;=_TM2,OR(TH!L149="1111",TH!M149="1111")),TH!D149,""),"")</f>
        <v/>
      </c>
      <c r="B149" s="36">
        <f t="shared" si="7"/>
        <v>11</v>
      </c>
      <c r="C149" s="185">
        <f t="shared" si="8"/>
        <v>41221</v>
      </c>
      <c r="D149" s="178" t="s">
        <v>575</v>
      </c>
      <c r="E149" s="185">
        <v>41221</v>
      </c>
      <c r="F149" s="186" t="s">
        <v>509</v>
      </c>
      <c r="G149" s="724" t="s">
        <v>537</v>
      </c>
      <c r="H149" s="187" t="s">
        <v>452</v>
      </c>
      <c r="I149" s="243"/>
      <c r="J149" s="243"/>
      <c r="K149" s="501">
        <v>634200</v>
      </c>
      <c r="L149" s="502" t="s">
        <v>252</v>
      </c>
      <c r="M149" s="502" t="s">
        <v>296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49" t="str">
        <f>IF(OR(TH!L149=TH!$V$7,M149=TH!$V$7),"x","")</f>
        <v/>
      </c>
      <c r="W149" s="49" t="str">
        <f>IF(AND(B149&gt;='IN-NX'!$P$3,B149&lt;='IN-NX'!$Q$3,'IN-NX'!$D$7=D149,OR(LEFT(L149,2)="15",AND(LEFT(M149,2)&lt;&gt;"15",LEFT(M149,2)&lt;&gt;"33"))),"x","")</f>
        <v/>
      </c>
      <c r="X149" s="49" t="str">
        <f>IF(AND(OR(LEFT(TH!L149,2)="15",LEFT(TH!M149,2)="15"),'152-CT'!$J$8=TH!F149),"x","")</f>
        <v/>
      </c>
      <c r="Y149" s="49" t="str">
        <f>IF(AND(OR(LEFT(TH!L149,2)="15",LEFT(TH!M149,2)="15"),TK!$E$7=TH!F149),"x","")</f>
        <v/>
      </c>
      <c r="Z149" s="49" t="str">
        <f>IF(AND(B149&lt;=NKC!$N$8,B149&gt;=NKC!$M$8),"x","")</f>
        <v/>
      </c>
      <c r="AA149" s="715"/>
      <c r="AB149" s="493"/>
    </row>
    <row r="150" spans="1:30" s="493" customFormat="1" ht="15.75" customHeight="1">
      <c r="A150" s="716" t="str">
        <f>IF(B150&lt;&gt;"",IF(AND(B150&gt;=_TM1,B150&lt;=_TM2,OR(TH!L150="1111",TH!M150="1111")),TH!D150,""),"")</f>
        <v>T09</v>
      </c>
      <c r="B150" s="36">
        <f t="shared" si="7"/>
        <v>11</v>
      </c>
      <c r="C150" s="185">
        <f t="shared" si="8"/>
        <v>41221</v>
      </c>
      <c r="D150" s="178" t="s">
        <v>588</v>
      </c>
      <c r="E150" s="185">
        <v>41221</v>
      </c>
      <c r="F150" s="186" t="s">
        <v>447</v>
      </c>
      <c r="G150" s="724" t="s">
        <v>537</v>
      </c>
      <c r="H150" s="187" t="s">
        <v>452</v>
      </c>
      <c r="I150" s="243"/>
      <c r="J150" s="243"/>
      <c r="K150" s="501">
        <v>6976200</v>
      </c>
      <c r="L150" s="502" t="s">
        <v>47</v>
      </c>
      <c r="M150" s="502" t="s">
        <v>252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>x</v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49" t="str">
        <f>IF(OR(TH!L150=TH!$V$7,M150=TH!$V$7),"x","")</f>
        <v/>
      </c>
      <c r="W150" s="49" t="str">
        <f>IF(AND(B150&gt;='IN-NX'!$P$3,B150&lt;='IN-NX'!$Q$3,'IN-NX'!$D$7=D150,OR(LEFT(L150,2)="15",AND(LEFT(M150,2)&lt;&gt;"15",LEFT(M150,2)&lt;&gt;"33"))),"x","")</f>
        <v/>
      </c>
      <c r="X150" s="49" t="str">
        <f>IF(AND(OR(LEFT(TH!L150,2)="15",LEFT(TH!M150,2)="15"),'152-CT'!$J$8=TH!F150),"x","")</f>
        <v/>
      </c>
      <c r="Y150" s="49" t="str">
        <f>IF(AND(OR(LEFT(TH!L150,2)="15",LEFT(TH!M150,2)="15"),TK!$E$7=TH!F150),"x","")</f>
        <v/>
      </c>
      <c r="Z150" s="49" t="str">
        <f>IF(AND(B150&lt;=NKC!$N$8,B150&gt;=NKC!$M$8),"x","")</f>
        <v/>
      </c>
      <c r="AA150" s="715"/>
      <c r="AC150" s="199"/>
      <c r="AD150" s="199"/>
    </row>
    <row r="151" spans="1:30" s="493" customFormat="1" ht="15.75" customHeight="1">
      <c r="A151" s="716" t="str">
        <f>IF(B151&lt;&gt;"",IF(AND(B151&gt;=_TM1,B151&lt;=_TM2,OR(TH!L151="1111",TH!M151="1111")),TH!D151,""),"")</f>
        <v>C15</v>
      </c>
      <c r="B151" s="36">
        <f t="shared" ref="B151:B214" si="9">IF(C151&lt;&gt;"",MONTH(C151),"")</f>
        <v>11</v>
      </c>
      <c r="C151" s="185">
        <f t="shared" ref="C151:C214" si="10">E151</f>
        <v>41222</v>
      </c>
      <c r="D151" s="185" t="s">
        <v>480</v>
      </c>
      <c r="E151" s="178">
        <v>41222</v>
      </c>
      <c r="F151" s="183" t="s">
        <v>381</v>
      </c>
      <c r="G151" s="723"/>
      <c r="H151" s="7" t="s">
        <v>384</v>
      </c>
      <c r="I151" s="243"/>
      <c r="J151" s="243"/>
      <c r="K151" s="37">
        <v>505710</v>
      </c>
      <c r="L151" s="188" t="s">
        <v>17</v>
      </c>
      <c r="M151" s="188" t="s">
        <v>47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>x</v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49" t="str">
        <f>IF(OR(TH!L151=TH!$V$7,M151=TH!$V$7),"x","")</f>
        <v>x</v>
      </c>
      <c r="W151" s="49" t="str">
        <f>IF(AND(B151&gt;='IN-NX'!$P$3,B151&lt;='IN-NX'!$Q$3,'IN-NX'!$D$7=D151,OR(LEFT(L151,2)="15",AND(LEFT(M151,2)&lt;&gt;"15",LEFT(M151,2)&lt;&gt;"33"))),"x","")</f>
        <v/>
      </c>
      <c r="X151" s="49" t="str">
        <f>IF(AND(OR(LEFT(TH!L151,2)="15",LEFT(TH!M151,2)="15"),'152-CT'!$J$8=TH!F151),"x","")</f>
        <v/>
      </c>
      <c r="Y151" s="49" t="str">
        <f>IF(AND(OR(LEFT(TH!L151,2)="15",LEFT(TH!M151,2)="15"),TK!$E$7=TH!F151),"x","")</f>
        <v/>
      </c>
      <c r="Z151" s="49" t="str">
        <f>IF(AND(B151&lt;=NKC!$N$8,B151&gt;=NKC!$M$8),"x","")</f>
        <v/>
      </c>
      <c r="AA151" s="715"/>
      <c r="AC151" s="199"/>
      <c r="AD151" s="199"/>
    </row>
    <row r="152" spans="1:30" s="493" customFormat="1" ht="15.75" customHeight="1">
      <c r="A152" s="716" t="str">
        <f>IF(B152&lt;&gt;"",IF(AND(B152&gt;=_TM1,B152&lt;=_TM2,OR(TH!L152="1111",TH!M152="1111")),TH!D152,""),"")</f>
        <v/>
      </c>
      <c r="B152" s="36">
        <f t="shared" si="9"/>
        <v>11</v>
      </c>
      <c r="C152" s="185">
        <f t="shared" si="10"/>
        <v>41229</v>
      </c>
      <c r="D152" s="178" t="s">
        <v>576</v>
      </c>
      <c r="E152" s="185">
        <v>41229</v>
      </c>
      <c r="F152" s="186" t="s">
        <v>518</v>
      </c>
      <c r="G152" s="724" t="s">
        <v>538</v>
      </c>
      <c r="H152" s="187" t="s">
        <v>452</v>
      </c>
      <c r="I152" s="243">
        <v>1000</v>
      </c>
      <c r="J152" s="243">
        <v>6200</v>
      </c>
      <c r="K152" s="501">
        <f>ROUND(I152*J152,0)</f>
        <v>6200000</v>
      </c>
      <c r="L152" s="502" t="s">
        <v>252</v>
      </c>
      <c r="M152" s="502" t="s">
        <v>164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/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49" t="str">
        <f>IF(OR(TH!L152=TH!$V$7,M152=TH!$V$7),"x","")</f>
        <v/>
      </c>
      <c r="W152" s="49" t="str">
        <f>IF(AND(B152&gt;='IN-NX'!$P$3,B152&lt;='IN-NX'!$Q$3,'IN-NX'!$D$7=D152,OR(LEFT(L152,2)="15",AND(LEFT(M152,2)&lt;&gt;"15",LEFT(M152,2)&lt;&gt;"33"))),"x","")</f>
        <v/>
      </c>
      <c r="X152" s="49" t="str">
        <f>IF(AND(OR(LEFT(TH!L152,2)="15",LEFT(TH!M152,2)="15"),'152-CT'!$J$8=TH!F152),"x","")</f>
        <v/>
      </c>
      <c r="Y152" s="49" t="str">
        <f>IF(AND(OR(LEFT(TH!L152,2)="15",LEFT(TH!M152,2)="15"),TK!$E$7=TH!F152),"x","")</f>
        <v/>
      </c>
      <c r="Z152" s="49" t="str">
        <f>IF(AND(B152&lt;=NKC!$N$8,B152&gt;=NKC!$M$8),"x","")</f>
        <v/>
      </c>
      <c r="AA152" s="715"/>
      <c r="AC152" s="199"/>
      <c r="AD152" s="199"/>
    </row>
    <row r="153" spans="1:30" s="493" customFormat="1" ht="15.75" customHeight="1">
      <c r="A153" s="716" t="str">
        <f>IF(B153&lt;&gt;"",IF(AND(B153&gt;=_TM1,B153&lt;=_TM2,OR(TH!L153="1111",TH!M153="1111")),TH!D153,""),"")</f>
        <v/>
      </c>
      <c r="B153" s="36">
        <f t="shared" si="9"/>
        <v>11</v>
      </c>
      <c r="C153" s="185">
        <f t="shared" si="10"/>
        <v>41229</v>
      </c>
      <c r="D153" s="178" t="s">
        <v>576</v>
      </c>
      <c r="E153" s="185">
        <v>41229</v>
      </c>
      <c r="F153" s="186" t="s">
        <v>509</v>
      </c>
      <c r="G153" s="724" t="s">
        <v>538</v>
      </c>
      <c r="H153" s="187" t="s">
        <v>452</v>
      </c>
      <c r="I153" s="243"/>
      <c r="J153" s="243"/>
      <c r="K153" s="501">
        <v>620000</v>
      </c>
      <c r="L153" s="502" t="s">
        <v>252</v>
      </c>
      <c r="M153" s="502" t="s">
        <v>296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/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49" t="str">
        <f>IF(OR(TH!L153=TH!$V$7,M153=TH!$V$7),"x","")</f>
        <v/>
      </c>
      <c r="W153" s="49" t="str">
        <f>IF(AND(B153&gt;='IN-NX'!$P$3,B153&lt;='IN-NX'!$Q$3,'IN-NX'!$D$7=D153,OR(LEFT(L153,2)="15",AND(LEFT(M153,2)&lt;&gt;"15",LEFT(M153,2)&lt;&gt;"33"))),"x","")</f>
        <v/>
      </c>
      <c r="X153" s="49" t="str">
        <f>IF(AND(OR(LEFT(TH!L153,2)="15",LEFT(TH!M153,2)="15"),'152-CT'!$J$8=TH!F153),"x","")</f>
        <v/>
      </c>
      <c r="Y153" s="49" t="str">
        <f>IF(AND(OR(LEFT(TH!L153,2)="15",LEFT(TH!M153,2)="15"),TK!$E$7=TH!F153),"x","")</f>
        <v/>
      </c>
      <c r="Z153" s="49" t="str">
        <f>IF(AND(B153&lt;=NKC!$N$8,B153&gt;=NKC!$M$8),"x","")</f>
        <v/>
      </c>
      <c r="AA153" s="715"/>
      <c r="AC153" s="199"/>
      <c r="AD153" s="199"/>
    </row>
    <row r="154" spans="1:30" s="493" customFormat="1" ht="15.75" customHeight="1">
      <c r="A154" s="716" t="str">
        <f>IF(B154&lt;&gt;"",IF(AND(B154&gt;=_TM1,B154&lt;=_TM2,OR(TH!L154="1111",TH!M154="1111")),TH!D154,""),"")</f>
        <v>T10</v>
      </c>
      <c r="B154" s="36">
        <f t="shared" si="9"/>
        <v>11</v>
      </c>
      <c r="C154" s="185">
        <f t="shared" si="10"/>
        <v>41229</v>
      </c>
      <c r="D154" s="178" t="s">
        <v>589</v>
      </c>
      <c r="E154" s="185">
        <v>41229</v>
      </c>
      <c r="F154" s="186" t="s">
        <v>447</v>
      </c>
      <c r="G154" s="724" t="s">
        <v>538</v>
      </c>
      <c r="H154" s="187" t="s">
        <v>452</v>
      </c>
      <c r="I154" s="243"/>
      <c r="J154" s="243"/>
      <c r="K154" s="501">
        <v>6820000</v>
      </c>
      <c r="L154" s="502" t="s">
        <v>47</v>
      </c>
      <c r="M154" s="502" t="s">
        <v>252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>x</v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49" t="str">
        <f>IF(OR(TH!L154=TH!$V$7,M154=TH!$V$7),"x","")</f>
        <v/>
      </c>
      <c r="W154" s="49" t="str">
        <f>IF(AND(B154&gt;='IN-NX'!$P$3,B154&lt;='IN-NX'!$Q$3,'IN-NX'!$D$7=D154,OR(LEFT(L154,2)="15",AND(LEFT(M154,2)&lt;&gt;"15",LEFT(M154,2)&lt;&gt;"33"))),"x","")</f>
        <v/>
      </c>
      <c r="X154" s="49" t="str">
        <f>IF(AND(OR(LEFT(TH!L154,2)="15",LEFT(TH!M154,2)="15"),'152-CT'!$J$8=TH!F154),"x","")</f>
        <v/>
      </c>
      <c r="Y154" s="49" t="str">
        <f>IF(AND(OR(LEFT(TH!L154,2)="15",LEFT(TH!M154,2)="15"),TK!$E$7=TH!F154),"x","")</f>
        <v/>
      </c>
      <c r="Z154" s="49" t="str">
        <f>IF(AND(B154&lt;=NKC!$N$8,B154&gt;=NKC!$M$8),"x","")</f>
        <v/>
      </c>
      <c r="AA154" s="715"/>
      <c r="AC154" s="199"/>
      <c r="AD154" s="199"/>
    </row>
    <row r="155" spans="1:30" s="493" customFormat="1" ht="15.75" customHeight="1">
      <c r="A155" s="716" t="str">
        <f>IF(B155&lt;&gt;"",IF(AND(B155&gt;=_TM1,B155&lt;=_TM2,OR(TH!L155="1111",TH!M155="1111")),TH!D155,""),"")</f>
        <v/>
      </c>
      <c r="B155" s="36">
        <f t="shared" si="9"/>
        <v>11</v>
      </c>
      <c r="C155" s="185">
        <f t="shared" si="10"/>
        <v>41230</v>
      </c>
      <c r="D155" s="185" t="s">
        <v>481</v>
      </c>
      <c r="E155" s="178">
        <v>41230</v>
      </c>
      <c r="F155" s="183" t="s">
        <v>395</v>
      </c>
      <c r="G155" s="723" t="s">
        <v>420</v>
      </c>
      <c r="H155" s="7" t="s">
        <v>363</v>
      </c>
      <c r="I155" s="243">
        <v>1000</v>
      </c>
      <c r="J155" s="243">
        <v>10286</v>
      </c>
      <c r="K155" s="37">
        <f>ROUND(I155*J155,0)</f>
        <v>10286000</v>
      </c>
      <c r="L155" s="188" t="s">
        <v>352</v>
      </c>
      <c r="M155" s="188" t="s">
        <v>8</v>
      </c>
      <c r="N155" s="49" t="str">
        <f>IF(AND('331-CT'!$E$7=TH!H155,OR(L155="331",M155="331")),"331",IF(AND(OR(L155="131",M155="131"),H155='131-CT'!$E$7),"131",""))</f>
        <v>331</v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49" t="str">
        <f>IF(OR(TH!L155=TH!$V$7,M155=TH!$V$7),"x","")</f>
        <v/>
      </c>
      <c r="W155" s="49" t="str">
        <f>IF(AND(B155&gt;='IN-NX'!$P$3,B155&lt;='IN-NX'!$Q$3,'IN-NX'!$D$7=D155,OR(LEFT(L155,2)="15",AND(LEFT(M155,2)&lt;&gt;"15",LEFT(M155,2)&lt;&gt;"33"))),"x","")</f>
        <v/>
      </c>
      <c r="X155" s="49" t="str">
        <f>IF(AND(OR(LEFT(TH!L155,2)="15",LEFT(TH!M155,2)="15"),'152-CT'!$J$8=TH!F155),"x","")</f>
        <v/>
      </c>
      <c r="Y155" s="49" t="str">
        <f>IF(AND(OR(LEFT(TH!L155,2)="15",LEFT(TH!M155,2)="15"),TK!$E$7=TH!F155),"x","")</f>
        <v/>
      </c>
      <c r="Z155" s="49" t="str">
        <f>IF(AND(B155&lt;=NKC!$N$8,B155&gt;=NKC!$M$8),"x","")</f>
        <v/>
      </c>
      <c r="AA155" s="715"/>
      <c r="AB155" s="199"/>
      <c r="AC155" s="199"/>
      <c r="AD155" s="199"/>
    </row>
    <row r="156" spans="1:30" s="493" customFormat="1" ht="15.75" customHeight="1">
      <c r="A156" s="716" t="str">
        <f>IF(B156&lt;&gt;"",IF(AND(B156&gt;=_TM1,B156&lt;=_TM2,OR(TH!L156="1111",TH!M156="1111")),TH!D156,""),"")</f>
        <v/>
      </c>
      <c r="B156" s="36">
        <f t="shared" si="9"/>
        <v>11</v>
      </c>
      <c r="C156" s="185">
        <f t="shared" si="10"/>
        <v>41230</v>
      </c>
      <c r="D156" s="185" t="s">
        <v>481</v>
      </c>
      <c r="E156" s="178">
        <v>41230</v>
      </c>
      <c r="F156" s="183" t="s">
        <v>421</v>
      </c>
      <c r="G156" s="723" t="s">
        <v>420</v>
      </c>
      <c r="H156" s="7" t="s">
        <v>363</v>
      </c>
      <c r="I156" s="243">
        <v>175</v>
      </c>
      <c r="J156" s="243">
        <v>10546</v>
      </c>
      <c r="K156" s="37">
        <f>ROUND(I156*J156,0)</f>
        <v>1845550</v>
      </c>
      <c r="L156" s="188" t="s">
        <v>352</v>
      </c>
      <c r="M156" s="188" t="s">
        <v>8</v>
      </c>
      <c r="N156" s="49" t="str">
        <f>IF(AND('331-CT'!$E$7=TH!H156,OR(L156="331",M156="331")),"331",IF(AND(OR(L156="131",M156="131"),H156='131-CT'!$E$7),"131",""))</f>
        <v>331</v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49" t="str">
        <f>IF(OR(TH!L156=TH!$V$7,M156=TH!$V$7),"x","")</f>
        <v/>
      </c>
      <c r="W156" s="49" t="str">
        <f>IF(AND(B156&gt;='IN-NX'!$P$3,B156&lt;='IN-NX'!$Q$3,'IN-NX'!$D$7=D156,OR(LEFT(L156,2)="15",AND(LEFT(M156,2)&lt;&gt;"15",LEFT(M156,2)&lt;&gt;"33"))),"x","")</f>
        <v/>
      </c>
      <c r="X156" s="49" t="str">
        <f>IF(AND(OR(LEFT(TH!L156,2)="15",LEFT(TH!M156,2)="15"),'152-CT'!$J$8=TH!F156),"x","")</f>
        <v/>
      </c>
      <c r="Y156" s="49" t="str">
        <f>IF(AND(OR(LEFT(TH!L156,2)="15",LEFT(TH!M156,2)="15"),TK!$E$7=TH!F156),"x","")</f>
        <v/>
      </c>
      <c r="Z156" s="49" t="str">
        <f>IF(AND(B156&lt;=NKC!$N$8,B156&gt;=NKC!$M$8),"x","")</f>
        <v/>
      </c>
      <c r="AA156" s="715"/>
      <c r="AB156" s="199"/>
      <c r="AC156" s="199"/>
      <c r="AD156" s="199"/>
    </row>
    <row r="157" spans="1:30" s="493" customFormat="1" ht="15.75" customHeight="1">
      <c r="A157" s="716" t="str">
        <f>IF(B157&lt;&gt;"",IF(AND(B157&gt;=_TM1,B157&lt;=_TM2,OR(TH!L157="1111",TH!M157="1111")),TH!D157,""),"")</f>
        <v/>
      </c>
      <c r="B157" s="36">
        <f t="shared" si="9"/>
        <v>11</v>
      </c>
      <c r="C157" s="185">
        <f t="shared" si="10"/>
        <v>41230</v>
      </c>
      <c r="D157" s="185" t="s">
        <v>481</v>
      </c>
      <c r="E157" s="178">
        <v>41230</v>
      </c>
      <c r="F157" s="183" t="s">
        <v>402</v>
      </c>
      <c r="G157" s="723" t="s">
        <v>420</v>
      </c>
      <c r="H157" s="7" t="s">
        <v>363</v>
      </c>
      <c r="I157" s="243">
        <v>600</v>
      </c>
      <c r="J157" s="243">
        <v>8556</v>
      </c>
      <c r="K157" s="37">
        <f>ROUND(I157*J157,0)</f>
        <v>5133600</v>
      </c>
      <c r="L157" s="188" t="s">
        <v>352</v>
      </c>
      <c r="M157" s="188" t="s">
        <v>8</v>
      </c>
      <c r="N157" s="49" t="str">
        <f>IF(AND('331-CT'!$E$7=TH!H157,OR(L157="331",M157="331")),"331",IF(AND(OR(L157="131",M157="131"),H157='131-CT'!$E$7),"131",""))</f>
        <v>331</v>
      </c>
      <c r="O157" s="49" t="str">
        <f>IF(AND($B157&gt;='111'!$N$11,$B157&lt;='111'!$O$11,OR($L157=$O$7,$M157=$O$7)),"x","")</f>
        <v/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49" t="str">
        <f>IF(OR(TH!L157=TH!$V$7,M157=TH!$V$7),"x","")</f>
        <v/>
      </c>
      <c r="W157" s="49" t="str">
        <f>IF(AND(B157&gt;='IN-NX'!$P$3,B157&lt;='IN-NX'!$Q$3,'IN-NX'!$D$7=D157,OR(LEFT(L157,2)="15",AND(LEFT(M157,2)&lt;&gt;"15",LEFT(M157,2)&lt;&gt;"33"))),"x","")</f>
        <v/>
      </c>
      <c r="X157" s="49" t="str">
        <f>IF(AND(OR(LEFT(TH!L157,2)="15",LEFT(TH!M157,2)="15"),'152-CT'!$J$8=TH!F157),"x","")</f>
        <v/>
      </c>
      <c r="Y157" s="49" t="str">
        <f>IF(AND(OR(LEFT(TH!L157,2)="15",LEFT(TH!M157,2)="15"),TK!$E$7=TH!F157),"x","")</f>
        <v/>
      </c>
      <c r="Z157" s="49" t="str">
        <f>IF(AND(B157&lt;=NKC!$N$8,B157&gt;=NKC!$M$8),"x","")</f>
        <v/>
      </c>
      <c r="AA157" s="715"/>
      <c r="AB157" s="199"/>
      <c r="AC157" s="199"/>
      <c r="AD157" s="199"/>
    </row>
    <row r="158" spans="1:30" s="493" customFormat="1" ht="15.75" customHeight="1">
      <c r="A158" s="716" t="str">
        <f>IF(B158&lt;&gt;"",IF(AND(B158&gt;=_TM1,B158&lt;=_TM2,OR(TH!L158="1111",TH!M158="1111")),TH!D158,""),"")</f>
        <v/>
      </c>
      <c r="B158" s="36">
        <f t="shared" si="9"/>
        <v>11</v>
      </c>
      <c r="C158" s="185">
        <f t="shared" si="10"/>
        <v>41230</v>
      </c>
      <c r="D158" s="185" t="s">
        <v>481</v>
      </c>
      <c r="E158" s="178">
        <v>41230</v>
      </c>
      <c r="F158" s="183" t="s">
        <v>365</v>
      </c>
      <c r="G158" s="723" t="s">
        <v>420</v>
      </c>
      <c r="H158" s="7" t="s">
        <v>363</v>
      </c>
      <c r="I158" s="243"/>
      <c r="J158" s="243"/>
      <c r="K158" s="37">
        <v>1726515</v>
      </c>
      <c r="L158" s="188" t="s">
        <v>9</v>
      </c>
      <c r="M158" s="188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49" t="str">
        <f>IF(OR(TH!L158=TH!$V$7,M158=TH!$V$7),"x","")</f>
        <v/>
      </c>
      <c r="W158" s="49" t="str">
        <f>IF(AND(B158&gt;='IN-NX'!$P$3,B158&lt;='IN-NX'!$Q$3,'IN-NX'!$D$7=D158,OR(LEFT(L158,2)="15",AND(LEFT(M158,2)&lt;&gt;"15",LEFT(M158,2)&lt;&gt;"33"))),"x","")</f>
        <v/>
      </c>
      <c r="X158" s="49" t="str">
        <f>IF(AND(OR(LEFT(TH!L158,2)="15",LEFT(TH!M158,2)="15"),'152-CT'!$J$8=TH!F158),"x","")</f>
        <v/>
      </c>
      <c r="Y158" s="49" t="str">
        <f>IF(AND(OR(LEFT(TH!L158,2)="15",LEFT(TH!M158,2)="15"),TK!$E$7=TH!F158),"x","")</f>
        <v/>
      </c>
      <c r="Z158" s="49" t="str">
        <f>IF(AND(B158&lt;=NKC!$N$8,B158&gt;=NKC!$M$8),"x","")</f>
        <v/>
      </c>
      <c r="AA158" s="715"/>
      <c r="AB158" s="199"/>
      <c r="AC158" s="199"/>
      <c r="AD158" s="199"/>
    </row>
    <row r="159" spans="1:30" s="493" customFormat="1" ht="15.75" customHeight="1">
      <c r="A159" s="716" t="str">
        <f>IF(B159&lt;&gt;"",IF(AND(B159&gt;=_TM1,B159&lt;=_TM2,OR(TH!L159="1111",TH!M159="1111")),TH!D159,""),"")</f>
        <v>C16</v>
      </c>
      <c r="B159" s="36">
        <f t="shared" si="9"/>
        <v>11</v>
      </c>
      <c r="C159" s="185">
        <f t="shared" si="10"/>
        <v>41230</v>
      </c>
      <c r="D159" s="185" t="s">
        <v>482</v>
      </c>
      <c r="E159" s="178">
        <v>41230</v>
      </c>
      <c r="F159" s="183" t="s">
        <v>457</v>
      </c>
      <c r="G159" s="723" t="s">
        <v>420</v>
      </c>
      <c r="H159" s="7" t="s">
        <v>363</v>
      </c>
      <c r="I159" s="243"/>
      <c r="J159" s="243"/>
      <c r="K159" s="37">
        <v>18991665</v>
      </c>
      <c r="L159" s="188" t="s">
        <v>8</v>
      </c>
      <c r="M159" s="188" t="s">
        <v>47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>x</v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49" t="str">
        <f>IF(OR(TH!L159=TH!$V$7,M159=TH!$V$7),"x","")</f>
        <v/>
      </c>
      <c r="W159" s="49" t="str">
        <f>IF(AND(B159&gt;='IN-NX'!$P$3,B159&lt;='IN-NX'!$Q$3,'IN-NX'!$D$7=D159,OR(LEFT(L159,2)="15",AND(LEFT(M159,2)&lt;&gt;"15",LEFT(M159,2)&lt;&gt;"33"))),"x","")</f>
        <v/>
      </c>
      <c r="X159" s="49" t="str">
        <f>IF(AND(OR(LEFT(TH!L159,2)="15",LEFT(TH!M159,2)="15"),'152-CT'!$J$8=TH!F159),"x","")</f>
        <v/>
      </c>
      <c r="Y159" s="49" t="str">
        <f>IF(AND(OR(LEFT(TH!L159,2)="15",LEFT(TH!M159,2)="15"),TK!$E$7=TH!F159),"x","")</f>
        <v/>
      </c>
      <c r="Z159" s="49" t="str">
        <f>IF(AND(B159&lt;=NKC!$N$8,B159&gt;=NKC!$M$8),"x","")</f>
        <v/>
      </c>
      <c r="AA159" s="715"/>
      <c r="AC159" s="199"/>
      <c r="AD159" s="199"/>
    </row>
    <row r="160" spans="1:30" s="493" customFormat="1" ht="15.75" customHeight="1">
      <c r="A160" s="716" t="str">
        <f>IF(B160&lt;&gt;"",IF(AND(B160&gt;=_TM1,B160&lt;=_TM2,OR(TH!L160="1111",TH!M160="1111")),TH!D160,""),"")</f>
        <v>C17</v>
      </c>
      <c r="B160" s="36">
        <f t="shared" si="9"/>
        <v>11</v>
      </c>
      <c r="C160" s="185">
        <f t="shared" si="10"/>
        <v>41233</v>
      </c>
      <c r="D160" s="185" t="s">
        <v>483</v>
      </c>
      <c r="E160" s="178">
        <v>41233</v>
      </c>
      <c r="F160" s="186" t="s">
        <v>356</v>
      </c>
      <c r="G160" s="723" t="s">
        <v>417</v>
      </c>
      <c r="H160" s="198" t="s">
        <v>355</v>
      </c>
      <c r="I160" s="243"/>
      <c r="J160" s="243"/>
      <c r="K160" s="37">
        <f>72727+181818</f>
        <v>254545</v>
      </c>
      <c r="L160" s="188" t="s">
        <v>83</v>
      </c>
      <c r="M160" s="188" t="s">
        <v>47</v>
      </c>
      <c r="N160" s="49" t="str">
        <f>IF(AND('331-CT'!$E$7=TH!H160,OR(L160="331",M160="331")),"331",IF(AND(OR(L160="131",M160="131"),H160='131-CT'!$E$7),"131",""))</f>
        <v/>
      </c>
      <c r="O160" s="49" t="str">
        <f>IF(AND($B160&gt;='111'!$N$11,$B160&lt;='111'!$O$11,OR($L160=$O$7,$M160=$O$7)),"x","")</f>
        <v>x</v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49" t="str">
        <f>IF(OR(TH!L160=TH!$V$7,M160=TH!$V$7),"x","")</f>
        <v/>
      </c>
      <c r="W160" s="49" t="str">
        <f>IF(AND(B160&gt;='IN-NX'!$P$3,B160&lt;='IN-NX'!$Q$3,'IN-NX'!$D$7=D160,OR(LEFT(L160,2)="15",AND(LEFT(M160,2)&lt;&gt;"15",LEFT(M160,2)&lt;&gt;"33"))),"x","")</f>
        <v/>
      </c>
      <c r="X160" s="49" t="str">
        <f>IF(AND(OR(LEFT(TH!L160,2)="15",LEFT(TH!M160,2)="15"),'152-CT'!$J$8=TH!F160),"x","")</f>
        <v/>
      </c>
      <c r="Y160" s="49" t="str">
        <f>IF(AND(OR(LEFT(TH!L160,2)="15",LEFT(TH!M160,2)="15"),TK!$E$7=TH!F160),"x","")</f>
        <v/>
      </c>
      <c r="Z160" s="49" t="str">
        <f>IF(AND(B160&lt;=NKC!$N$8,B160&gt;=NKC!$M$8),"x","")</f>
        <v/>
      </c>
      <c r="AA160" s="715"/>
      <c r="AC160" s="199"/>
      <c r="AD160" s="199"/>
    </row>
    <row r="161" spans="1:30" s="493" customFormat="1" ht="15.75" customHeight="1">
      <c r="A161" s="716" t="str">
        <f>IF(B161&lt;&gt;"",IF(AND(B161&gt;=_TM1,B161&lt;=_TM2,OR(TH!L161="1111",TH!M161="1111")),TH!D161,""),"")</f>
        <v>C17</v>
      </c>
      <c r="B161" s="36">
        <f t="shared" si="9"/>
        <v>11</v>
      </c>
      <c r="C161" s="185">
        <f t="shared" si="10"/>
        <v>41233</v>
      </c>
      <c r="D161" s="185" t="s">
        <v>483</v>
      </c>
      <c r="E161" s="178">
        <v>41233</v>
      </c>
      <c r="F161" s="186" t="s">
        <v>357</v>
      </c>
      <c r="G161" s="723" t="s">
        <v>417</v>
      </c>
      <c r="H161" s="198" t="s">
        <v>355</v>
      </c>
      <c r="I161" s="243"/>
      <c r="J161" s="243"/>
      <c r="K161" s="37">
        <f>7273+18182</f>
        <v>25455</v>
      </c>
      <c r="L161" s="188" t="s">
        <v>9</v>
      </c>
      <c r="M161" s="188" t="s">
        <v>47</v>
      </c>
      <c r="N161" s="49" t="str">
        <f>IF(AND('331-CT'!$E$7=TH!H161,OR(L161="331",M161="331")),"331",IF(AND(OR(L161="131",M161="131"),H161='131-CT'!$E$7),"131",""))</f>
        <v/>
      </c>
      <c r="O161" s="49" t="str">
        <f>IF(AND($B161&gt;='111'!$N$11,$B161&lt;='111'!$O$11,OR($L161=$O$7,$M161=$O$7)),"x","")</f>
        <v>x</v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49" t="str">
        <f>IF(OR(TH!L161=TH!$V$7,M161=TH!$V$7),"x","")</f>
        <v/>
      </c>
      <c r="W161" s="49" t="str">
        <f>IF(AND(B161&gt;='IN-NX'!$P$3,B161&lt;='IN-NX'!$Q$3,'IN-NX'!$D$7=D161,OR(LEFT(L161,2)="15",AND(LEFT(M161,2)&lt;&gt;"15",LEFT(M161,2)&lt;&gt;"33"))),"x","")</f>
        <v/>
      </c>
      <c r="X161" s="49" t="str">
        <f>IF(AND(OR(LEFT(TH!L161,2)="15",LEFT(TH!M161,2)="15"),'152-CT'!$J$8=TH!F161),"x","")</f>
        <v/>
      </c>
      <c r="Y161" s="49" t="str">
        <f>IF(AND(OR(LEFT(TH!L161,2)="15",LEFT(TH!M161,2)="15"),TK!$E$7=TH!F161),"x","")</f>
        <v/>
      </c>
      <c r="Z161" s="49" t="str">
        <f>IF(AND(B161&lt;=NKC!$N$8,B161&gt;=NKC!$M$8),"x","")</f>
        <v/>
      </c>
      <c r="AA161" s="715"/>
      <c r="AC161" s="199"/>
      <c r="AD161" s="199"/>
    </row>
    <row r="162" spans="1:30" s="493" customFormat="1" ht="15.75" customHeight="1">
      <c r="A162" s="716" t="str">
        <f>IF(B162&lt;&gt;"",IF(AND(B162&gt;=_TM1,B162&lt;=_TM2,OR(TH!L162="1111",TH!M162="1111")),TH!D162,""),"")</f>
        <v/>
      </c>
      <c r="B162" s="36">
        <f t="shared" si="9"/>
        <v>11</v>
      </c>
      <c r="C162" s="185">
        <f t="shared" si="10"/>
        <v>41235</v>
      </c>
      <c r="D162" s="185" t="s">
        <v>484</v>
      </c>
      <c r="E162" s="178">
        <v>41235</v>
      </c>
      <c r="F162" s="183" t="s">
        <v>423</v>
      </c>
      <c r="G162" s="723" t="s">
        <v>422</v>
      </c>
      <c r="H162" s="7" t="s">
        <v>363</v>
      </c>
      <c r="I162" s="243">
        <v>800</v>
      </c>
      <c r="J162" s="243">
        <v>11693</v>
      </c>
      <c r="K162" s="37">
        <f>ROUND(I162*J162,0)</f>
        <v>9354400</v>
      </c>
      <c r="L162" s="188" t="s">
        <v>352</v>
      </c>
      <c r="M162" s="188" t="s">
        <v>8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/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49" t="str">
        <f>IF(OR(TH!L162=TH!$V$7,M162=TH!$V$7),"x","")</f>
        <v/>
      </c>
      <c r="W162" s="49" t="str">
        <f>IF(AND(B162&gt;='IN-NX'!$P$3,B162&lt;='IN-NX'!$Q$3,'IN-NX'!$D$7=D162,OR(LEFT(L162,2)="15",AND(LEFT(M162,2)&lt;&gt;"15",LEFT(M162,2)&lt;&gt;"33"))),"x","")</f>
        <v/>
      </c>
      <c r="X162" s="49" t="str">
        <f>IF(AND(OR(LEFT(TH!L162,2)="15",LEFT(TH!M162,2)="15"),'152-CT'!$J$8=TH!F162),"x","")</f>
        <v/>
      </c>
      <c r="Y162" s="49" t="str">
        <f>IF(AND(OR(LEFT(TH!L162,2)="15",LEFT(TH!M162,2)="15"),TK!$E$7=TH!F162),"x","")</f>
        <v/>
      </c>
      <c r="Z162" s="49" t="str">
        <f>IF(AND(B162&lt;=NKC!$N$8,B162&gt;=NKC!$M$8),"x","")</f>
        <v/>
      </c>
      <c r="AA162" s="715"/>
      <c r="AB162" s="199"/>
      <c r="AC162" s="199"/>
      <c r="AD162" s="199"/>
    </row>
    <row r="163" spans="1:30" s="493" customFormat="1" ht="15.75" customHeight="1">
      <c r="A163" s="716" t="str">
        <f>IF(B163&lt;&gt;"",IF(AND(B163&gt;=_TM1,B163&lt;=_TM2,OR(TH!L163="1111",TH!M163="1111")),TH!D163,""),"")</f>
        <v/>
      </c>
      <c r="B163" s="36">
        <f t="shared" si="9"/>
        <v>11</v>
      </c>
      <c r="C163" s="185">
        <f t="shared" si="10"/>
        <v>41235</v>
      </c>
      <c r="D163" s="185" t="s">
        <v>484</v>
      </c>
      <c r="E163" s="178">
        <v>41235</v>
      </c>
      <c r="F163" s="183" t="s">
        <v>424</v>
      </c>
      <c r="G163" s="723" t="s">
        <v>422</v>
      </c>
      <c r="H163" s="7" t="s">
        <v>363</v>
      </c>
      <c r="I163" s="243">
        <v>320</v>
      </c>
      <c r="J163" s="243">
        <v>19110</v>
      </c>
      <c r="K163" s="37">
        <f>ROUND(I163*J163,0)</f>
        <v>6115200</v>
      </c>
      <c r="L163" s="188" t="s">
        <v>352</v>
      </c>
      <c r="M163" s="188" t="s">
        <v>8</v>
      </c>
      <c r="N163" s="49" t="str">
        <f>IF(AND('331-CT'!$E$7=TH!H163,OR(L163="331",M163="331")),"331",IF(AND(OR(L163="131",M163="131"),H163='131-CT'!$E$7),"131",""))</f>
        <v>331</v>
      </c>
      <c r="O163" s="49" t="str">
        <f>IF(AND($B163&gt;='111'!$N$11,$B163&lt;='111'!$O$11,OR($L163=$O$7,$M163=$O$7)),"x","")</f>
        <v/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49" t="str">
        <f>IF(OR(TH!L163=TH!$V$7,M163=TH!$V$7),"x","")</f>
        <v/>
      </c>
      <c r="W163" s="49" t="str">
        <f>IF(AND(B163&gt;='IN-NX'!$P$3,B163&lt;='IN-NX'!$Q$3,'IN-NX'!$D$7=D163,OR(LEFT(L163,2)="15",AND(LEFT(M163,2)&lt;&gt;"15",LEFT(M163,2)&lt;&gt;"33"))),"x","")</f>
        <v/>
      </c>
      <c r="X163" s="49" t="str">
        <f>IF(AND(OR(LEFT(TH!L163,2)="15",LEFT(TH!M163,2)="15"),'152-CT'!$J$8=TH!F163),"x","")</f>
        <v/>
      </c>
      <c r="Y163" s="49" t="str">
        <f>IF(AND(OR(LEFT(TH!L163,2)="15",LEFT(TH!M163,2)="15"),TK!$E$7=TH!F163),"x","")</f>
        <v/>
      </c>
      <c r="Z163" s="49" t="str">
        <f>IF(AND(B163&lt;=NKC!$N$8,B163&gt;=NKC!$M$8),"x","")</f>
        <v/>
      </c>
      <c r="AA163" s="715"/>
      <c r="AB163" s="199"/>
      <c r="AC163" s="199"/>
      <c r="AD163" s="199"/>
    </row>
    <row r="164" spans="1:30" s="493" customFormat="1" ht="15.75" customHeight="1">
      <c r="A164" s="716" t="str">
        <f>IF(B164&lt;&gt;"",IF(AND(B164&gt;=_TM1,B164&lt;=_TM2,OR(TH!L164="1111",TH!M164="1111")),TH!D164,""),"")</f>
        <v/>
      </c>
      <c r="B164" s="36">
        <f t="shared" si="9"/>
        <v>11</v>
      </c>
      <c r="C164" s="185">
        <f t="shared" si="10"/>
        <v>41235</v>
      </c>
      <c r="D164" s="185" t="s">
        <v>484</v>
      </c>
      <c r="E164" s="178">
        <v>41235</v>
      </c>
      <c r="F164" s="183" t="s">
        <v>365</v>
      </c>
      <c r="G164" s="723" t="s">
        <v>422</v>
      </c>
      <c r="H164" s="7" t="s">
        <v>363</v>
      </c>
      <c r="I164" s="243"/>
      <c r="J164" s="243"/>
      <c r="K164" s="37">
        <v>1546960</v>
      </c>
      <c r="L164" s="188" t="s">
        <v>9</v>
      </c>
      <c r="M164" s="188" t="s">
        <v>8</v>
      </c>
      <c r="N164" s="49" t="str">
        <f>IF(AND('331-CT'!$E$7=TH!H164,OR(L164="331",M164="331")),"331",IF(AND(OR(L164="131",M164="131"),H164='131-CT'!$E$7),"131",""))</f>
        <v>331</v>
      </c>
      <c r="O164" s="49" t="str">
        <f>IF(AND($B164&gt;='111'!$N$11,$B164&lt;='111'!$O$11,OR($L164=$O$7,$M164=$O$7)),"x","")</f>
        <v/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49" t="str">
        <f>IF(OR(TH!L164=TH!$V$7,M164=TH!$V$7),"x","")</f>
        <v/>
      </c>
      <c r="W164" s="49" t="str">
        <f>IF(AND(B164&gt;='IN-NX'!$P$3,B164&lt;='IN-NX'!$Q$3,'IN-NX'!$D$7=D164,OR(LEFT(L164,2)="15",AND(LEFT(M164,2)&lt;&gt;"15",LEFT(M164,2)&lt;&gt;"33"))),"x","")</f>
        <v/>
      </c>
      <c r="X164" s="49" t="str">
        <f>IF(AND(OR(LEFT(TH!L164,2)="15",LEFT(TH!M164,2)="15"),'152-CT'!$J$8=TH!F164),"x","")</f>
        <v/>
      </c>
      <c r="Y164" s="49" t="str">
        <f>IF(AND(OR(LEFT(TH!L164,2)="15",LEFT(TH!M164,2)="15"),TK!$E$7=TH!F164),"x","")</f>
        <v/>
      </c>
      <c r="Z164" s="49" t="str">
        <f>IF(AND(B164&lt;=NKC!$N$8,B164&gt;=NKC!$M$8),"x","")</f>
        <v/>
      </c>
      <c r="AA164" s="715"/>
      <c r="AB164" s="199"/>
      <c r="AC164" s="199"/>
      <c r="AD164" s="199"/>
    </row>
    <row r="165" spans="1:30" s="493" customFormat="1" ht="15.75" customHeight="1">
      <c r="A165" s="716" t="str">
        <f>IF(B165&lt;&gt;"",IF(AND(B165&gt;=_TM1,B165&lt;=_TM2,OR(TH!L165="1111",TH!M165="1111")),TH!D165,""),"")</f>
        <v>C18</v>
      </c>
      <c r="B165" s="36">
        <f t="shared" si="9"/>
        <v>11</v>
      </c>
      <c r="C165" s="185">
        <f t="shared" si="10"/>
        <v>41235</v>
      </c>
      <c r="D165" s="185" t="s">
        <v>485</v>
      </c>
      <c r="E165" s="178">
        <v>41235</v>
      </c>
      <c r="F165" s="183" t="s">
        <v>457</v>
      </c>
      <c r="G165" s="723" t="s">
        <v>422</v>
      </c>
      <c r="H165" s="7" t="s">
        <v>363</v>
      </c>
      <c r="I165" s="243"/>
      <c r="J165" s="243"/>
      <c r="K165" s="37">
        <v>17016560</v>
      </c>
      <c r="L165" s="188" t="s">
        <v>8</v>
      </c>
      <c r="M165" s="188" t="s">
        <v>47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>x</v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49" t="str">
        <f>IF(OR(TH!L165=TH!$V$7,M165=TH!$V$7),"x","")</f>
        <v/>
      </c>
      <c r="W165" s="49" t="str">
        <f>IF(AND(B165&gt;='IN-NX'!$P$3,B165&lt;='IN-NX'!$Q$3,'IN-NX'!$D$7=D165,OR(LEFT(L165,2)="15",AND(LEFT(M165,2)&lt;&gt;"15",LEFT(M165,2)&lt;&gt;"33"))),"x","")</f>
        <v/>
      </c>
      <c r="X165" s="49" t="str">
        <f>IF(AND(OR(LEFT(TH!L165,2)="15",LEFT(TH!M165,2)="15"),'152-CT'!$J$8=TH!F165),"x","")</f>
        <v/>
      </c>
      <c r="Y165" s="49" t="str">
        <f>IF(AND(OR(LEFT(TH!L165,2)="15",LEFT(TH!M165,2)="15"),TK!$E$7=TH!F165),"x","")</f>
        <v/>
      </c>
      <c r="Z165" s="49" t="str">
        <f>IF(AND(B165&lt;=NKC!$N$8,B165&gt;=NKC!$M$8),"x","")</f>
        <v/>
      </c>
      <c r="AA165" s="715"/>
      <c r="AC165" s="199"/>
      <c r="AD165" s="199"/>
    </row>
    <row r="166" spans="1:30" s="493" customFormat="1" ht="15.75" customHeight="1">
      <c r="A166" s="716" t="str">
        <f>IF(B166&lt;&gt;"",IF(AND(B166&gt;=_TM1,B166&lt;=_TM2,OR(TH!L166="1111",TH!M166="1111")),TH!D166,""),"")</f>
        <v>T11</v>
      </c>
      <c r="B166" s="36">
        <f t="shared" si="9"/>
        <v>11</v>
      </c>
      <c r="C166" s="185">
        <f t="shared" si="10"/>
        <v>41236</v>
      </c>
      <c r="D166" s="178" t="s">
        <v>590</v>
      </c>
      <c r="E166" s="178">
        <v>41236</v>
      </c>
      <c r="F166" s="183" t="s">
        <v>449</v>
      </c>
      <c r="G166" s="723" t="s">
        <v>351</v>
      </c>
      <c r="H166" s="187" t="s">
        <v>454</v>
      </c>
      <c r="I166" s="243"/>
      <c r="J166" s="243"/>
      <c r="K166" s="501">
        <v>7500000</v>
      </c>
      <c r="L166" s="502" t="s">
        <v>47</v>
      </c>
      <c r="M166" s="502" t="s">
        <v>24</v>
      </c>
      <c r="N166" s="49" t="str">
        <f>IF(AND('331-CT'!$E$7=TH!H166,OR(L166="331",M166="331")),"331",IF(AND(OR(L166="131",M166="131"),H166='131-CT'!$E$7),"131",""))</f>
        <v/>
      </c>
      <c r="O166" s="49" t="str">
        <f>IF(AND($B166&gt;='111'!$N$11,$B166&lt;='111'!$O$11,OR($L166=$O$7,$M166=$O$7)),"x","")</f>
        <v>x</v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>x</v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49" t="str">
        <f>IF(OR(TH!L166=TH!$V$7,M166=TH!$V$7),"x","")</f>
        <v/>
      </c>
      <c r="W166" s="49" t="str">
        <f>IF(AND(B166&gt;='IN-NX'!$P$3,B166&lt;='IN-NX'!$Q$3,'IN-NX'!$D$7=D166,OR(LEFT(L166,2)="15",AND(LEFT(M166,2)&lt;&gt;"15",LEFT(M166,2)&lt;&gt;"33"))),"x","")</f>
        <v/>
      </c>
      <c r="X166" s="49" t="str">
        <f>IF(AND(OR(LEFT(TH!L166,2)="15",LEFT(TH!M166,2)="15"),'152-CT'!$J$8=TH!F166),"x","")</f>
        <v/>
      </c>
      <c r="Y166" s="49" t="str">
        <f>IF(AND(OR(LEFT(TH!L166,2)="15",LEFT(TH!M166,2)="15"),TK!$E$7=TH!F166),"x","")</f>
        <v/>
      </c>
      <c r="Z166" s="49" t="str">
        <f>IF(AND(B166&lt;=NKC!$N$8,B166&gt;=NKC!$M$8),"x","")</f>
        <v/>
      </c>
      <c r="AA166" s="715"/>
    </row>
    <row r="167" spans="1:30" s="493" customFormat="1" ht="15.75" customHeight="1">
      <c r="A167" s="716" t="str">
        <f>IF(B167&lt;&gt;"",IF(AND(B167&gt;=_TM1,B167&lt;=_TM2,OR(TH!L167="1111",TH!M167="1111")),TH!D167,""),"")</f>
        <v/>
      </c>
      <c r="B167" s="36">
        <f t="shared" si="9"/>
        <v>11</v>
      </c>
      <c r="C167" s="185">
        <f t="shared" si="10"/>
        <v>41236</v>
      </c>
      <c r="D167" s="178" t="s">
        <v>577</v>
      </c>
      <c r="E167" s="185">
        <v>41236</v>
      </c>
      <c r="F167" s="186" t="s">
        <v>516</v>
      </c>
      <c r="G167" s="724" t="s">
        <v>539</v>
      </c>
      <c r="H167" s="187" t="s">
        <v>452</v>
      </c>
      <c r="I167" s="243">
        <v>1110</v>
      </c>
      <c r="J167" s="243">
        <v>5150</v>
      </c>
      <c r="K167" s="501">
        <f>ROUND(I167*J167,0)</f>
        <v>5716500</v>
      </c>
      <c r="L167" s="502" t="s">
        <v>252</v>
      </c>
      <c r="M167" s="502" t="s">
        <v>164</v>
      </c>
      <c r="N167" s="49" t="str">
        <f>IF(AND('331-CT'!$E$7=TH!H167,OR(L167="331",M167="331")),"331",IF(AND(OR(L167="131",M167="131"),H167='131-CT'!$E$7),"131",""))</f>
        <v/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49" t="str">
        <f>IF(OR(TH!L167=TH!$V$7,M167=TH!$V$7),"x","")</f>
        <v/>
      </c>
      <c r="W167" s="49" t="str">
        <f>IF(AND(B167&gt;='IN-NX'!$P$3,B167&lt;='IN-NX'!$Q$3,'IN-NX'!$D$7=D167,OR(LEFT(L167,2)="15",AND(LEFT(M167,2)&lt;&gt;"15",LEFT(M167,2)&lt;&gt;"33"))),"x","")</f>
        <v/>
      </c>
      <c r="X167" s="49" t="str">
        <f>IF(AND(OR(LEFT(TH!L167,2)="15",LEFT(TH!M167,2)="15"),'152-CT'!$J$8=TH!F167),"x","")</f>
        <v/>
      </c>
      <c r="Y167" s="49" t="str">
        <f>IF(AND(OR(LEFT(TH!L167,2)="15",LEFT(TH!M167,2)="15"),TK!$E$7=TH!F167),"x","")</f>
        <v/>
      </c>
      <c r="Z167" s="49" t="str">
        <f>IF(AND(B167&lt;=NKC!$N$8,B167&gt;=NKC!$M$8),"x","")</f>
        <v/>
      </c>
      <c r="AA167" s="715"/>
      <c r="AC167" s="199"/>
      <c r="AD167" s="199"/>
    </row>
    <row r="168" spans="1:30" s="493" customFormat="1" ht="15.75" customHeight="1">
      <c r="A168" s="716" t="str">
        <f>IF(B168&lt;&gt;"",IF(AND(B168&gt;=_TM1,B168&lt;=_TM2,OR(TH!L168="1111",TH!M168="1111")),TH!D168,""),"")</f>
        <v/>
      </c>
      <c r="B168" s="36">
        <f t="shared" si="9"/>
        <v>11</v>
      </c>
      <c r="C168" s="185">
        <f t="shared" si="10"/>
        <v>41236</v>
      </c>
      <c r="D168" s="178" t="s">
        <v>577</v>
      </c>
      <c r="E168" s="185">
        <v>41236</v>
      </c>
      <c r="F168" s="186" t="s">
        <v>515</v>
      </c>
      <c r="G168" s="724" t="s">
        <v>539</v>
      </c>
      <c r="H168" s="187" t="s">
        <v>452</v>
      </c>
      <c r="I168" s="243">
        <v>1110</v>
      </c>
      <c r="J168" s="243">
        <v>7110</v>
      </c>
      <c r="K168" s="501">
        <f>ROUND(I168*J168,0)</f>
        <v>7892100</v>
      </c>
      <c r="L168" s="502" t="s">
        <v>252</v>
      </c>
      <c r="M168" s="502" t="s">
        <v>164</v>
      </c>
      <c r="N168" s="49" t="str">
        <f>IF(AND('331-CT'!$E$7=TH!H168,OR(L168="331",M168="331")),"331",IF(AND(OR(L168="131",M168="131"),H168='131-CT'!$E$7),"131",""))</f>
        <v/>
      </c>
      <c r="O168" s="49" t="str">
        <f>IF(AND($B168&gt;='111'!$N$11,$B168&lt;='111'!$O$11,OR($L168=$O$7,$M168=$O$7)),"x","")</f>
        <v/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49" t="str">
        <f>IF(OR(TH!L168=TH!$V$7,M168=TH!$V$7),"x","")</f>
        <v/>
      </c>
      <c r="W168" s="49" t="str">
        <f>IF(AND(B168&gt;='IN-NX'!$P$3,B168&lt;='IN-NX'!$Q$3,'IN-NX'!$D$7=D168,OR(LEFT(L168,2)="15",AND(LEFT(M168,2)&lt;&gt;"15",LEFT(M168,2)&lt;&gt;"33"))),"x","")</f>
        <v/>
      </c>
      <c r="X168" s="49" t="str">
        <f>IF(AND(OR(LEFT(TH!L168,2)="15",LEFT(TH!M168,2)="15"),'152-CT'!$J$8=TH!F168),"x","")</f>
        <v/>
      </c>
      <c r="Y168" s="49" t="str">
        <f>IF(AND(OR(LEFT(TH!L168,2)="15",LEFT(TH!M168,2)="15"),TK!$E$7=TH!F168),"x","")</f>
        <v/>
      </c>
      <c r="Z168" s="49" t="str">
        <f>IF(AND(B168&lt;=NKC!$N$8,B168&gt;=NKC!$M$8),"x","")</f>
        <v/>
      </c>
      <c r="AA168" s="715"/>
      <c r="AC168" s="199"/>
      <c r="AD168" s="199"/>
    </row>
    <row r="169" spans="1:30" s="493" customFormat="1" ht="15.75" customHeight="1">
      <c r="A169" s="716" t="str">
        <f>IF(B169&lt;&gt;"",IF(AND(B169&gt;=_TM1,B169&lt;=_TM2,OR(TH!L169="1111",TH!M169="1111")),TH!D169,""),"")</f>
        <v/>
      </c>
      <c r="B169" s="36">
        <f t="shared" si="9"/>
        <v>11</v>
      </c>
      <c r="C169" s="185">
        <f t="shared" si="10"/>
        <v>41236</v>
      </c>
      <c r="D169" s="178" t="s">
        <v>577</v>
      </c>
      <c r="E169" s="185">
        <v>41236</v>
      </c>
      <c r="F169" s="186" t="s">
        <v>509</v>
      </c>
      <c r="G169" s="724" t="s">
        <v>539</v>
      </c>
      <c r="H169" s="187" t="s">
        <v>452</v>
      </c>
      <c r="I169" s="243"/>
      <c r="J169" s="243"/>
      <c r="K169" s="501">
        <v>1360860</v>
      </c>
      <c r="L169" s="502" t="s">
        <v>252</v>
      </c>
      <c r="M169" s="502" t="s">
        <v>296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/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/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49" t="str">
        <f>IF(OR(TH!L169=TH!$V$7,M169=TH!$V$7),"x","")</f>
        <v/>
      </c>
      <c r="W169" s="49" t="str">
        <f>IF(AND(B169&gt;='IN-NX'!$P$3,B169&lt;='IN-NX'!$Q$3,'IN-NX'!$D$7=D169,OR(LEFT(L169,2)="15",AND(LEFT(M169,2)&lt;&gt;"15",LEFT(M169,2)&lt;&gt;"33"))),"x","")</f>
        <v/>
      </c>
      <c r="X169" s="49" t="str">
        <f>IF(AND(OR(LEFT(TH!L169,2)="15",LEFT(TH!M169,2)="15"),'152-CT'!$J$8=TH!F169),"x","")</f>
        <v/>
      </c>
      <c r="Y169" s="49" t="str">
        <f>IF(AND(OR(LEFT(TH!L169,2)="15",LEFT(TH!M169,2)="15"),TK!$E$7=TH!F169),"x","")</f>
        <v/>
      </c>
      <c r="Z169" s="49" t="str">
        <f>IF(AND(B169&lt;=NKC!$N$8,B169&gt;=NKC!$M$8),"x","")</f>
        <v/>
      </c>
      <c r="AA169" s="715"/>
    </row>
    <row r="170" spans="1:30" s="493" customFormat="1" ht="15.75" customHeight="1">
      <c r="A170" s="716" t="str">
        <f>IF(B170&lt;&gt;"",IF(AND(B170&gt;=_TM1,B170&lt;=_TM2,OR(TH!L170="1111",TH!M170="1111")),TH!D170,""),"")</f>
        <v>T12</v>
      </c>
      <c r="B170" s="36">
        <f t="shared" si="9"/>
        <v>11</v>
      </c>
      <c r="C170" s="185">
        <f t="shared" si="10"/>
        <v>41236</v>
      </c>
      <c r="D170" s="178" t="s">
        <v>591</v>
      </c>
      <c r="E170" s="185">
        <v>41236</v>
      </c>
      <c r="F170" s="186" t="s">
        <v>447</v>
      </c>
      <c r="G170" s="724" t="s">
        <v>539</v>
      </c>
      <c r="H170" s="187" t="s">
        <v>452</v>
      </c>
      <c r="I170" s="243"/>
      <c r="J170" s="243"/>
      <c r="K170" s="501">
        <v>14969460</v>
      </c>
      <c r="L170" s="502" t="s">
        <v>47</v>
      </c>
      <c r="M170" s="502" t="s">
        <v>252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>x</v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49" t="str">
        <f>IF(OR(TH!L170=TH!$V$7,M170=TH!$V$7),"x","")</f>
        <v/>
      </c>
      <c r="W170" s="49" t="str">
        <f>IF(AND(B170&gt;='IN-NX'!$P$3,B170&lt;='IN-NX'!$Q$3,'IN-NX'!$D$7=D170,OR(LEFT(L170,2)="15",AND(LEFT(M170,2)&lt;&gt;"15",LEFT(M170,2)&lt;&gt;"33"))),"x","")</f>
        <v/>
      </c>
      <c r="X170" s="49" t="str">
        <f>IF(AND(OR(LEFT(TH!L170,2)="15",LEFT(TH!M170,2)="15"),'152-CT'!$J$8=TH!F170),"x","")</f>
        <v/>
      </c>
      <c r="Y170" s="49" t="str">
        <f>IF(AND(OR(LEFT(TH!L170,2)="15",LEFT(TH!M170,2)="15"),TK!$E$7=TH!F170),"x","")</f>
        <v/>
      </c>
      <c r="Z170" s="49" t="str">
        <f>IF(AND(B170&lt;=NKC!$N$8,B170&gt;=NKC!$M$8),"x","")</f>
        <v/>
      </c>
      <c r="AA170" s="715"/>
    </row>
    <row r="171" spans="1:30" s="493" customFormat="1" ht="15.75" customHeight="1">
      <c r="A171" s="716" t="str">
        <f>IF(B171&lt;&gt;"",IF(AND(B171&gt;=_TM1,B171&lt;=_TM2,OR(TH!L171="1111",TH!M171="1111")),TH!D171,""),"")</f>
        <v/>
      </c>
      <c r="B171" s="36">
        <f t="shared" si="9"/>
        <v>11</v>
      </c>
      <c r="C171" s="185">
        <f t="shared" si="10"/>
        <v>41237</v>
      </c>
      <c r="D171" s="185" t="s">
        <v>486</v>
      </c>
      <c r="E171" s="178">
        <v>41237</v>
      </c>
      <c r="F171" s="183" t="s">
        <v>426</v>
      </c>
      <c r="G171" s="723" t="s">
        <v>425</v>
      </c>
      <c r="H171" s="7" t="s">
        <v>363</v>
      </c>
      <c r="I171" s="243">
        <v>150</v>
      </c>
      <c r="J171" s="243">
        <v>10230</v>
      </c>
      <c r="K171" s="37">
        <f>ROUND(I171*J171,0)</f>
        <v>1534500</v>
      </c>
      <c r="L171" s="188" t="s">
        <v>352</v>
      </c>
      <c r="M171" s="188" t="s">
        <v>8</v>
      </c>
      <c r="N171" s="49" t="str">
        <f>IF(AND('331-CT'!$E$7=TH!H171,OR(L171="331",M171="331")),"331",IF(AND(OR(L171="131",M171="131"),H171='131-CT'!$E$7),"131",""))</f>
        <v>331</v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49" t="str">
        <f>IF(OR(TH!L171=TH!$V$7,M171=TH!$V$7),"x","")</f>
        <v/>
      </c>
      <c r="W171" s="49" t="str">
        <f>IF(AND(B171&gt;='IN-NX'!$P$3,B171&lt;='IN-NX'!$Q$3,'IN-NX'!$D$7=D171,OR(LEFT(L171,2)="15",AND(LEFT(M171,2)&lt;&gt;"15",LEFT(M171,2)&lt;&gt;"33"))),"x","")</f>
        <v/>
      </c>
      <c r="X171" s="49" t="str">
        <f>IF(AND(OR(LEFT(TH!L171,2)="15",LEFT(TH!M171,2)="15"),'152-CT'!$J$8=TH!F171),"x","")</f>
        <v/>
      </c>
      <c r="Y171" s="49" t="str">
        <f>IF(AND(OR(LEFT(TH!L171,2)="15",LEFT(TH!M171,2)="15"),TK!$E$7=TH!F171),"x","")</f>
        <v/>
      </c>
      <c r="Z171" s="49" t="str">
        <f>IF(AND(B171&lt;=NKC!$N$8,B171&gt;=NKC!$M$8),"x","")</f>
        <v/>
      </c>
      <c r="AA171" s="715"/>
      <c r="AB171" s="199"/>
      <c r="AC171" s="199"/>
      <c r="AD171" s="199"/>
    </row>
    <row r="172" spans="1:30" s="493" customFormat="1" ht="15.75" customHeight="1">
      <c r="A172" s="716" t="str">
        <f>IF(B172&lt;&gt;"",IF(AND(B172&gt;=_TM1,B172&lt;=_TM2,OR(TH!L172="1111",TH!M172="1111")),TH!D172,""),"")</f>
        <v/>
      </c>
      <c r="B172" s="36">
        <f t="shared" si="9"/>
        <v>11</v>
      </c>
      <c r="C172" s="185">
        <f t="shared" si="10"/>
        <v>41237</v>
      </c>
      <c r="D172" s="185" t="s">
        <v>486</v>
      </c>
      <c r="E172" s="178">
        <v>41237</v>
      </c>
      <c r="F172" s="183" t="s">
        <v>427</v>
      </c>
      <c r="G172" s="723" t="s">
        <v>425</v>
      </c>
      <c r="H172" s="7" t="s">
        <v>363</v>
      </c>
      <c r="I172" s="243">
        <v>502</v>
      </c>
      <c r="J172" s="243">
        <v>11186</v>
      </c>
      <c r="K172" s="37">
        <f>ROUND(I172*J172,0)</f>
        <v>5615372</v>
      </c>
      <c r="L172" s="188" t="s">
        <v>352</v>
      </c>
      <c r="M172" s="188" t="s">
        <v>8</v>
      </c>
      <c r="N172" s="49" t="str">
        <f>IF(AND('331-CT'!$E$7=TH!H172,OR(L172="331",M172="331")),"331",IF(AND(OR(L172="131",M172="131"),H172='131-CT'!$E$7),"131",""))</f>
        <v>331</v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49" t="str">
        <f>IF(OR(TH!L172=TH!$V$7,M172=TH!$V$7),"x","")</f>
        <v/>
      </c>
      <c r="W172" s="49" t="str">
        <f>IF(AND(B172&gt;='IN-NX'!$P$3,B172&lt;='IN-NX'!$Q$3,'IN-NX'!$D$7=D172,OR(LEFT(L172,2)="15",AND(LEFT(M172,2)&lt;&gt;"15",LEFT(M172,2)&lt;&gt;"33"))),"x","")</f>
        <v/>
      </c>
      <c r="X172" s="49" t="str">
        <f>IF(AND(OR(LEFT(TH!L172,2)="15",LEFT(TH!M172,2)="15"),'152-CT'!$J$8=TH!F172),"x","")</f>
        <v/>
      </c>
      <c r="Y172" s="49" t="str">
        <f>IF(AND(OR(LEFT(TH!L172,2)="15",LEFT(TH!M172,2)="15"),TK!$E$7=TH!F172),"x","")</f>
        <v/>
      </c>
      <c r="Z172" s="49" t="str">
        <f>IF(AND(B172&lt;=NKC!$N$8,B172&gt;=NKC!$M$8),"x","")</f>
        <v/>
      </c>
      <c r="AA172" s="715"/>
      <c r="AB172" s="199"/>
      <c r="AC172" s="199"/>
      <c r="AD172" s="199"/>
    </row>
    <row r="173" spans="1:30" s="493" customFormat="1" ht="15.75" customHeight="1">
      <c r="A173" s="716" t="str">
        <f>IF(B173&lt;&gt;"",IF(AND(B173&gt;=_TM1,B173&lt;=_TM2,OR(TH!L173="1111",TH!M173="1111")),TH!D173,""),"")</f>
        <v/>
      </c>
      <c r="B173" s="36">
        <f t="shared" si="9"/>
        <v>11</v>
      </c>
      <c r="C173" s="185">
        <f t="shared" si="10"/>
        <v>41237</v>
      </c>
      <c r="D173" s="185" t="s">
        <v>486</v>
      </c>
      <c r="E173" s="178">
        <v>41237</v>
      </c>
      <c r="F173" s="183" t="s">
        <v>365</v>
      </c>
      <c r="G173" s="723" t="s">
        <v>425</v>
      </c>
      <c r="H173" s="7" t="s">
        <v>363</v>
      </c>
      <c r="I173" s="243"/>
      <c r="J173" s="243"/>
      <c r="K173" s="37">
        <v>714987</v>
      </c>
      <c r="L173" s="188" t="s">
        <v>9</v>
      </c>
      <c r="M173" s="188" t="s">
        <v>8</v>
      </c>
      <c r="N173" s="49" t="str">
        <f>IF(AND('331-CT'!$E$7=TH!H173,OR(L173="331",M173="331")),"331",IF(AND(OR(L173="131",M173="131"),H173='131-CT'!$E$7),"131",""))</f>
        <v>331</v>
      </c>
      <c r="O173" s="49" t="str">
        <f>IF(AND($B173&gt;='111'!$N$11,$B173&lt;='111'!$O$11,OR($L173=$O$7,$M173=$O$7)),"x","")</f>
        <v/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49" t="str">
        <f>IF(OR(TH!L173=TH!$V$7,M173=TH!$V$7),"x","")</f>
        <v/>
      </c>
      <c r="W173" s="49" t="str">
        <f>IF(AND(B173&gt;='IN-NX'!$P$3,B173&lt;='IN-NX'!$Q$3,'IN-NX'!$D$7=D173,OR(LEFT(L173,2)="15",AND(LEFT(M173,2)&lt;&gt;"15",LEFT(M173,2)&lt;&gt;"33"))),"x","")</f>
        <v/>
      </c>
      <c r="X173" s="49" t="str">
        <f>IF(AND(OR(LEFT(TH!L173,2)="15",LEFT(TH!M173,2)="15"),'152-CT'!$J$8=TH!F173),"x","")</f>
        <v/>
      </c>
      <c r="Y173" s="49" t="str">
        <f>IF(AND(OR(LEFT(TH!L173,2)="15",LEFT(TH!M173,2)="15"),TK!$E$7=TH!F173),"x","")</f>
        <v/>
      </c>
      <c r="Z173" s="49" t="str">
        <f>IF(AND(B173&lt;=NKC!$N$8,B173&gt;=NKC!$M$8),"x","")</f>
        <v/>
      </c>
      <c r="AA173" s="715"/>
      <c r="AB173" s="199"/>
      <c r="AC173" s="199"/>
      <c r="AD173" s="199"/>
    </row>
    <row r="174" spans="1:30" s="199" customFormat="1" ht="15.75" customHeight="1">
      <c r="A174" s="716" t="str">
        <f>IF(B174&lt;&gt;"",IF(AND(B174&gt;=_TM1,B174&lt;=_TM2,OR(TH!L174="1111",TH!M174="1111")),TH!D174,""),"")</f>
        <v>C19</v>
      </c>
      <c r="B174" s="36">
        <f t="shared" si="9"/>
        <v>11</v>
      </c>
      <c r="C174" s="185">
        <f t="shared" si="10"/>
        <v>41237</v>
      </c>
      <c r="D174" s="185" t="s">
        <v>487</v>
      </c>
      <c r="E174" s="178">
        <v>41237</v>
      </c>
      <c r="F174" s="183" t="s">
        <v>457</v>
      </c>
      <c r="G174" s="723" t="s">
        <v>425</v>
      </c>
      <c r="H174" s="7" t="s">
        <v>363</v>
      </c>
      <c r="I174" s="243"/>
      <c r="J174" s="243"/>
      <c r="K174" s="37">
        <v>7864859</v>
      </c>
      <c r="L174" s="188" t="s">
        <v>8</v>
      </c>
      <c r="M174" s="188" t="s">
        <v>47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>x</v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49" t="str">
        <f>IF(OR(TH!L174=TH!$V$7,M174=TH!$V$7),"x","")</f>
        <v/>
      </c>
      <c r="W174" s="49" t="str">
        <f>IF(AND(B174&gt;='IN-NX'!$P$3,B174&lt;='IN-NX'!$Q$3,'IN-NX'!$D$7=D174,OR(LEFT(L174,2)="15",AND(LEFT(M174,2)&lt;&gt;"15",LEFT(M174,2)&lt;&gt;"33"))),"x","")</f>
        <v/>
      </c>
      <c r="X174" s="49" t="str">
        <f>IF(AND(OR(LEFT(TH!L174,2)="15",LEFT(TH!M174,2)="15"),'152-CT'!$J$8=TH!F174),"x","")</f>
        <v/>
      </c>
      <c r="Y174" s="49" t="str">
        <f>IF(AND(OR(LEFT(TH!L174,2)="15",LEFT(TH!M174,2)="15"),TK!$E$7=TH!F174),"x","")</f>
        <v/>
      </c>
      <c r="Z174" s="49" t="str">
        <f>IF(AND(B174&lt;=NKC!$N$8,B174&gt;=NKC!$M$8),"x","")</f>
        <v/>
      </c>
      <c r="AA174" s="715"/>
      <c r="AB174" s="493"/>
    </row>
    <row r="175" spans="1:30" s="199" customFormat="1" ht="15.75" customHeight="1">
      <c r="A175" s="716" t="str">
        <f>IF(B175&lt;&gt;"",IF(AND(B175&gt;=_TM1,B175&lt;=_TM2,OR(TH!L175="1111",TH!M175="1111")),TH!D175,""),"")</f>
        <v>C20</v>
      </c>
      <c r="B175" s="36">
        <f t="shared" si="9"/>
        <v>11</v>
      </c>
      <c r="C175" s="185">
        <f t="shared" si="10"/>
        <v>41237</v>
      </c>
      <c r="D175" s="185" t="s">
        <v>488</v>
      </c>
      <c r="E175" s="178">
        <v>41237</v>
      </c>
      <c r="F175" s="186" t="s">
        <v>377</v>
      </c>
      <c r="G175" s="723" t="s">
        <v>428</v>
      </c>
      <c r="H175" s="7" t="s">
        <v>375</v>
      </c>
      <c r="I175" s="243">
        <v>100</v>
      </c>
      <c r="J175" s="243">
        <v>25200</v>
      </c>
      <c r="K175" s="37">
        <f>ROUND(I175*J175,0)</f>
        <v>2520000</v>
      </c>
      <c r="L175" s="188" t="s">
        <v>160</v>
      </c>
      <c r="M175" s="188" t="s">
        <v>47</v>
      </c>
      <c r="N175" s="49" t="str">
        <f>IF(AND('331-CT'!$E$7=TH!H175,OR(L175="331",M175="331")),"331",IF(AND(OR(L175="131",M175="131"),H175='131-CT'!$E$7),"131",""))</f>
        <v/>
      </c>
      <c r="O175" s="49" t="str">
        <f>IF(AND($B175&gt;='111'!$N$11,$B175&lt;='111'!$O$11,OR($L175=$O$7,$M175=$O$7)),"x","")</f>
        <v>x</v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49" t="str">
        <f>IF(OR(TH!L175=TH!$V$7,M175=TH!$V$7),"x","")</f>
        <v/>
      </c>
      <c r="W175" s="49" t="str">
        <f>IF(AND(B175&gt;='IN-NX'!$P$3,B175&lt;='IN-NX'!$Q$3,'IN-NX'!$D$7=D175,OR(LEFT(L175,2)="15",AND(LEFT(M175,2)&lt;&gt;"15",LEFT(M175,2)&lt;&gt;"33"))),"x","")</f>
        <v/>
      </c>
      <c r="X175" s="49" t="str">
        <f>IF(AND(OR(LEFT(TH!L175,2)="15",LEFT(TH!M175,2)="15"),'152-CT'!$J$8=TH!F175),"x","")</f>
        <v/>
      </c>
      <c r="Y175" s="49" t="str">
        <f>IF(AND(OR(LEFT(TH!L175,2)="15",LEFT(TH!M175,2)="15"),TK!$E$7=TH!F175),"x","")</f>
        <v/>
      </c>
      <c r="Z175" s="49" t="str">
        <f>IF(AND(B175&lt;=NKC!$N$8,B175&gt;=NKC!$M$8),"x","")</f>
        <v/>
      </c>
      <c r="AA175" s="715"/>
    </row>
    <row r="176" spans="1:30" s="199" customFormat="1" ht="15.75" customHeight="1">
      <c r="A176" s="716" t="str">
        <f>IF(B176&lt;&gt;"",IF(AND(B176&gt;=_TM1,B176&lt;=_TM2,OR(TH!L176="1111",TH!M176="1111")),TH!D176,""),"")</f>
        <v>C20</v>
      </c>
      <c r="B176" s="36">
        <f t="shared" si="9"/>
        <v>11</v>
      </c>
      <c r="C176" s="185">
        <f t="shared" si="10"/>
        <v>41237</v>
      </c>
      <c r="D176" s="185" t="s">
        <v>488</v>
      </c>
      <c r="E176" s="178">
        <v>41237</v>
      </c>
      <c r="F176" s="186" t="s">
        <v>378</v>
      </c>
      <c r="G176" s="723" t="s">
        <v>428</v>
      </c>
      <c r="H176" s="7" t="s">
        <v>375</v>
      </c>
      <c r="I176" s="243"/>
      <c r="J176" s="243"/>
      <c r="K176" s="501">
        <v>252000</v>
      </c>
      <c r="L176" s="188" t="s">
        <v>9</v>
      </c>
      <c r="M176" s="188" t="s">
        <v>47</v>
      </c>
      <c r="N176" s="49" t="str">
        <f>IF(AND('331-CT'!$E$7=TH!H176,OR(L176="331",M176="331")),"331",IF(AND(OR(L176="131",M176="131"),H176='131-CT'!$E$7),"131",""))</f>
        <v/>
      </c>
      <c r="O176" s="49" t="str">
        <f>IF(AND($B176&gt;='111'!$N$11,$B176&lt;='111'!$O$11,OR($L176=$O$7,$M176=$O$7)),"x","")</f>
        <v>x</v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49" t="str">
        <f>IF(OR(TH!L176=TH!$V$7,M176=TH!$V$7),"x","")</f>
        <v/>
      </c>
      <c r="W176" s="49" t="str">
        <f>IF(AND(B176&gt;='IN-NX'!$P$3,B176&lt;='IN-NX'!$Q$3,'IN-NX'!$D$7=D176,OR(LEFT(L176,2)="15",AND(LEFT(M176,2)&lt;&gt;"15",LEFT(M176,2)&lt;&gt;"33"))),"x","")</f>
        <v/>
      </c>
      <c r="X176" s="49" t="str">
        <f>IF(AND(OR(LEFT(TH!L176,2)="15",LEFT(TH!M176,2)="15"),'152-CT'!$J$8=TH!F176),"x","")</f>
        <v/>
      </c>
      <c r="Y176" s="49" t="str">
        <f>IF(AND(OR(LEFT(TH!L176,2)="15",LEFT(TH!M176,2)="15"),TK!$E$7=TH!F176),"x","")</f>
        <v/>
      </c>
      <c r="Z176" s="49" t="str">
        <f>IF(AND(B176&lt;=NKC!$N$8,B176&gt;=NKC!$M$8),"x","")</f>
        <v/>
      </c>
      <c r="AA176" s="715"/>
      <c r="AB176" s="493"/>
      <c r="AC176" s="493"/>
      <c r="AD176" s="493"/>
    </row>
    <row r="177" spans="1:30" s="199" customFormat="1" ht="15.75" customHeight="1">
      <c r="A177" s="716" t="str">
        <f>IF(B177&lt;&gt;"",IF(AND(B177&gt;=_TM1,B177&lt;=_TM2,OR(TH!L177="1111",TH!M177="1111")),TH!D177,""),"")</f>
        <v/>
      </c>
      <c r="B177" s="36">
        <f t="shared" si="9"/>
        <v>11</v>
      </c>
      <c r="C177" s="185">
        <f t="shared" si="10"/>
        <v>41238</v>
      </c>
      <c r="D177" s="178" t="s">
        <v>444</v>
      </c>
      <c r="E177" s="178">
        <v>41238</v>
      </c>
      <c r="F177" s="183" t="s">
        <v>451</v>
      </c>
      <c r="G177" s="723" t="s">
        <v>351</v>
      </c>
      <c r="H177" s="187"/>
      <c r="I177" s="243"/>
      <c r="J177" s="243"/>
      <c r="K177" s="501">
        <v>15290</v>
      </c>
      <c r="L177" s="502" t="s">
        <v>24</v>
      </c>
      <c r="M177" s="502" t="s">
        <v>40</v>
      </c>
      <c r="N177" s="49" t="str">
        <f>IF(AND('331-CT'!$E$7=TH!H177,OR(L177="331",M177="331")),"331",IF(AND(OR(L177="131",M177="131"),H177='131-CT'!$E$7),"131",""))</f>
        <v/>
      </c>
      <c r="O177" s="49" t="str">
        <f>IF(AND($B177&gt;='111'!$N$11,$B177&lt;='111'!$O$11,OR($L177=$O$7,$M177=$O$7)),"x","")</f>
        <v/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>x</v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49" t="str">
        <f>IF(OR(TH!L177=TH!$V$7,M177=TH!$V$7),"x","")</f>
        <v/>
      </c>
      <c r="W177" s="49" t="str">
        <f>IF(AND(B177&gt;='IN-NX'!$P$3,B177&lt;='IN-NX'!$Q$3,'IN-NX'!$D$7=D177,OR(LEFT(L177,2)="15",AND(LEFT(M177,2)&lt;&gt;"15",LEFT(M177,2)&lt;&gt;"33"))),"x","")</f>
        <v/>
      </c>
      <c r="X177" s="49" t="str">
        <f>IF(AND(OR(LEFT(TH!L177,2)="15",LEFT(TH!M177,2)="15"),'152-CT'!$J$8=TH!F177),"x","")</f>
        <v/>
      </c>
      <c r="Y177" s="49" t="str">
        <f>IF(AND(OR(LEFT(TH!L177,2)="15",LEFT(TH!M177,2)="15"),TK!$E$7=TH!F177),"x","")</f>
        <v/>
      </c>
      <c r="Z177" s="49" t="str">
        <f>IF(AND(B177&lt;=NKC!$N$8,B177&gt;=NKC!$M$8),"x","")</f>
        <v/>
      </c>
      <c r="AA177" s="715"/>
      <c r="AB177" s="493"/>
      <c r="AC177" s="493"/>
      <c r="AD177" s="493"/>
    </row>
    <row r="178" spans="1:30" s="199" customFormat="1" ht="15.75" customHeight="1">
      <c r="A178" s="716" t="str">
        <f>IF(B178&lt;&gt;"",IF(AND(B178&gt;=_TM1,B178&lt;=_TM2,OR(TH!L178="1111",TH!M178="1111")),TH!D178,""),"")</f>
        <v/>
      </c>
      <c r="B178" s="36">
        <f t="shared" si="9"/>
        <v>11</v>
      </c>
      <c r="C178" s="185">
        <f t="shared" si="10"/>
        <v>41238</v>
      </c>
      <c r="D178" s="178" t="s">
        <v>456</v>
      </c>
      <c r="E178" s="178">
        <v>41238</v>
      </c>
      <c r="F178" s="183" t="s">
        <v>446</v>
      </c>
      <c r="G178" s="723" t="s">
        <v>351</v>
      </c>
      <c r="H178" s="187"/>
      <c r="I178" s="243"/>
      <c r="J178" s="243"/>
      <c r="K178" s="501">
        <v>11000</v>
      </c>
      <c r="L178" s="502" t="s">
        <v>83</v>
      </c>
      <c r="M178" s="502" t="s">
        <v>24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/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>x</v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49" t="str">
        <f>IF(OR(TH!L178=TH!$V$7,M178=TH!$V$7),"x","")</f>
        <v/>
      </c>
      <c r="W178" s="49" t="str">
        <f>IF(AND(B178&gt;='IN-NX'!$P$3,B178&lt;='IN-NX'!$Q$3,'IN-NX'!$D$7=D178,OR(LEFT(L178,2)="15",AND(LEFT(M178,2)&lt;&gt;"15",LEFT(M178,2)&lt;&gt;"33"))),"x","")</f>
        <v/>
      </c>
      <c r="X178" s="49" t="str">
        <f>IF(AND(OR(LEFT(TH!L178,2)="15",LEFT(TH!M178,2)="15"),'152-CT'!$J$8=TH!F178),"x","")</f>
        <v/>
      </c>
      <c r="Y178" s="49" t="str">
        <f>IF(AND(OR(LEFT(TH!L178,2)="15",LEFT(TH!M178,2)="15"),TK!$E$7=TH!F178),"x","")</f>
        <v/>
      </c>
      <c r="Z178" s="49" t="str">
        <f>IF(AND(B178&lt;=NKC!$N$8,B178&gt;=NKC!$M$8),"x","")</f>
        <v/>
      </c>
      <c r="AA178" s="715"/>
      <c r="AB178" s="493"/>
      <c r="AC178" s="493"/>
      <c r="AD178" s="493"/>
    </row>
    <row r="179" spans="1:30" s="199" customFormat="1" ht="15.75" customHeight="1">
      <c r="A179" s="716" t="str">
        <f>IF(B179&lt;&gt;"",IF(AND(B179&gt;=_TM1,B179&lt;=_TM2,OR(TH!L179="1111",TH!M179="1111")),TH!D179,""),"")</f>
        <v/>
      </c>
      <c r="B179" s="36">
        <f t="shared" si="9"/>
        <v>11</v>
      </c>
      <c r="C179" s="185">
        <f t="shared" si="10"/>
        <v>41240</v>
      </c>
      <c r="D179" s="178" t="s">
        <v>578</v>
      </c>
      <c r="E179" s="185">
        <v>41240</v>
      </c>
      <c r="F179" s="186" t="s">
        <v>540</v>
      </c>
      <c r="G179" s="724" t="s">
        <v>541</v>
      </c>
      <c r="H179" s="187" t="s">
        <v>542</v>
      </c>
      <c r="I179" s="243">
        <v>800</v>
      </c>
      <c r="J179" s="243">
        <v>5320</v>
      </c>
      <c r="K179" s="501">
        <f>ROUND(I179*J179,0)</f>
        <v>4256000</v>
      </c>
      <c r="L179" s="502" t="s">
        <v>252</v>
      </c>
      <c r="M179" s="502" t="s">
        <v>164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/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49" t="str">
        <f>IF(OR(TH!L179=TH!$V$7,M179=TH!$V$7),"x","")</f>
        <v/>
      </c>
      <c r="W179" s="49" t="str">
        <f>IF(AND(B179&gt;='IN-NX'!$P$3,B179&lt;='IN-NX'!$Q$3,'IN-NX'!$D$7=D179,OR(LEFT(L179,2)="15",AND(LEFT(M179,2)&lt;&gt;"15",LEFT(M179,2)&lt;&gt;"33"))),"x","")</f>
        <v/>
      </c>
      <c r="X179" s="49" t="str">
        <f>IF(AND(OR(LEFT(TH!L179,2)="15",LEFT(TH!M179,2)="15"),'152-CT'!$J$8=TH!F179),"x","")</f>
        <v/>
      </c>
      <c r="Y179" s="49" t="str">
        <f>IF(AND(OR(LEFT(TH!L179,2)="15",LEFT(TH!M179,2)="15"),TK!$E$7=TH!F179),"x","")</f>
        <v/>
      </c>
      <c r="Z179" s="49" t="str">
        <f>IF(AND(B179&lt;=NKC!$N$8,B179&gt;=NKC!$M$8),"x","")</f>
        <v/>
      </c>
      <c r="AA179" s="715"/>
      <c r="AB179" s="493"/>
      <c r="AC179" s="493"/>
      <c r="AD179" s="493"/>
    </row>
    <row r="180" spans="1:30" s="199" customFormat="1" ht="15.75" customHeight="1">
      <c r="A180" s="716" t="str">
        <f>IF(B180&lt;&gt;"",IF(AND(B180&gt;=_TM1,B180&lt;=_TM2,OR(TH!L180="1111",TH!M180="1111")),TH!D180,""),"")</f>
        <v/>
      </c>
      <c r="B180" s="36">
        <f t="shared" si="9"/>
        <v>11</v>
      </c>
      <c r="C180" s="185">
        <f t="shared" si="10"/>
        <v>41240</v>
      </c>
      <c r="D180" s="178" t="s">
        <v>578</v>
      </c>
      <c r="E180" s="185">
        <v>41240</v>
      </c>
      <c r="F180" s="186" t="s">
        <v>543</v>
      </c>
      <c r="G180" s="724" t="s">
        <v>541</v>
      </c>
      <c r="H180" s="187" t="s">
        <v>542</v>
      </c>
      <c r="I180" s="243">
        <v>300</v>
      </c>
      <c r="J180" s="243">
        <v>6340</v>
      </c>
      <c r="K180" s="501">
        <f>ROUND(I180*J180,0)</f>
        <v>1902000</v>
      </c>
      <c r="L180" s="502" t="s">
        <v>252</v>
      </c>
      <c r="M180" s="502" t="s">
        <v>164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/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49" t="str">
        <f>IF(OR(TH!L180=TH!$V$7,M180=TH!$V$7),"x","")</f>
        <v/>
      </c>
      <c r="W180" s="49" t="str">
        <f>IF(AND(B180&gt;='IN-NX'!$P$3,B180&lt;='IN-NX'!$Q$3,'IN-NX'!$D$7=D180,OR(LEFT(L180,2)="15",AND(LEFT(M180,2)&lt;&gt;"15",LEFT(M180,2)&lt;&gt;"33"))),"x","")</f>
        <v/>
      </c>
      <c r="X180" s="49" t="str">
        <f>IF(AND(OR(LEFT(TH!L180,2)="15",LEFT(TH!M180,2)="15"),'152-CT'!$J$8=TH!F180),"x","")</f>
        <v/>
      </c>
      <c r="Y180" s="49" t="str">
        <f>IF(AND(OR(LEFT(TH!L180,2)="15",LEFT(TH!M180,2)="15"),TK!$E$7=TH!F180),"x","")</f>
        <v/>
      </c>
      <c r="Z180" s="49" t="str">
        <f>IF(AND(B180&lt;=NKC!$N$8,B180&gt;=NKC!$M$8),"x","")</f>
        <v/>
      </c>
      <c r="AA180" s="715"/>
      <c r="AB180" s="493"/>
    </row>
    <row r="181" spans="1:30" s="493" customFormat="1" ht="15.75" customHeight="1">
      <c r="A181" s="716" t="str">
        <f>IF(B181&lt;&gt;"",IF(AND(B181&gt;=_TM1,B181&lt;=_TM2,OR(TH!L181="1111",TH!M181="1111")),TH!D181,""),"")</f>
        <v/>
      </c>
      <c r="B181" s="36">
        <f t="shared" si="9"/>
        <v>11</v>
      </c>
      <c r="C181" s="185">
        <f t="shared" si="10"/>
        <v>41240</v>
      </c>
      <c r="D181" s="178" t="s">
        <v>578</v>
      </c>
      <c r="E181" s="185">
        <v>41240</v>
      </c>
      <c r="F181" s="186" t="s">
        <v>544</v>
      </c>
      <c r="G181" s="724" t="s">
        <v>541</v>
      </c>
      <c r="H181" s="187" t="s">
        <v>542</v>
      </c>
      <c r="I181" s="243">
        <v>350</v>
      </c>
      <c r="J181" s="243">
        <v>6600</v>
      </c>
      <c r="K181" s="501">
        <f>ROUND(I181*J181,0)</f>
        <v>2310000</v>
      </c>
      <c r="L181" s="502" t="s">
        <v>252</v>
      </c>
      <c r="M181" s="502" t="s">
        <v>164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/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49" t="str">
        <f>IF(OR(TH!L181=TH!$V$7,M181=TH!$V$7),"x","")</f>
        <v/>
      </c>
      <c r="W181" s="49" t="str">
        <f>IF(AND(B181&gt;='IN-NX'!$P$3,B181&lt;='IN-NX'!$Q$3,'IN-NX'!$D$7=D181,OR(LEFT(L181,2)="15",AND(LEFT(M181,2)&lt;&gt;"15",LEFT(M181,2)&lt;&gt;"33"))),"x","")</f>
        <v/>
      </c>
      <c r="X181" s="49" t="str">
        <f>IF(AND(OR(LEFT(TH!L181,2)="15",LEFT(TH!M181,2)="15"),'152-CT'!$J$8=TH!F181),"x","")</f>
        <v/>
      </c>
      <c r="Y181" s="49" t="str">
        <f>IF(AND(OR(LEFT(TH!L181,2)="15",LEFT(TH!M181,2)="15"),TK!$E$7=TH!F181),"x","")</f>
        <v/>
      </c>
      <c r="Z181" s="49" t="str">
        <f>IF(AND(B181&lt;=NKC!$N$8,B181&gt;=NKC!$M$8),"x","")</f>
        <v/>
      </c>
      <c r="AA181" s="715"/>
      <c r="AC181" s="199"/>
      <c r="AD181" s="199"/>
    </row>
    <row r="182" spans="1:30" s="493" customFormat="1" ht="15.75" customHeight="1">
      <c r="A182" s="716" t="str">
        <f>IF(B182&lt;&gt;"",IF(AND(B182&gt;=_TM1,B182&lt;=_TM2,OR(TH!L182="1111",TH!M182="1111")),TH!D182,""),"")</f>
        <v/>
      </c>
      <c r="B182" s="36">
        <f t="shared" si="9"/>
        <v>11</v>
      </c>
      <c r="C182" s="185">
        <f t="shared" si="10"/>
        <v>41240</v>
      </c>
      <c r="D182" s="178" t="s">
        <v>578</v>
      </c>
      <c r="E182" s="185">
        <v>41240</v>
      </c>
      <c r="F182" s="186" t="s">
        <v>545</v>
      </c>
      <c r="G182" s="724" t="s">
        <v>541</v>
      </c>
      <c r="H182" s="187" t="s">
        <v>542</v>
      </c>
      <c r="I182" s="243">
        <v>500</v>
      </c>
      <c r="J182" s="243">
        <v>7420</v>
      </c>
      <c r="K182" s="501">
        <f>ROUND(I182*J182,0)</f>
        <v>3710000</v>
      </c>
      <c r="L182" s="502" t="s">
        <v>252</v>
      </c>
      <c r="M182" s="502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49" t="str">
        <f>IF(OR(TH!L182=TH!$V$7,M182=TH!$V$7),"x","")</f>
        <v/>
      </c>
      <c r="W182" s="49" t="str">
        <f>IF(AND(B182&gt;='IN-NX'!$P$3,B182&lt;='IN-NX'!$Q$3,'IN-NX'!$D$7=D182,OR(LEFT(L182,2)="15",AND(LEFT(M182,2)&lt;&gt;"15",LEFT(M182,2)&lt;&gt;"33"))),"x","")</f>
        <v/>
      </c>
      <c r="X182" s="49" t="str">
        <f>IF(AND(OR(LEFT(TH!L182,2)="15",LEFT(TH!M182,2)="15"),'152-CT'!$J$8=TH!F182),"x","")</f>
        <v/>
      </c>
      <c r="Y182" s="49" t="str">
        <f>IF(AND(OR(LEFT(TH!L182,2)="15",LEFT(TH!M182,2)="15"),TK!$E$7=TH!F182),"x","")</f>
        <v/>
      </c>
      <c r="Z182" s="49" t="str">
        <f>IF(AND(B182&lt;=NKC!$N$8,B182&gt;=NKC!$M$8),"x","")</f>
        <v/>
      </c>
      <c r="AA182" s="715"/>
      <c r="AC182" s="199"/>
      <c r="AD182" s="199"/>
    </row>
    <row r="183" spans="1:30" s="493" customFormat="1" ht="15.75" customHeight="1">
      <c r="A183" s="716" t="str">
        <f>IF(B183&lt;&gt;"",IF(AND(B183&gt;=_TM1,B183&lt;=_TM2,OR(TH!L183="1111",TH!M183="1111")),TH!D183,""),"")</f>
        <v/>
      </c>
      <c r="B183" s="36">
        <f t="shared" si="9"/>
        <v>11</v>
      </c>
      <c r="C183" s="185">
        <f t="shared" si="10"/>
        <v>41240</v>
      </c>
      <c r="D183" s="178" t="s">
        <v>578</v>
      </c>
      <c r="E183" s="185">
        <v>41240</v>
      </c>
      <c r="F183" s="186" t="s">
        <v>509</v>
      </c>
      <c r="G183" s="724" t="s">
        <v>541</v>
      </c>
      <c r="H183" s="187" t="s">
        <v>542</v>
      </c>
      <c r="I183" s="243"/>
      <c r="J183" s="243"/>
      <c r="K183" s="501">
        <v>1217800</v>
      </c>
      <c r="L183" s="502" t="s">
        <v>252</v>
      </c>
      <c r="M183" s="502" t="s">
        <v>296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49" t="str">
        <f>IF(OR(TH!L183=TH!$V$7,M183=TH!$V$7),"x","")</f>
        <v/>
      </c>
      <c r="W183" s="49" t="str">
        <f>IF(AND(B183&gt;='IN-NX'!$P$3,B183&lt;='IN-NX'!$Q$3,'IN-NX'!$D$7=D183,OR(LEFT(L183,2)="15",AND(LEFT(M183,2)&lt;&gt;"15",LEFT(M183,2)&lt;&gt;"33"))),"x","")</f>
        <v/>
      </c>
      <c r="X183" s="49" t="str">
        <f>IF(AND(OR(LEFT(TH!L183,2)="15",LEFT(TH!M183,2)="15"),'152-CT'!$J$8=TH!F183),"x","")</f>
        <v/>
      </c>
      <c r="Y183" s="49" t="str">
        <f>IF(AND(OR(LEFT(TH!L183,2)="15",LEFT(TH!M183,2)="15"),TK!$E$7=TH!F183),"x","")</f>
        <v/>
      </c>
      <c r="Z183" s="49" t="str">
        <f>IF(AND(B183&lt;=NKC!$N$8,B183&gt;=NKC!$M$8),"x","")</f>
        <v/>
      </c>
      <c r="AA183" s="715"/>
      <c r="AC183" s="199"/>
      <c r="AD183" s="199"/>
    </row>
    <row r="184" spans="1:30" s="493" customFormat="1" ht="15.75" customHeight="1">
      <c r="A184" s="716" t="str">
        <f>IF(B184&lt;&gt;"",IF(AND(B184&gt;=_TM1,B184&lt;=_TM2,OR(TH!L184="1111",TH!M184="1111")),TH!D184,""),"")</f>
        <v>T13</v>
      </c>
      <c r="B184" s="36">
        <f t="shared" si="9"/>
        <v>11</v>
      </c>
      <c r="C184" s="185">
        <f t="shared" si="10"/>
        <v>41240</v>
      </c>
      <c r="D184" s="178" t="s">
        <v>592</v>
      </c>
      <c r="E184" s="185">
        <v>41240</v>
      </c>
      <c r="F184" s="186" t="s">
        <v>447</v>
      </c>
      <c r="G184" s="724" t="s">
        <v>541</v>
      </c>
      <c r="H184" s="187" t="s">
        <v>542</v>
      </c>
      <c r="I184" s="243"/>
      <c r="J184" s="243"/>
      <c r="K184" s="501">
        <v>13395800</v>
      </c>
      <c r="L184" s="502" t="s">
        <v>47</v>
      </c>
      <c r="M184" s="502" t="s">
        <v>252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>x</v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49" t="str">
        <f>IF(OR(TH!L184=TH!$V$7,M184=TH!$V$7),"x","")</f>
        <v/>
      </c>
      <c r="W184" s="49" t="str">
        <f>IF(AND(B184&gt;='IN-NX'!$P$3,B184&lt;='IN-NX'!$Q$3,'IN-NX'!$D$7=D184,OR(LEFT(L184,2)="15",AND(LEFT(M184,2)&lt;&gt;"15",LEFT(M184,2)&lt;&gt;"33"))),"x","")</f>
        <v/>
      </c>
      <c r="X184" s="49" t="str">
        <f>IF(AND(OR(LEFT(TH!L184,2)="15",LEFT(TH!M184,2)="15"),'152-CT'!$J$8=TH!F184),"x","")</f>
        <v/>
      </c>
      <c r="Y184" s="49" t="str">
        <f>IF(AND(OR(LEFT(TH!L184,2)="15",LEFT(TH!M184,2)="15"),TK!$E$7=TH!F184),"x","")</f>
        <v/>
      </c>
      <c r="Z184" s="49" t="str">
        <f>IF(AND(B184&lt;=NKC!$N$8,B184&gt;=NKC!$M$8),"x","")</f>
        <v/>
      </c>
      <c r="AA184" s="715"/>
      <c r="AC184" s="199"/>
      <c r="AD184" s="199"/>
    </row>
    <row r="185" spans="1:30" s="493" customFormat="1" ht="15.75" customHeight="1">
      <c r="A185" s="716" t="str">
        <f>IF(B185&lt;&gt;"",IF(AND(B185&gt;=_TM1,B185&lt;=_TM2,OR(TH!L185="1111",TH!M185="1111")),TH!D185,""),"")</f>
        <v/>
      </c>
      <c r="B185" s="36">
        <f t="shared" si="9"/>
        <v>11</v>
      </c>
      <c r="C185" s="185">
        <f t="shared" si="10"/>
        <v>41242</v>
      </c>
      <c r="D185" s="178" t="s">
        <v>444</v>
      </c>
      <c r="E185" s="178">
        <v>41242</v>
      </c>
      <c r="F185" s="183" t="s">
        <v>447</v>
      </c>
      <c r="G185" s="723" t="s">
        <v>351</v>
      </c>
      <c r="H185" s="187" t="s">
        <v>523</v>
      </c>
      <c r="I185" s="243"/>
      <c r="J185" s="243"/>
      <c r="K185" s="501">
        <v>8415000</v>
      </c>
      <c r="L185" s="502" t="s">
        <v>24</v>
      </c>
      <c r="M185" s="502" t="s">
        <v>252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>x</v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49" t="str">
        <f>IF(OR(TH!L185=TH!$V$7,M185=TH!$V$7),"x","")</f>
        <v/>
      </c>
      <c r="W185" s="49" t="str">
        <f>IF(AND(B185&gt;='IN-NX'!$P$3,B185&lt;='IN-NX'!$Q$3,'IN-NX'!$D$7=D185,OR(LEFT(L185,2)="15",AND(LEFT(M185,2)&lt;&gt;"15",LEFT(M185,2)&lt;&gt;"33"))),"x","")</f>
        <v/>
      </c>
      <c r="X185" s="49" t="str">
        <f>IF(AND(OR(LEFT(TH!L185,2)="15",LEFT(TH!M185,2)="15"),'152-CT'!$J$8=TH!F185),"x","")</f>
        <v/>
      </c>
      <c r="Y185" s="49" t="str">
        <f>IF(AND(OR(LEFT(TH!L185,2)="15",LEFT(TH!M185,2)="15"),TK!$E$7=TH!F185),"x","")</f>
        <v/>
      </c>
      <c r="Z185" s="49" t="str">
        <f>IF(AND(B185&lt;=NKC!$N$8,B185&gt;=NKC!$M$8),"x","")</f>
        <v/>
      </c>
      <c r="AA185" s="715"/>
    </row>
    <row r="186" spans="1:30" s="493" customFormat="1" ht="15.75" customHeight="1">
      <c r="A186" s="716" t="str">
        <f>IF(B186&lt;&gt;"",IF(AND(B186&gt;=_TM1,B186&lt;=_TM2,OR(TH!L186="1111",TH!M186="1111")),TH!D186,""),"")</f>
        <v>C21</v>
      </c>
      <c r="B186" s="36">
        <f t="shared" si="9"/>
        <v>11</v>
      </c>
      <c r="C186" s="185">
        <f t="shared" si="10"/>
        <v>41242</v>
      </c>
      <c r="D186" s="185" t="s">
        <v>293</v>
      </c>
      <c r="E186" s="178">
        <v>41242</v>
      </c>
      <c r="F186" s="183" t="s">
        <v>410</v>
      </c>
      <c r="G186" s="723" t="s">
        <v>412</v>
      </c>
      <c r="H186" s="187" t="s">
        <v>409</v>
      </c>
      <c r="I186" s="243"/>
      <c r="J186" s="243"/>
      <c r="K186" s="37">
        <v>3000000</v>
      </c>
      <c r="L186" s="188" t="s">
        <v>83</v>
      </c>
      <c r="M186" s="188" t="s">
        <v>47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>x</v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49" t="str">
        <f>IF(OR(TH!L186=TH!$V$7,M186=TH!$V$7),"x","")</f>
        <v/>
      </c>
      <c r="W186" s="49" t="str">
        <f>IF(AND(B186&gt;='IN-NX'!$P$3,B186&lt;='IN-NX'!$Q$3,'IN-NX'!$D$7=D186,OR(LEFT(L186,2)="15",AND(LEFT(M186,2)&lt;&gt;"15",LEFT(M186,2)&lt;&gt;"33"))),"x","")</f>
        <v/>
      </c>
      <c r="X186" s="49" t="str">
        <f>IF(AND(OR(LEFT(TH!L186,2)="15",LEFT(TH!M186,2)="15"),'152-CT'!$J$8=TH!F186),"x","")</f>
        <v/>
      </c>
      <c r="Y186" s="49" t="str">
        <f>IF(AND(OR(LEFT(TH!L186,2)="15",LEFT(TH!M186,2)="15"),TK!$E$7=TH!F186),"x","")</f>
        <v/>
      </c>
      <c r="Z186" s="49" t="str">
        <f>IF(AND(B186&lt;=NKC!$N$8,B186&gt;=NKC!$M$8),"x","")</f>
        <v/>
      </c>
      <c r="AA186" s="715"/>
      <c r="AC186" s="199"/>
      <c r="AD186" s="199"/>
    </row>
    <row r="187" spans="1:30" s="493" customFormat="1" ht="15.75" customHeight="1">
      <c r="A187" s="716" t="str">
        <f>IF(B187&lt;&gt;"",IF(AND(B187&gt;=_TM1,B187&lt;=_TM2,OR(TH!L187="1111",TH!M187="1111")),TH!D187,""),"")</f>
        <v>C21</v>
      </c>
      <c r="B187" s="36">
        <f t="shared" si="9"/>
        <v>11</v>
      </c>
      <c r="C187" s="185">
        <f t="shared" si="10"/>
        <v>41242</v>
      </c>
      <c r="D187" s="185" t="s">
        <v>293</v>
      </c>
      <c r="E187" s="178">
        <v>41242</v>
      </c>
      <c r="F187" s="183" t="s">
        <v>411</v>
      </c>
      <c r="G187" s="723" t="s">
        <v>412</v>
      </c>
      <c r="H187" s="187" t="s">
        <v>409</v>
      </c>
      <c r="I187" s="243"/>
      <c r="J187" s="243"/>
      <c r="K187" s="37">
        <v>300000</v>
      </c>
      <c r="L187" s="188" t="s">
        <v>9</v>
      </c>
      <c r="M187" s="188" t="s">
        <v>47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>x</v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49" t="str">
        <f>IF(OR(TH!L187=TH!$V$7,M187=TH!$V$7),"x","")</f>
        <v/>
      </c>
      <c r="W187" s="49" t="str">
        <f>IF(AND(B187&gt;='IN-NX'!$P$3,B187&lt;='IN-NX'!$Q$3,'IN-NX'!$D$7=D187,OR(LEFT(L187,2)="15",AND(LEFT(M187,2)&lt;&gt;"15",LEFT(M187,2)&lt;&gt;"33"))),"x","")</f>
        <v/>
      </c>
      <c r="X187" s="49" t="str">
        <f>IF(AND(OR(LEFT(TH!L187,2)="15",LEFT(TH!M187,2)="15"),'152-CT'!$J$8=TH!F187),"x","")</f>
        <v/>
      </c>
      <c r="Y187" s="49" t="str">
        <f>IF(AND(OR(LEFT(TH!L187,2)="15",LEFT(TH!M187,2)="15"),TK!$E$7=TH!F187),"x","")</f>
        <v/>
      </c>
      <c r="Z187" s="49" t="str">
        <f>IF(AND(B187&lt;=NKC!$N$8,B187&gt;=NKC!$M$8),"x","")</f>
        <v/>
      </c>
      <c r="AA187" s="715"/>
      <c r="AC187" s="199"/>
      <c r="AD187" s="199"/>
    </row>
    <row r="188" spans="1:30" s="493" customFormat="1" ht="15.75" customHeight="1">
      <c r="A188" s="716" t="str">
        <f>IF(B188&lt;&gt;"",IF(AND(B188&gt;=_TM1,B188&lt;=_TM2,OR(TH!L188="1111",TH!M188="1111")),TH!D188,""),"")</f>
        <v/>
      </c>
      <c r="B188" s="36">
        <f t="shared" si="9"/>
        <v>11</v>
      </c>
      <c r="C188" s="185">
        <f t="shared" si="10"/>
        <v>41243</v>
      </c>
      <c r="D188" s="185" t="s">
        <v>271</v>
      </c>
      <c r="E188" s="185">
        <v>41243</v>
      </c>
      <c r="F188" s="186" t="s">
        <v>771</v>
      </c>
      <c r="G188" s="724"/>
      <c r="H188" s="187"/>
      <c r="I188" s="243"/>
      <c r="J188" s="243"/>
      <c r="K188" s="501">
        <v>9600000</v>
      </c>
      <c r="L188" s="502" t="s">
        <v>83</v>
      </c>
      <c r="M188" s="502" t="s">
        <v>254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/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49" t="str">
        <f>IF(OR(TH!L188=TH!$V$7,M188=TH!$V$7),"x","")</f>
        <v/>
      </c>
      <c r="W188" s="49" t="str">
        <f>IF(AND(B188&gt;='IN-NX'!$P$3,B188&lt;='IN-NX'!$Q$3,'IN-NX'!$D$7=D188,OR(LEFT(L188,2)="15",AND(LEFT(M188,2)&lt;&gt;"15",LEFT(M188,2)&lt;&gt;"33"))),"x","")</f>
        <v/>
      </c>
      <c r="X188" s="49" t="str">
        <f>IF(AND(OR(LEFT(TH!L188,2)="15",LEFT(TH!M188,2)="15"),'152-CT'!$J$8=TH!F188),"x","")</f>
        <v/>
      </c>
      <c r="Y188" s="49" t="str">
        <f>IF(AND(OR(LEFT(TH!L188,2)="15",LEFT(TH!M188,2)="15"),TK!$E$7=TH!F188),"x","")</f>
        <v/>
      </c>
      <c r="Z188" s="49" t="str">
        <f>IF(AND(B188&lt;=NKC!$N$8,B188&gt;=NKC!$M$8),"x","")</f>
        <v/>
      </c>
      <c r="AA188" s="715"/>
      <c r="AC188" s="199"/>
      <c r="AD188" s="199"/>
    </row>
    <row r="189" spans="1:30" s="493" customFormat="1" ht="15.75" customHeight="1">
      <c r="A189" s="716" t="str">
        <f>IF(B189&lt;&gt;"",IF(AND(B189&gt;=_TM1,B189&lt;=_TM2,OR(TH!L189="1111",TH!M189="1111")),TH!D189,""),"")</f>
        <v/>
      </c>
      <c r="B189" s="36">
        <f t="shared" si="9"/>
        <v>11</v>
      </c>
      <c r="C189" s="185">
        <f t="shared" si="10"/>
        <v>41243</v>
      </c>
      <c r="D189" s="185" t="s">
        <v>271</v>
      </c>
      <c r="E189" s="185">
        <v>41243</v>
      </c>
      <c r="F189" s="186" t="s">
        <v>770</v>
      </c>
      <c r="G189" s="724"/>
      <c r="H189" s="187"/>
      <c r="I189" s="243"/>
      <c r="J189" s="243"/>
      <c r="K189" s="501">
        <v>5685000</v>
      </c>
      <c r="L189" s="502" t="s">
        <v>160</v>
      </c>
      <c r="M189" s="502" t="s">
        <v>254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/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49" t="str">
        <f>IF(OR(TH!L189=TH!$V$7,M189=TH!$V$7),"x","")</f>
        <v/>
      </c>
      <c r="W189" s="49" t="str">
        <f>IF(AND(B189&gt;='IN-NX'!$P$3,B189&lt;='IN-NX'!$Q$3,'IN-NX'!$D$7=D189,OR(LEFT(L189,2)="15",AND(LEFT(M189,2)&lt;&gt;"15",LEFT(M189,2)&lt;&gt;"33"))),"x","")</f>
        <v/>
      </c>
      <c r="X189" s="49" t="str">
        <f>IF(AND(OR(LEFT(TH!L189,2)="15",LEFT(TH!M189,2)="15"),'152-CT'!$J$8=TH!F189),"x","")</f>
        <v/>
      </c>
      <c r="Y189" s="49" t="str">
        <f>IF(AND(OR(LEFT(TH!L189,2)="15",LEFT(TH!M189,2)="15"),TK!$E$7=TH!F189),"x","")</f>
        <v/>
      </c>
      <c r="Z189" s="49" t="str">
        <f>IF(AND(B189&lt;=NKC!$N$8,B189&gt;=NKC!$M$8),"x","")</f>
        <v/>
      </c>
      <c r="AA189" s="715"/>
      <c r="AC189" s="199"/>
      <c r="AD189" s="199"/>
    </row>
    <row r="190" spans="1:30" s="493" customFormat="1" ht="15.75" customHeight="1">
      <c r="A190" s="716" t="str">
        <f>IF(B190&lt;&gt;"",IF(AND(B190&gt;=_TM1,B190&lt;=_TM2,OR(TH!L190="1111",TH!M190="1111")),TH!D190,""),"")</f>
        <v>C22</v>
      </c>
      <c r="B190" s="36">
        <f t="shared" si="9"/>
        <v>11</v>
      </c>
      <c r="C190" s="185">
        <f t="shared" si="10"/>
        <v>41243</v>
      </c>
      <c r="D190" s="185" t="s">
        <v>489</v>
      </c>
      <c r="E190" s="185">
        <v>41243</v>
      </c>
      <c r="F190" s="186" t="s">
        <v>774</v>
      </c>
      <c r="G190" s="724"/>
      <c r="H190" s="187" t="s">
        <v>763</v>
      </c>
      <c r="I190" s="243"/>
      <c r="J190" s="243"/>
      <c r="K190" s="501">
        <f>K188+K189</f>
        <v>15285000</v>
      </c>
      <c r="L190" s="502" t="s">
        <v>254</v>
      </c>
      <c r="M190" s="502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>x</v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49" t="str">
        <f>IF(OR(TH!L190=TH!$V$7,M190=TH!$V$7),"x","")</f>
        <v/>
      </c>
      <c r="W190" s="49" t="str">
        <f>IF(AND(B190&gt;='IN-NX'!$P$3,B190&lt;='IN-NX'!$Q$3,'IN-NX'!$D$7=D190,OR(LEFT(L190,2)="15",AND(LEFT(M190,2)&lt;&gt;"15",LEFT(M190,2)&lt;&gt;"33"))),"x","")</f>
        <v/>
      </c>
      <c r="X190" s="49" t="str">
        <f>IF(AND(OR(LEFT(TH!L190,2)="15",LEFT(TH!M190,2)="15"),'152-CT'!$J$8=TH!F190),"x","")</f>
        <v/>
      </c>
      <c r="Y190" s="49" t="str">
        <f>IF(AND(OR(LEFT(TH!L190,2)="15",LEFT(TH!M190,2)="15"),TK!$E$7=TH!F190),"x","")</f>
        <v/>
      </c>
      <c r="Z190" s="49" t="str">
        <f>IF(AND(B190&lt;=NKC!$N$8,B190&gt;=NKC!$M$8),"x","")</f>
        <v/>
      </c>
      <c r="AA190" s="715"/>
      <c r="AC190" s="199"/>
      <c r="AD190" s="199"/>
    </row>
    <row r="191" spans="1:30" s="493" customFormat="1" ht="15.75" customHeight="1">
      <c r="A191" s="716" t="str">
        <f>IF(B191&lt;&gt;"",IF(AND(B191&gt;=_TM1,B191&lt;=_TM2,OR(TH!L191="1111",TH!M191="1111")),TH!D191,""),"")</f>
        <v>C23</v>
      </c>
      <c r="B191" s="36">
        <f t="shared" si="9"/>
        <v>12</v>
      </c>
      <c r="C191" s="185">
        <f t="shared" si="10"/>
        <v>41244</v>
      </c>
      <c r="D191" s="185" t="s">
        <v>491</v>
      </c>
      <c r="E191" s="178">
        <v>41244</v>
      </c>
      <c r="F191" s="183" t="s">
        <v>414</v>
      </c>
      <c r="G191" s="723" t="s">
        <v>413</v>
      </c>
      <c r="H191" s="7" t="s">
        <v>393</v>
      </c>
      <c r="I191" s="243"/>
      <c r="J191" s="243"/>
      <c r="K191" s="37">
        <v>1713000</v>
      </c>
      <c r="L191" s="188" t="s">
        <v>160</v>
      </c>
      <c r="M191" s="188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>x</v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49" t="str">
        <f>IF(OR(TH!L191=TH!$V$7,M191=TH!$V$7),"x","")</f>
        <v/>
      </c>
      <c r="W191" s="49" t="str">
        <f>IF(AND(B191&gt;='IN-NX'!$P$3,B191&lt;='IN-NX'!$Q$3,'IN-NX'!$D$7=D191,OR(LEFT(L191,2)="15",AND(LEFT(M191,2)&lt;&gt;"15",LEFT(M191,2)&lt;&gt;"33"))),"x","")</f>
        <v/>
      </c>
      <c r="X191" s="49" t="str">
        <f>IF(AND(OR(LEFT(TH!L191,2)="15",LEFT(TH!M191,2)="15"),'152-CT'!$J$8=TH!F191),"x","")</f>
        <v/>
      </c>
      <c r="Y191" s="49" t="str">
        <f>IF(AND(OR(LEFT(TH!L191,2)="15",LEFT(TH!M191,2)="15"),TK!$E$7=TH!F191),"x","")</f>
        <v/>
      </c>
      <c r="Z191" s="49" t="str">
        <f>IF(AND(B191&lt;=NKC!$N$8,B191&gt;=NKC!$M$8),"x","")</f>
        <v/>
      </c>
      <c r="AA191" s="715"/>
      <c r="AC191" s="199"/>
      <c r="AD191" s="199"/>
    </row>
    <row r="192" spans="1:30" s="493" customFormat="1" ht="15.75" customHeight="1">
      <c r="A192" s="716" t="str">
        <f>IF(B192&lt;&gt;"",IF(AND(B192&gt;=_TM1,B192&lt;=_TM2,OR(TH!L192="1111",TH!M192="1111")),TH!D192,""),"")</f>
        <v/>
      </c>
      <c r="B192" s="36">
        <f t="shared" si="9"/>
        <v>12</v>
      </c>
      <c r="C192" s="185">
        <f t="shared" si="10"/>
        <v>41246</v>
      </c>
      <c r="D192" s="178" t="s">
        <v>490</v>
      </c>
      <c r="E192" s="178">
        <v>41246</v>
      </c>
      <c r="F192" s="183" t="s">
        <v>437</v>
      </c>
      <c r="G192" s="724" t="s">
        <v>560</v>
      </c>
      <c r="H192" s="7" t="s">
        <v>363</v>
      </c>
      <c r="I192" s="243">
        <v>500</v>
      </c>
      <c r="J192" s="243">
        <v>12194</v>
      </c>
      <c r="K192" s="37">
        <f>ROUND(I192*J192,0)</f>
        <v>6097000</v>
      </c>
      <c r="L192" s="188" t="s">
        <v>352</v>
      </c>
      <c r="M192" s="188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49" t="str">
        <f>IF(OR(TH!L192=TH!$V$7,M192=TH!$V$7),"x","")</f>
        <v/>
      </c>
      <c r="W192" s="49" t="str">
        <f>IF(AND(B192&gt;='IN-NX'!$P$3,B192&lt;='IN-NX'!$Q$3,'IN-NX'!$D$7=D192,OR(LEFT(L192,2)="15",AND(LEFT(M192,2)&lt;&gt;"15",LEFT(M192,2)&lt;&gt;"33"))),"x","")</f>
        <v/>
      </c>
      <c r="X192" s="49" t="str">
        <f>IF(AND(OR(LEFT(TH!L192,2)="15",LEFT(TH!M192,2)="15"),'152-CT'!$J$8=TH!F192),"x","")</f>
        <v/>
      </c>
      <c r="Y192" s="49" t="str">
        <f>IF(AND(OR(LEFT(TH!L192,2)="15",LEFT(TH!M192,2)="15"),TK!$E$7=TH!F192),"x","")</f>
        <v/>
      </c>
      <c r="Z192" s="49" t="str">
        <f>IF(AND(B192&lt;=NKC!$N$8,B192&gt;=NKC!$M$8),"x","")</f>
        <v/>
      </c>
      <c r="AA192" s="715"/>
    </row>
    <row r="193" spans="1:30" s="493" customFormat="1" ht="15.75" customHeight="1">
      <c r="A193" s="716" t="str">
        <f>IF(B193&lt;&gt;"",IF(AND(B193&gt;=_TM1,B193&lt;=_TM2,OR(TH!L193="1111",TH!M193="1111")),TH!D193,""),"")</f>
        <v/>
      </c>
      <c r="B193" s="36">
        <f t="shared" si="9"/>
        <v>12</v>
      </c>
      <c r="C193" s="185">
        <f t="shared" si="10"/>
        <v>41246</v>
      </c>
      <c r="D193" s="178" t="s">
        <v>490</v>
      </c>
      <c r="E193" s="178">
        <v>41246</v>
      </c>
      <c r="F193" s="183" t="s">
        <v>438</v>
      </c>
      <c r="G193" s="724" t="s">
        <v>560</v>
      </c>
      <c r="H193" s="7" t="s">
        <v>363</v>
      </c>
      <c r="I193" s="243">
        <v>750</v>
      </c>
      <c r="J193" s="243">
        <v>9672</v>
      </c>
      <c r="K193" s="37">
        <f>ROUND(I193*J193,0)</f>
        <v>7254000</v>
      </c>
      <c r="L193" s="188" t="s">
        <v>352</v>
      </c>
      <c r="M193" s="188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49" t="str">
        <f>IF(OR(TH!L193=TH!$V$7,M193=TH!$V$7),"x","")</f>
        <v/>
      </c>
      <c r="W193" s="49" t="str">
        <f>IF(AND(B193&gt;='IN-NX'!$P$3,B193&lt;='IN-NX'!$Q$3,'IN-NX'!$D$7=D193,OR(LEFT(L193,2)="15",AND(LEFT(M193,2)&lt;&gt;"15",LEFT(M193,2)&lt;&gt;"33"))),"x","")</f>
        <v/>
      </c>
      <c r="X193" s="49" t="str">
        <f>IF(AND(OR(LEFT(TH!L193,2)="15",LEFT(TH!M193,2)="15"),'152-CT'!$J$8=TH!F193),"x","")</f>
        <v/>
      </c>
      <c r="Y193" s="49" t="str">
        <f>IF(AND(OR(LEFT(TH!L193,2)="15",LEFT(TH!M193,2)="15"),TK!$E$7=TH!F193),"x","")</f>
        <v/>
      </c>
      <c r="Z193" s="49" t="str">
        <f>IF(AND(B193&lt;=NKC!$N$8,B193&gt;=NKC!$M$8),"x","")</f>
        <v/>
      </c>
      <c r="AA193" s="715"/>
    </row>
    <row r="194" spans="1:30" s="493" customFormat="1" ht="15.75" customHeight="1">
      <c r="A194" s="716" t="str">
        <f>IF(B194&lt;&gt;"",IF(AND(B194&gt;=_TM1,B194&lt;=_TM2,OR(TH!L194="1111",TH!M194="1111")),TH!D194,""),"")</f>
        <v/>
      </c>
      <c r="B194" s="36">
        <f t="shared" si="9"/>
        <v>12</v>
      </c>
      <c r="C194" s="185">
        <f t="shared" si="10"/>
        <v>41246</v>
      </c>
      <c r="D194" s="178" t="s">
        <v>490</v>
      </c>
      <c r="E194" s="178">
        <v>41246</v>
      </c>
      <c r="F194" s="183" t="s">
        <v>365</v>
      </c>
      <c r="G194" s="724" t="s">
        <v>560</v>
      </c>
      <c r="H194" s="7" t="s">
        <v>363</v>
      </c>
      <c r="I194" s="243"/>
      <c r="J194" s="243"/>
      <c r="K194" s="37">
        <v>1335100</v>
      </c>
      <c r="L194" s="188" t="s">
        <v>9</v>
      </c>
      <c r="M194" s="188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49" t="str">
        <f>IF(OR(TH!L194=TH!$V$7,M194=TH!$V$7),"x","")</f>
        <v/>
      </c>
      <c r="W194" s="49" t="str">
        <f>IF(AND(B194&gt;='IN-NX'!$P$3,B194&lt;='IN-NX'!$Q$3,'IN-NX'!$D$7=D194,OR(LEFT(L194,2)="15",AND(LEFT(M194,2)&lt;&gt;"15",LEFT(M194,2)&lt;&gt;"33"))),"x","")</f>
        <v/>
      </c>
      <c r="X194" s="49" t="str">
        <f>IF(AND(OR(LEFT(TH!L194,2)="15",LEFT(TH!M194,2)="15"),'152-CT'!$J$8=TH!F194),"x","")</f>
        <v/>
      </c>
      <c r="Y194" s="49" t="str">
        <f>IF(AND(OR(LEFT(TH!L194,2)="15",LEFT(TH!M194,2)="15"),TK!$E$7=TH!F194),"x","")</f>
        <v/>
      </c>
      <c r="Z194" s="49" t="str">
        <f>IF(AND(B194&lt;=NKC!$N$8,B194&gt;=NKC!$M$8),"x","")</f>
        <v/>
      </c>
      <c r="AA194" s="715">
        <v>12</v>
      </c>
    </row>
    <row r="195" spans="1:30" s="493" customFormat="1" ht="15.75" customHeight="1">
      <c r="A195" s="716" t="str">
        <f>IF(B195&lt;&gt;"",IF(AND(B195&gt;=_TM1,B195&lt;=_TM2,OR(TH!L195="1111",TH!M195="1111")),TH!D195,""),"")</f>
        <v>C24</v>
      </c>
      <c r="B195" s="36">
        <f t="shared" si="9"/>
        <v>12</v>
      </c>
      <c r="C195" s="185">
        <f t="shared" si="10"/>
        <v>41246</v>
      </c>
      <c r="D195" s="185" t="s">
        <v>294</v>
      </c>
      <c r="E195" s="178">
        <v>41246</v>
      </c>
      <c r="F195" s="183" t="s">
        <v>457</v>
      </c>
      <c r="G195" s="724" t="s">
        <v>560</v>
      </c>
      <c r="H195" s="7" t="s">
        <v>363</v>
      </c>
      <c r="I195" s="243"/>
      <c r="J195" s="243"/>
      <c r="K195" s="37">
        <v>14686100</v>
      </c>
      <c r="L195" s="188" t="s">
        <v>8</v>
      </c>
      <c r="M195" s="188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>x</v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49" t="str">
        <f>IF(OR(TH!L195=TH!$V$7,M195=TH!$V$7),"x","")</f>
        <v/>
      </c>
      <c r="W195" s="49" t="str">
        <f>IF(AND(B195&gt;='IN-NX'!$P$3,B195&lt;='IN-NX'!$Q$3,'IN-NX'!$D$7=D195,OR(LEFT(L195,2)="15",AND(LEFT(M195,2)&lt;&gt;"15",LEFT(M195,2)&lt;&gt;"33"))),"x","")</f>
        <v/>
      </c>
      <c r="X195" s="49" t="str">
        <f>IF(AND(OR(LEFT(TH!L195,2)="15",LEFT(TH!M195,2)="15"),'152-CT'!$J$8=TH!F195),"x","")</f>
        <v/>
      </c>
      <c r="Y195" s="49" t="str">
        <f>IF(AND(OR(LEFT(TH!L195,2)="15",LEFT(TH!M195,2)="15"),TK!$E$7=TH!F195),"x","")</f>
        <v/>
      </c>
      <c r="Z195" s="49" t="str">
        <f>IF(AND(B195&lt;=NKC!$N$8,B195&gt;=NKC!$M$8),"x","")</f>
        <v/>
      </c>
      <c r="AA195" s="715"/>
      <c r="AC195" s="199"/>
      <c r="AD195" s="199"/>
    </row>
    <row r="196" spans="1:30" s="493" customFormat="1" ht="15.75" customHeight="1">
      <c r="A196" s="716" t="str">
        <f>IF(B196&lt;&gt;"",IF(AND(B196&gt;=_TM1,B196&lt;=_TM2,OR(TH!L196="1111",TH!M196="1111")),TH!D196,""),"")</f>
        <v/>
      </c>
      <c r="B196" s="36">
        <f t="shared" si="9"/>
        <v>12</v>
      </c>
      <c r="C196" s="185">
        <f t="shared" si="10"/>
        <v>41247</v>
      </c>
      <c r="D196" s="178" t="s">
        <v>579</v>
      </c>
      <c r="E196" s="185">
        <v>41247</v>
      </c>
      <c r="F196" s="186" t="s">
        <v>546</v>
      </c>
      <c r="G196" s="724" t="s">
        <v>547</v>
      </c>
      <c r="H196" s="187" t="s">
        <v>523</v>
      </c>
      <c r="I196" s="243">
        <v>1000</v>
      </c>
      <c r="J196" s="243">
        <v>7425</v>
      </c>
      <c r="K196" s="501">
        <f>ROUND(I196*J196,0)</f>
        <v>7425000</v>
      </c>
      <c r="L196" s="502" t="s">
        <v>252</v>
      </c>
      <c r="M196" s="502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49" t="str">
        <f>IF(OR(TH!L196=TH!$V$7,M196=TH!$V$7),"x","")</f>
        <v/>
      </c>
      <c r="W196" s="49" t="str">
        <f>IF(AND(B196&gt;='IN-NX'!$P$3,B196&lt;='IN-NX'!$Q$3,'IN-NX'!$D$7=D196,OR(LEFT(L196,2)="15",AND(LEFT(M196,2)&lt;&gt;"15",LEFT(M196,2)&lt;&gt;"33"))),"x","")</f>
        <v/>
      </c>
      <c r="X196" s="49" t="str">
        <f>IF(AND(OR(LEFT(TH!L196,2)="15",LEFT(TH!M196,2)="15"),'152-CT'!$J$8=TH!F196),"x","")</f>
        <v/>
      </c>
      <c r="Y196" s="49" t="str">
        <f>IF(AND(OR(LEFT(TH!L196,2)="15",LEFT(TH!M196,2)="15"),TK!$E$7=TH!F196),"x","")</f>
        <v/>
      </c>
      <c r="Z196" s="49" t="str">
        <f>IF(AND(B196&lt;=NKC!$N$8,B196&gt;=NKC!$M$8),"x","")</f>
        <v/>
      </c>
      <c r="AA196" s="715"/>
      <c r="AC196" s="199"/>
      <c r="AD196" s="199"/>
    </row>
    <row r="197" spans="1:30" s="493" customFormat="1" ht="15.75" customHeight="1">
      <c r="A197" s="716" t="str">
        <f>IF(B197&lt;&gt;"",IF(AND(B197&gt;=_TM1,B197&lt;=_TM2,OR(TH!L197="1111",TH!M197="1111")),TH!D197,""),"")</f>
        <v/>
      </c>
      <c r="B197" s="36">
        <f t="shared" si="9"/>
        <v>12</v>
      </c>
      <c r="C197" s="185">
        <f t="shared" si="10"/>
        <v>41247</v>
      </c>
      <c r="D197" s="178" t="s">
        <v>579</v>
      </c>
      <c r="E197" s="185">
        <v>41247</v>
      </c>
      <c r="F197" s="186" t="s">
        <v>526</v>
      </c>
      <c r="G197" s="724" t="s">
        <v>547</v>
      </c>
      <c r="H197" s="187" t="s">
        <v>523</v>
      </c>
      <c r="I197" s="243">
        <v>500</v>
      </c>
      <c r="J197" s="243">
        <v>15500</v>
      </c>
      <c r="K197" s="501">
        <f>ROUND(I197*J197,0)</f>
        <v>7750000</v>
      </c>
      <c r="L197" s="502" t="s">
        <v>252</v>
      </c>
      <c r="M197" s="502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49" t="str">
        <f>IF(OR(TH!L197=TH!$V$7,M197=TH!$V$7),"x","")</f>
        <v/>
      </c>
      <c r="W197" s="49" t="str">
        <f>IF(AND(B197&gt;='IN-NX'!$P$3,B197&lt;='IN-NX'!$Q$3,'IN-NX'!$D$7=D197,OR(LEFT(L197,2)="15",AND(LEFT(M197,2)&lt;&gt;"15",LEFT(M197,2)&lt;&gt;"33"))),"x","")</f>
        <v/>
      </c>
      <c r="X197" s="49" t="str">
        <f>IF(AND(OR(LEFT(TH!L197,2)="15",LEFT(TH!M197,2)="15"),'152-CT'!$J$8=TH!F197),"x","")</f>
        <v/>
      </c>
      <c r="Y197" s="49" t="str">
        <f>IF(AND(OR(LEFT(TH!L197,2)="15",LEFT(TH!M197,2)="15"),TK!$E$7=TH!F197),"x","")</f>
        <v/>
      </c>
      <c r="Z197" s="49" t="str">
        <f>IF(AND(B197&lt;=NKC!$N$8,B197&gt;=NKC!$M$8),"x","")</f>
        <v/>
      </c>
      <c r="AA197" s="715"/>
      <c r="AC197" s="199"/>
      <c r="AD197" s="199"/>
    </row>
    <row r="198" spans="1:30" s="493" customFormat="1" ht="15.75" customHeight="1">
      <c r="A198" s="716" t="str">
        <f>IF(B198&lt;&gt;"",IF(AND(B198&gt;=_TM1,B198&lt;=_TM2,OR(TH!L198="1111",TH!M198="1111")),TH!D198,""),"")</f>
        <v/>
      </c>
      <c r="B198" s="36">
        <f t="shared" si="9"/>
        <v>12</v>
      </c>
      <c r="C198" s="185">
        <f t="shared" si="10"/>
        <v>41247</v>
      </c>
      <c r="D198" s="178" t="s">
        <v>579</v>
      </c>
      <c r="E198" s="185">
        <v>41247</v>
      </c>
      <c r="F198" s="186" t="s">
        <v>509</v>
      </c>
      <c r="G198" s="724" t="s">
        <v>547</v>
      </c>
      <c r="H198" s="187" t="s">
        <v>523</v>
      </c>
      <c r="I198" s="243"/>
      <c r="J198" s="243"/>
      <c r="K198" s="501">
        <v>1517500</v>
      </c>
      <c r="L198" s="502" t="s">
        <v>252</v>
      </c>
      <c r="M198" s="502" t="s">
        <v>296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49" t="str">
        <f>IF(OR(TH!L198=TH!$V$7,M198=TH!$V$7),"x","")</f>
        <v/>
      </c>
      <c r="W198" s="49" t="str">
        <f>IF(AND(B198&gt;='IN-NX'!$P$3,B198&lt;='IN-NX'!$Q$3,'IN-NX'!$D$7=D198,OR(LEFT(L198,2)="15",AND(LEFT(M198,2)&lt;&gt;"15",LEFT(M198,2)&lt;&gt;"33"))),"x","")</f>
        <v/>
      </c>
      <c r="X198" s="49" t="str">
        <f>IF(AND(OR(LEFT(TH!L198,2)="15",LEFT(TH!M198,2)="15"),'152-CT'!$J$8=TH!F198),"x","")</f>
        <v/>
      </c>
      <c r="Y198" s="49" t="str">
        <f>IF(AND(OR(LEFT(TH!L198,2)="15",LEFT(TH!M198,2)="15"),TK!$E$7=TH!F198),"x","")</f>
        <v/>
      </c>
      <c r="Z198" s="49" t="str">
        <f>IF(AND(B198&lt;=NKC!$N$8,B198&gt;=NKC!$M$8),"x","")</f>
        <v/>
      </c>
      <c r="AA198" s="715"/>
      <c r="AC198" s="199"/>
      <c r="AD198" s="199"/>
    </row>
    <row r="199" spans="1:30" s="493" customFormat="1" ht="15.75" customHeight="1">
      <c r="A199" s="716" t="str">
        <f>IF(B199&lt;&gt;"",IF(AND(B199&gt;=_TM1,B199&lt;=_TM2,OR(TH!L199="1111",TH!M199="1111")),TH!D199,""),"")</f>
        <v>T14</v>
      </c>
      <c r="B199" s="36">
        <f t="shared" si="9"/>
        <v>12</v>
      </c>
      <c r="C199" s="185">
        <f t="shared" si="10"/>
        <v>41250</v>
      </c>
      <c r="D199" s="178" t="s">
        <v>593</v>
      </c>
      <c r="E199" s="178">
        <v>41250</v>
      </c>
      <c r="F199" s="183" t="s">
        <v>449</v>
      </c>
      <c r="G199" s="723" t="s">
        <v>351</v>
      </c>
      <c r="H199" s="187" t="s">
        <v>454</v>
      </c>
      <c r="I199" s="243"/>
      <c r="J199" s="243"/>
      <c r="K199" s="501">
        <v>8400000</v>
      </c>
      <c r="L199" s="502" t="s">
        <v>47</v>
      </c>
      <c r="M199" s="502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>x</v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49" t="str">
        <f>IF(OR(TH!L199=TH!$V$7,M199=TH!$V$7),"x","")</f>
        <v/>
      </c>
      <c r="W199" s="49" t="str">
        <f>IF(AND(B199&gt;='IN-NX'!$P$3,B199&lt;='IN-NX'!$Q$3,'IN-NX'!$D$7=D199,OR(LEFT(L199,2)="15",AND(LEFT(M199,2)&lt;&gt;"15",LEFT(M199,2)&lt;&gt;"33"))),"x","")</f>
        <v/>
      </c>
      <c r="X199" s="49" t="str">
        <f>IF(AND(OR(LEFT(TH!L199,2)="15",LEFT(TH!M199,2)="15"),'152-CT'!$J$8=TH!F199),"x","")</f>
        <v/>
      </c>
      <c r="Y199" s="49" t="str">
        <f>IF(AND(OR(LEFT(TH!L199,2)="15",LEFT(TH!M199,2)="15"),TK!$E$7=TH!F199),"x","")</f>
        <v/>
      </c>
      <c r="Z199" s="49" t="str">
        <f>IF(AND(B199&lt;=NKC!$N$8,B199&gt;=NKC!$M$8),"x","")</f>
        <v/>
      </c>
      <c r="AA199" s="715"/>
    </row>
    <row r="200" spans="1:30" s="493" customFormat="1" ht="15.75" customHeight="1">
      <c r="A200" s="716" t="str">
        <f>IF(B200&lt;&gt;"",IF(AND(B200&gt;=_TM1,B200&lt;=_TM2,OR(TH!L200="1111",TH!M200="1111")),TH!D200,""),"")</f>
        <v/>
      </c>
      <c r="B200" s="36">
        <f t="shared" si="9"/>
        <v>12</v>
      </c>
      <c r="C200" s="185">
        <f t="shared" si="10"/>
        <v>41250</v>
      </c>
      <c r="D200" s="178" t="s">
        <v>580</v>
      </c>
      <c r="E200" s="185">
        <v>41250</v>
      </c>
      <c r="F200" s="186" t="s">
        <v>520</v>
      </c>
      <c r="G200" s="724" t="s">
        <v>548</v>
      </c>
      <c r="H200" s="187" t="s">
        <v>453</v>
      </c>
      <c r="I200" s="243">
        <v>1520</v>
      </c>
      <c r="J200" s="243">
        <v>5800</v>
      </c>
      <c r="K200" s="501">
        <f>ROUND(I200*J200,0)</f>
        <v>8816000</v>
      </c>
      <c r="L200" s="502" t="s">
        <v>252</v>
      </c>
      <c r="M200" s="502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49" t="str">
        <f>IF(OR(TH!L200=TH!$V$7,M200=TH!$V$7),"x","")</f>
        <v/>
      </c>
      <c r="W200" s="49" t="str">
        <f>IF(AND(B200&gt;='IN-NX'!$P$3,B200&lt;='IN-NX'!$Q$3,'IN-NX'!$D$7=D200,OR(LEFT(L200,2)="15",AND(LEFT(M200,2)&lt;&gt;"15",LEFT(M200,2)&lt;&gt;"33"))),"x","")</f>
        <v/>
      </c>
      <c r="X200" s="49" t="str">
        <f>IF(AND(OR(LEFT(TH!L200,2)="15",LEFT(TH!M200,2)="15"),'152-CT'!$J$8=TH!F200),"x","")</f>
        <v/>
      </c>
      <c r="Y200" s="49" t="str">
        <f>IF(AND(OR(LEFT(TH!L200,2)="15",LEFT(TH!M200,2)="15"),TK!$E$7=TH!F200),"x","")</f>
        <v/>
      </c>
      <c r="Z200" s="49" t="str">
        <f>IF(AND(B200&lt;=NKC!$N$8,B200&gt;=NKC!$M$8),"x","")</f>
        <v/>
      </c>
      <c r="AA200" s="715"/>
      <c r="AC200" s="199"/>
      <c r="AD200" s="199"/>
    </row>
    <row r="201" spans="1:30" s="493" customFormat="1" ht="15.75" customHeight="1">
      <c r="A201" s="716" t="str">
        <f>IF(B201&lt;&gt;"",IF(AND(B201&gt;=_TM1,B201&lt;=_TM2,OR(TH!L201="1111",TH!M201="1111")),TH!D201,""),"")</f>
        <v/>
      </c>
      <c r="B201" s="36">
        <f t="shared" si="9"/>
        <v>12</v>
      </c>
      <c r="C201" s="185">
        <f t="shared" si="10"/>
        <v>41250</v>
      </c>
      <c r="D201" s="178" t="s">
        <v>580</v>
      </c>
      <c r="E201" s="185">
        <v>41250</v>
      </c>
      <c r="F201" s="186" t="s">
        <v>509</v>
      </c>
      <c r="G201" s="724" t="s">
        <v>548</v>
      </c>
      <c r="H201" s="187" t="s">
        <v>453</v>
      </c>
      <c r="I201" s="243"/>
      <c r="J201" s="243"/>
      <c r="K201" s="501">
        <v>881600</v>
      </c>
      <c r="L201" s="502" t="s">
        <v>252</v>
      </c>
      <c r="M201" s="502" t="s">
        <v>296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49" t="str">
        <f>IF(OR(TH!L201=TH!$V$7,M201=TH!$V$7),"x","")</f>
        <v/>
      </c>
      <c r="W201" s="49" t="str">
        <f>IF(AND(B201&gt;='IN-NX'!$P$3,B201&lt;='IN-NX'!$Q$3,'IN-NX'!$D$7=D201,OR(LEFT(L201,2)="15",AND(LEFT(M201,2)&lt;&gt;"15",LEFT(M201,2)&lt;&gt;"33"))),"x","")</f>
        <v/>
      </c>
      <c r="X201" s="49" t="str">
        <f>IF(AND(OR(LEFT(TH!L201,2)="15",LEFT(TH!M201,2)="15"),'152-CT'!$J$8=TH!F201),"x","")</f>
        <v/>
      </c>
      <c r="Y201" s="49" t="str">
        <f>IF(AND(OR(LEFT(TH!L201,2)="15",LEFT(TH!M201,2)="15"),TK!$E$7=TH!F201),"x","")</f>
        <v/>
      </c>
      <c r="Z201" s="49" t="str">
        <f>IF(AND(B201&lt;=NKC!$N$8,B201&gt;=NKC!$M$8),"x","")</f>
        <v/>
      </c>
      <c r="AA201" s="715"/>
      <c r="AC201" s="199"/>
      <c r="AD201" s="199"/>
    </row>
    <row r="202" spans="1:30" s="493" customFormat="1" ht="15.75" customHeight="1">
      <c r="A202" s="716" t="str">
        <f>IF(B202&lt;&gt;"",IF(AND(B202&gt;=_TM1,B202&lt;=_TM2,OR(TH!L202="1111",TH!M202="1111")),TH!D202,""),"")</f>
        <v/>
      </c>
      <c r="B202" s="36">
        <f t="shared" si="9"/>
        <v>12</v>
      </c>
      <c r="C202" s="185">
        <f t="shared" si="10"/>
        <v>41251</v>
      </c>
      <c r="D202" s="178" t="s">
        <v>493</v>
      </c>
      <c r="E202" s="178">
        <v>41251</v>
      </c>
      <c r="F202" s="183" t="s">
        <v>395</v>
      </c>
      <c r="G202" s="724" t="s">
        <v>439</v>
      </c>
      <c r="H202" s="7" t="s">
        <v>363</v>
      </c>
      <c r="I202" s="243">
        <v>500</v>
      </c>
      <c r="J202" s="243">
        <v>10286</v>
      </c>
      <c r="K202" s="37">
        <f>ROUND(I202*J202,0)</f>
        <v>5143000</v>
      </c>
      <c r="L202" s="188" t="s">
        <v>352</v>
      </c>
      <c r="M202" s="188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49" t="str">
        <f>IF(OR(TH!L202=TH!$V$7,M202=TH!$V$7),"x","")</f>
        <v/>
      </c>
      <c r="W202" s="49" t="str">
        <f>IF(AND(B202&gt;='IN-NX'!$P$3,B202&lt;='IN-NX'!$Q$3,'IN-NX'!$D$7=D202,OR(LEFT(L202,2)="15",AND(LEFT(M202,2)&lt;&gt;"15",LEFT(M202,2)&lt;&gt;"33"))),"x","")</f>
        <v/>
      </c>
      <c r="X202" s="49" t="str">
        <f>IF(AND(OR(LEFT(TH!L202,2)="15",LEFT(TH!M202,2)="15"),'152-CT'!$J$8=TH!F202),"x","")</f>
        <v/>
      </c>
      <c r="Y202" s="49" t="str">
        <f>IF(AND(OR(LEFT(TH!L202,2)="15",LEFT(TH!M202,2)="15"),TK!$E$7=TH!F202),"x","")</f>
        <v/>
      </c>
      <c r="Z202" s="49" t="str">
        <f>IF(AND(B202&lt;=NKC!$N$8,B202&gt;=NKC!$M$8),"x","")</f>
        <v/>
      </c>
      <c r="AA202" s="715"/>
    </row>
    <row r="203" spans="1:30" s="493" customFormat="1" ht="15.75" customHeight="1">
      <c r="A203" s="716" t="str">
        <f>IF(B203&lt;&gt;"",IF(AND(B203&gt;=_TM1,B203&lt;=_TM2,OR(TH!L203="1111",TH!M203="1111")),TH!D203,""),"")</f>
        <v/>
      </c>
      <c r="B203" s="36">
        <f t="shared" si="9"/>
        <v>12</v>
      </c>
      <c r="C203" s="185">
        <f t="shared" si="10"/>
        <v>41251</v>
      </c>
      <c r="D203" s="178" t="s">
        <v>493</v>
      </c>
      <c r="E203" s="178">
        <v>41251</v>
      </c>
      <c r="F203" s="183" t="s">
        <v>372</v>
      </c>
      <c r="G203" s="724" t="s">
        <v>439</v>
      </c>
      <c r="H203" s="7" t="s">
        <v>363</v>
      </c>
      <c r="I203" s="243">
        <v>500</v>
      </c>
      <c r="J203" s="243">
        <v>10298</v>
      </c>
      <c r="K203" s="37">
        <f>ROUND(I203*J203,0)</f>
        <v>5149000</v>
      </c>
      <c r="L203" s="188" t="s">
        <v>352</v>
      </c>
      <c r="M203" s="188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49" t="str">
        <f>IF(OR(TH!L203=TH!$V$7,M203=TH!$V$7),"x","")</f>
        <v/>
      </c>
      <c r="W203" s="49" t="str">
        <f>IF(AND(B203&gt;='IN-NX'!$P$3,B203&lt;='IN-NX'!$Q$3,'IN-NX'!$D$7=D203,OR(LEFT(L203,2)="15",AND(LEFT(M203,2)&lt;&gt;"15",LEFT(M203,2)&lt;&gt;"33"))),"x","")</f>
        <v/>
      </c>
      <c r="X203" s="49" t="str">
        <f>IF(AND(OR(LEFT(TH!L203,2)="15",LEFT(TH!M203,2)="15"),'152-CT'!$J$8=TH!F203),"x","")</f>
        <v/>
      </c>
      <c r="Y203" s="49" t="str">
        <f>IF(AND(OR(LEFT(TH!L203,2)="15",LEFT(TH!M203,2)="15"),TK!$E$7=TH!F203),"x","")</f>
        <v/>
      </c>
      <c r="Z203" s="49" t="str">
        <f>IF(AND(B203&lt;=NKC!$N$8,B203&gt;=NKC!$M$8),"x","")</f>
        <v/>
      </c>
      <c r="AA203" s="715"/>
    </row>
    <row r="204" spans="1:30" s="493" customFormat="1" ht="15.75" customHeight="1">
      <c r="A204" s="716" t="str">
        <f>IF(B204&lt;&gt;"",IF(AND(B204&gt;=_TM1,B204&lt;=_TM2,OR(TH!L204="1111",TH!M204="1111")),TH!D204,""),"")</f>
        <v/>
      </c>
      <c r="B204" s="36">
        <f t="shared" si="9"/>
        <v>12</v>
      </c>
      <c r="C204" s="185">
        <f t="shared" si="10"/>
        <v>41251</v>
      </c>
      <c r="D204" s="178" t="s">
        <v>493</v>
      </c>
      <c r="E204" s="178">
        <v>41251</v>
      </c>
      <c r="F204" s="183" t="s">
        <v>365</v>
      </c>
      <c r="G204" s="724" t="s">
        <v>439</v>
      </c>
      <c r="H204" s="7" t="s">
        <v>363</v>
      </c>
      <c r="I204" s="243"/>
      <c r="J204" s="243"/>
      <c r="K204" s="37">
        <v>1029200</v>
      </c>
      <c r="L204" s="188" t="s">
        <v>9</v>
      </c>
      <c r="M204" s="188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49" t="str">
        <f>IF(OR(TH!L204=TH!$V$7,M204=TH!$V$7),"x","")</f>
        <v/>
      </c>
      <c r="W204" s="49" t="str">
        <f>IF(AND(B204&gt;='IN-NX'!$P$3,B204&lt;='IN-NX'!$Q$3,'IN-NX'!$D$7=D204,OR(LEFT(L204,2)="15",AND(LEFT(M204,2)&lt;&gt;"15",LEFT(M204,2)&lt;&gt;"33"))),"x","")</f>
        <v/>
      </c>
      <c r="X204" s="49" t="str">
        <f>IF(AND(OR(LEFT(TH!L204,2)="15",LEFT(TH!M204,2)="15"),'152-CT'!$J$8=TH!F204),"x","")</f>
        <v/>
      </c>
      <c r="Y204" s="49" t="str">
        <f>IF(AND(OR(LEFT(TH!L204,2)="15",LEFT(TH!M204,2)="15"),TK!$E$7=TH!F204),"x","")</f>
        <v/>
      </c>
      <c r="Z204" s="49" t="str">
        <f>IF(AND(B204&lt;=NKC!$N$8,B204&gt;=NKC!$M$8),"x","")</f>
        <v/>
      </c>
      <c r="AA204" s="715">
        <v>12</v>
      </c>
      <c r="AB204" s="199"/>
      <c r="AC204" s="199"/>
    </row>
    <row r="205" spans="1:30" s="199" customFormat="1" ht="15.75" customHeight="1">
      <c r="A205" s="716" t="str">
        <f>IF(B205&lt;&gt;"",IF(AND(B205&gt;=_TM1,B205&lt;=_TM2,OR(TH!L205="1111",TH!M205="1111")),TH!D205,""),"")</f>
        <v>C25</v>
      </c>
      <c r="B205" s="36">
        <f t="shared" si="9"/>
        <v>12</v>
      </c>
      <c r="C205" s="185">
        <f t="shared" si="10"/>
        <v>41251</v>
      </c>
      <c r="D205" s="185" t="s">
        <v>494</v>
      </c>
      <c r="E205" s="178">
        <v>41251</v>
      </c>
      <c r="F205" s="183" t="s">
        <v>457</v>
      </c>
      <c r="G205" s="724" t="s">
        <v>439</v>
      </c>
      <c r="H205" s="7" t="s">
        <v>363</v>
      </c>
      <c r="I205" s="243"/>
      <c r="J205" s="243"/>
      <c r="K205" s="37">
        <v>11321200</v>
      </c>
      <c r="L205" s="188" t="s">
        <v>8</v>
      </c>
      <c r="M205" s="188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>x</v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49" t="str">
        <f>IF(OR(TH!L205=TH!$V$7,M205=TH!$V$7),"x","")</f>
        <v/>
      </c>
      <c r="W205" s="49" t="str">
        <f>IF(AND(B205&gt;='IN-NX'!$P$3,B205&lt;='IN-NX'!$Q$3,'IN-NX'!$D$7=D205,OR(LEFT(L205,2)="15",AND(LEFT(M205,2)&lt;&gt;"15",LEFT(M205,2)&lt;&gt;"33"))),"x","")</f>
        <v/>
      </c>
      <c r="X205" s="49" t="str">
        <f>IF(AND(OR(LEFT(TH!L205,2)="15",LEFT(TH!M205,2)="15"),'152-CT'!$J$8=TH!F205),"x","")</f>
        <v/>
      </c>
      <c r="Y205" s="49" t="str">
        <f>IF(AND(OR(LEFT(TH!L205,2)="15",LEFT(TH!M205,2)="15"),TK!$E$7=TH!F205),"x","")</f>
        <v/>
      </c>
      <c r="Z205" s="49" t="str">
        <f>IF(AND(B205&lt;=NKC!$N$8,B205&gt;=NKC!$M$8),"x","")</f>
        <v/>
      </c>
      <c r="AA205" s="715"/>
      <c r="AB205" s="493"/>
    </row>
    <row r="206" spans="1:30" s="199" customFormat="1" ht="15.75" customHeight="1">
      <c r="A206" s="716" t="str">
        <f>IF(B206&lt;&gt;"",IF(AND(B206&gt;=_TM1,B206&lt;=_TM2,OR(TH!L206="1111",TH!M206="1111")),TH!D206,""),"")</f>
        <v/>
      </c>
      <c r="B206" s="36">
        <f t="shared" si="9"/>
        <v>12</v>
      </c>
      <c r="C206" s="185">
        <f t="shared" si="10"/>
        <v>41253</v>
      </c>
      <c r="D206" s="178" t="s">
        <v>581</v>
      </c>
      <c r="E206" s="185">
        <v>41253</v>
      </c>
      <c r="F206" s="186" t="s">
        <v>518</v>
      </c>
      <c r="G206" s="724" t="s">
        <v>549</v>
      </c>
      <c r="H206" s="187" t="s">
        <v>452</v>
      </c>
      <c r="I206" s="243">
        <v>1235</v>
      </c>
      <c r="J206" s="243">
        <v>6200</v>
      </c>
      <c r="K206" s="501">
        <f>ROUND(I206*J206,0)</f>
        <v>7657000</v>
      </c>
      <c r="L206" s="502" t="s">
        <v>252</v>
      </c>
      <c r="M206" s="502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49" t="str">
        <f>IF(OR(TH!L206=TH!$V$7,M206=TH!$V$7),"x","")</f>
        <v/>
      </c>
      <c r="W206" s="49" t="str">
        <f>IF(AND(B206&gt;='IN-NX'!$P$3,B206&lt;='IN-NX'!$Q$3,'IN-NX'!$D$7=D206,OR(LEFT(L206,2)="15",AND(LEFT(M206,2)&lt;&gt;"15",LEFT(M206,2)&lt;&gt;"33"))),"x","")</f>
        <v/>
      </c>
      <c r="X206" s="49" t="str">
        <f>IF(AND(OR(LEFT(TH!L206,2)="15",LEFT(TH!M206,2)="15"),'152-CT'!$J$8=TH!F206),"x","")</f>
        <v/>
      </c>
      <c r="Y206" s="49" t="str">
        <f>IF(AND(OR(LEFT(TH!L206,2)="15",LEFT(TH!M206,2)="15"),TK!$E$7=TH!F206),"x","")</f>
        <v/>
      </c>
      <c r="Z206" s="49" t="str">
        <f>IF(AND(B206&lt;=NKC!$N$8,B206&gt;=NKC!$M$8),"x","")</f>
        <v/>
      </c>
      <c r="AA206" s="715"/>
      <c r="AB206" s="493"/>
    </row>
    <row r="207" spans="1:30" s="199" customFormat="1" ht="15.75" customHeight="1">
      <c r="A207" s="716" t="str">
        <f>IF(B207&lt;&gt;"",IF(AND(B207&gt;=_TM1,B207&lt;=_TM2,OR(TH!L207="1111",TH!M207="1111")),TH!D207,""),"")</f>
        <v/>
      </c>
      <c r="B207" s="36">
        <f t="shared" si="9"/>
        <v>12</v>
      </c>
      <c r="C207" s="185">
        <f t="shared" si="10"/>
        <v>41253</v>
      </c>
      <c r="D207" s="178" t="s">
        <v>581</v>
      </c>
      <c r="E207" s="185">
        <v>41253</v>
      </c>
      <c r="F207" s="186" t="s">
        <v>512</v>
      </c>
      <c r="G207" s="724" t="s">
        <v>549</v>
      </c>
      <c r="H207" s="187" t="s">
        <v>452</v>
      </c>
      <c r="I207" s="243">
        <v>1010</v>
      </c>
      <c r="J207" s="243">
        <v>6340</v>
      </c>
      <c r="K207" s="501">
        <f>ROUND(I207*J207,0)</f>
        <v>6403400</v>
      </c>
      <c r="L207" s="502" t="s">
        <v>252</v>
      </c>
      <c r="M207" s="502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49" t="str">
        <f>IF(OR(TH!L207=TH!$V$7,M207=TH!$V$7),"x","")</f>
        <v/>
      </c>
      <c r="W207" s="49" t="str">
        <f>IF(AND(B207&gt;='IN-NX'!$P$3,B207&lt;='IN-NX'!$Q$3,'IN-NX'!$D$7=D207,OR(LEFT(L207,2)="15",AND(LEFT(M207,2)&lt;&gt;"15",LEFT(M207,2)&lt;&gt;"33"))),"x","")</f>
        <v/>
      </c>
      <c r="X207" s="49" t="str">
        <f>IF(AND(OR(LEFT(TH!L207,2)="15",LEFT(TH!M207,2)="15"),'152-CT'!$J$8=TH!F207),"x","")</f>
        <v/>
      </c>
      <c r="Y207" s="49" t="str">
        <f>IF(AND(OR(LEFT(TH!L207,2)="15",LEFT(TH!M207,2)="15"),TK!$E$7=TH!F207),"x","")</f>
        <v/>
      </c>
      <c r="Z207" s="49" t="str">
        <f>IF(AND(B207&lt;=NKC!$N$8,B207&gt;=NKC!$M$8),"x","")</f>
        <v/>
      </c>
      <c r="AA207" s="715"/>
      <c r="AB207" s="493"/>
    </row>
    <row r="208" spans="1:30" s="199" customFormat="1" ht="15.75" customHeight="1">
      <c r="A208" s="716" t="str">
        <f>IF(B208&lt;&gt;"",IF(AND(B208&gt;=_TM1,B208&lt;=_TM2,OR(TH!L208="1111",TH!M208="1111")),TH!D208,""),"")</f>
        <v/>
      </c>
      <c r="B208" s="36">
        <f t="shared" si="9"/>
        <v>12</v>
      </c>
      <c r="C208" s="185">
        <f t="shared" si="10"/>
        <v>41253</v>
      </c>
      <c r="D208" s="178" t="s">
        <v>581</v>
      </c>
      <c r="E208" s="185">
        <v>41253</v>
      </c>
      <c r="F208" s="186" t="s">
        <v>509</v>
      </c>
      <c r="G208" s="724" t="s">
        <v>549</v>
      </c>
      <c r="H208" s="187" t="s">
        <v>452</v>
      </c>
      <c r="I208" s="243"/>
      <c r="J208" s="243"/>
      <c r="K208" s="501">
        <v>1406040</v>
      </c>
      <c r="L208" s="502" t="s">
        <v>252</v>
      </c>
      <c r="M208" s="502" t="s">
        <v>296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49" t="str">
        <f>IF(OR(TH!L208=TH!$V$7,M208=TH!$V$7),"x","")</f>
        <v/>
      </c>
      <c r="W208" s="49" t="str">
        <f>IF(AND(B208&gt;='IN-NX'!$P$3,B208&lt;='IN-NX'!$Q$3,'IN-NX'!$D$7=D208,OR(LEFT(L208,2)="15",AND(LEFT(M208,2)&lt;&gt;"15",LEFT(M208,2)&lt;&gt;"33"))),"x","")</f>
        <v/>
      </c>
      <c r="X208" s="49" t="str">
        <f>IF(AND(OR(LEFT(TH!L208,2)="15",LEFT(TH!M208,2)="15"),'152-CT'!$J$8=TH!F208),"x","")</f>
        <v/>
      </c>
      <c r="Y208" s="49" t="str">
        <f>IF(AND(OR(LEFT(TH!L208,2)="15",LEFT(TH!M208,2)="15"),TK!$E$7=TH!F208),"x","")</f>
        <v/>
      </c>
      <c r="Z208" s="49" t="str">
        <f>IF(AND(B208&lt;=NKC!$N$8,B208&gt;=NKC!$M$8),"x","")</f>
        <v/>
      </c>
      <c r="AA208" s="715"/>
      <c r="AB208" s="493"/>
    </row>
    <row r="209" spans="1:30" s="199" customFormat="1" ht="15.75" customHeight="1">
      <c r="A209" s="716" t="str">
        <f>IF(B209&lt;&gt;"",IF(AND(B209&gt;=_TM1,B209&lt;=_TM2,OR(TH!L209="1111",TH!M209="1111")),TH!D209,""),"")</f>
        <v>T15</v>
      </c>
      <c r="B209" s="36">
        <f t="shared" si="9"/>
        <v>12</v>
      </c>
      <c r="C209" s="185">
        <f t="shared" si="10"/>
        <v>41253</v>
      </c>
      <c r="D209" s="178" t="s">
        <v>594</v>
      </c>
      <c r="E209" s="185">
        <v>41253</v>
      </c>
      <c r="F209" s="186" t="s">
        <v>447</v>
      </c>
      <c r="G209" s="724" t="s">
        <v>549</v>
      </c>
      <c r="H209" s="187" t="s">
        <v>452</v>
      </c>
      <c r="I209" s="243"/>
      <c r="J209" s="243"/>
      <c r="K209" s="501">
        <v>15466440</v>
      </c>
      <c r="L209" s="502" t="s">
        <v>47</v>
      </c>
      <c r="M209" s="502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>x</v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49" t="str">
        <f>IF(OR(TH!L209=TH!$V$7,M209=TH!$V$7),"x","")</f>
        <v/>
      </c>
      <c r="W209" s="49" t="str">
        <f>IF(AND(B209&gt;='IN-NX'!$P$3,B209&lt;='IN-NX'!$Q$3,'IN-NX'!$D$7=D209,OR(LEFT(L209,2)="15",AND(LEFT(M209,2)&lt;&gt;"15",LEFT(M209,2)&lt;&gt;"33"))),"x","")</f>
        <v/>
      </c>
      <c r="X209" s="49" t="str">
        <f>IF(AND(OR(LEFT(TH!L209,2)="15",LEFT(TH!M209,2)="15"),'152-CT'!$J$8=TH!F209),"x","")</f>
        <v/>
      </c>
      <c r="Y209" s="49" t="str">
        <f>IF(AND(OR(LEFT(TH!L209,2)="15",LEFT(TH!M209,2)="15"),TK!$E$7=TH!F209),"x","")</f>
        <v/>
      </c>
      <c r="Z209" s="49" t="str">
        <f>IF(AND(B209&lt;=NKC!$N$8,B209&gt;=NKC!$M$8),"x","")</f>
        <v/>
      </c>
      <c r="AA209" s="715"/>
      <c r="AB209" s="493"/>
    </row>
    <row r="210" spans="1:30" s="199" customFormat="1" ht="15.75" customHeight="1">
      <c r="A210" s="716" t="str">
        <f>IF(B210&lt;&gt;"",IF(AND(B210&gt;=_TM1,B210&lt;=_TM2,OR(TH!L210="1111",TH!M210="1111")),TH!D210,""),"")</f>
        <v>C26</v>
      </c>
      <c r="B210" s="36">
        <f t="shared" si="9"/>
        <v>12</v>
      </c>
      <c r="C210" s="185">
        <f t="shared" si="10"/>
        <v>41255</v>
      </c>
      <c r="D210" s="185" t="s">
        <v>495</v>
      </c>
      <c r="E210" s="178">
        <v>41255</v>
      </c>
      <c r="F210" s="183" t="s">
        <v>443</v>
      </c>
      <c r="G210" s="724" t="s">
        <v>441</v>
      </c>
      <c r="H210" s="187" t="s">
        <v>442</v>
      </c>
      <c r="I210" s="243"/>
      <c r="J210" s="243"/>
      <c r="K210" s="501">
        <v>262000</v>
      </c>
      <c r="L210" s="502" t="s">
        <v>83</v>
      </c>
      <c r="M210" s="502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>x</v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49" t="str">
        <f>IF(OR(TH!L210=TH!$V$7,M210=TH!$V$7),"x","")</f>
        <v/>
      </c>
      <c r="W210" s="49" t="str">
        <f>IF(AND(B210&gt;='IN-NX'!$P$3,B210&lt;='IN-NX'!$Q$3,'IN-NX'!$D$7=D210,OR(LEFT(L210,2)="15",AND(LEFT(M210,2)&lt;&gt;"15",LEFT(M210,2)&lt;&gt;"33"))),"x","")</f>
        <v/>
      </c>
      <c r="X210" s="49" t="str">
        <f>IF(AND(OR(LEFT(TH!L210,2)="15",LEFT(TH!M210,2)="15"),'152-CT'!$J$8=TH!F210),"x","")</f>
        <v/>
      </c>
      <c r="Y210" s="49" t="str">
        <f>IF(AND(OR(LEFT(TH!L210,2)="15",LEFT(TH!M210,2)="15"),TK!$E$7=TH!F210),"x","")</f>
        <v/>
      </c>
      <c r="Z210" s="49" t="str">
        <f>IF(AND(B210&lt;=NKC!$N$8,B210&gt;=NKC!$M$8),"x","")</f>
        <v/>
      </c>
      <c r="AA210" s="715"/>
      <c r="AB210" s="493"/>
      <c r="AD210" s="493"/>
    </row>
    <row r="211" spans="1:30" s="199" customFormat="1" ht="15.75" customHeight="1">
      <c r="A211" s="716" t="str">
        <f>IF(B211&lt;&gt;"",IF(AND(B211&gt;=_TM1,B211&lt;=_TM2,OR(TH!L211="1111",TH!M211="1111")),TH!D211,""),"")</f>
        <v>C27</v>
      </c>
      <c r="B211" s="36">
        <f t="shared" si="9"/>
        <v>12</v>
      </c>
      <c r="C211" s="185">
        <f t="shared" si="10"/>
        <v>41260</v>
      </c>
      <c r="D211" s="185" t="s">
        <v>496</v>
      </c>
      <c r="E211" s="178">
        <v>41260</v>
      </c>
      <c r="F211" s="186" t="s">
        <v>356</v>
      </c>
      <c r="G211" s="723" t="s">
        <v>429</v>
      </c>
      <c r="H211" s="198" t="s">
        <v>355</v>
      </c>
      <c r="I211" s="243"/>
      <c r="J211" s="243"/>
      <c r="K211" s="37">
        <f>77272+181818+18182</f>
        <v>277272</v>
      </c>
      <c r="L211" s="188" t="s">
        <v>83</v>
      </c>
      <c r="M211" s="188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>x</v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49" t="str">
        <f>IF(OR(TH!L211=TH!$V$7,M211=TH!$V$7),"x","")</f>
        <v/>
      </c>
      <c r="W211" s="49" t="str">
        <f>IF(AND(B211&gt;='IN-NX'!$P$3,B211&lt;='IN-NX'!$Q$3,'IN-NX'!$D$7=D211,OR(LEFT(L211,2)="15",AND(LEFT(M211,2)&lt;&gt;"15",LEFT(M211,2)&lt;&gt;"33"))),"x","")</f>
        <v/>
      </c>
      <c r="X211" s="49" t="str">
        <f>IF(AND(OR(LEFT(TH!L211,2)="15",LEFT(TH!M211,2)="15"),'152-CT'!$J$8=TH!F211),"x","")</f>
        <v/>
      </c>
      <c r="Y211" s="49" t="str">
        <f>IF(AND(OR(LEFT(TH!L211,2)="15",LEFT(TH!M211,2)="15"),TK!$E$7=TH!F211),"x","")</f>
        <v/>
      </c>
      <c r="Z211" s="49" t="str">
        <f>IF(AND(B211&lt;=NKC!$N$8,B211&gt;=NKC!$M$8),"x","")</f>
        <v/>
      </c>
      <c r="AA211" s="715"/>
      <c r="AB211" s="493"/>
      <c r="AC211" s="493"/>
      <c r="AD211" s="493"/>
    </row>
    <row r="212" spans="1:30" s="199" customFormat="1" ht="15.75" customHeight="1">
      <c r="A212" s="716" t="str">
        <f>IF(B212&lt;&gt;"",IF(AND(B212&gt;=_TM1,B212&lt;=_TM2,OR(TH!L212="1111",TH!M212="1111")),TH!D212,""),"")</f>
        <v>C27</v>
      </c>
      <c r="B212" s="36">
        <f t="shared" si="9"/>
        <v>12</v>
      </c>
      <c r="C212" s="185">
        <f t="shared" si="10"/>
        <v>41260</v>
      </c>
      <c r="D212" s="185" t="s">
        <v>496</v>
      </c>
      <c r="E212" s="178">
        <v>41260</v>
      </c>
      <c r="F212" s="186" t="s">
        <v>357</v>
      </c>
      <c r="G212" s="723" t="s">
        <v>429</v>
      </c>
      <c r="H212" s="198" t="s">
        <v>355</v>
      </c>
      <c r="I212" s="243"/>
      <c r="J212" s="243"/>
      <c r="K212" s="37">
        <f>7728</f>
        <v>7728</v>
      </c>
      <c r="L212" s="188" t="s">
        <v>9</v>
      </c>
      <c r="M212" s="188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>x</v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49" t="str">
        <f>IF(OR(TH!L212=TH!$V$7,M212=TH!$V$7),"x","")</f>
        <v/>
      </c>
      <c r="W212" s="49" t="str">
        <f>IF(AND(B212&gt;='IN-NX'!$P$3,B212&lt;='IN-NX'!$Q$3,'IN-NX'!$D$7=D212,OR(LEFT(L212,2)="15",AND(LEFT(M212,2)&lt;&gt;"15",LEFT(M212,2)&lt;&gt;"33"))),"x","")</f>
        <v/>
      </c>
      <c r="X212" s="49" t="str">
        <f>IF(AND(OR(LEFT(TH!L212,2)="15",LEFT(TH!M212,2)="15"),'152-CT'!$J$8=TH!F212),"x","")</f>
        <v/>
      </c>
      <c r="Y212" s="49" t="str">
        <f>IF(AND(OR(LEFT(TH!L212,2)="15",LEFT(TH!M212,2)="15"),TK!$E$7=TH!F212),"x","")</f>
        <v/>
      </c>
      <c r="Z212" s="49" t="str">
        <f>IF(AND(B212&lt;=NKC!$N$8,B212&gt;=NKC!$M$8),"x","")</f>
        <v/>
      </c>
      <c r="AA212" s="715">
        <v>12</v>
      </c>
      <c r="AB212" s="493"/>
      <c r="AC212" s="493"/>
      <c r="AD212" s="493"/>
    </row>
    <row r="213" spans="1:30" s="199" customFormat="1" ht="15.75" customHeight="1">
      <c r="A213" s="716" t="str">
        <f>IF(B213&lt;&gt;"",IF(AND(B213&gt;=_TM1,B213&lt;=_TM2,OR(TH!L213="1111",TH!M213="1111")),TH!D213,""),"")</f>
        <v/>
      </c>
      <c r="B213" s="36">
        <f t="shared" si="9"/>
        <v>12</v>
      </c>
      <c r="C213" s="185">
        <f t="shared" si="10"/>
        <v>41267</v>
      </c>
      <c r="D213" s="178" t="s">
        <v>582</v>
      </c>
      <c r="E213" s="185">
        <v>41267</v>
      </c>
      <c r="F213" s="186" t="s">
        <v>550</v>
      </c>
      <c r="G213" s="724" t="s">
        <v>551</v>
      </c>
      <c r="H213" s="187" t="s">
        <v>455</v>
      </c>
      <c r="I213" s="243">
        <v>180</v>
      </c>
      <c r="J213" s="243">
        <v>24201</v>
      </c>
      <c r="K213" s="501">
        <f>ROUND(I213*J213,0)</f>
        <v>4356180</v>
      </c>
      <c r="L213" s="502" t="s">
        <v>252</v>
      </c>
      <c r="M213" s="502" t="s">
        <v>164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/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49" t="str">
        <f>IF(OR(TH!L213=TH!$V$7,M213=TH!$V$7),"x","")</f>
        <v/>
      </c>
      <c r="W213" s="49" t="str">
        <f>IF(AND(B213&gt;='IN-NX'!$P$3,B213&lt;='IN-NX'!$Q$3,'IN-NX'!$D$7=D213,OR(LEFT(L213,2)="15",AND(LEFT(M213,2)&lt;&gt;"15",LEFT(M213,2)&lt;&gt;"33"))),"x","")</f>
        <v/>
      </c>
      <c r="X213" s="49" t="str">
        <f>IF(AND(OR(LEFT(TH!L213,2)="15",LEFT(TH!M213,2)="15"),'152-CT'!$J$8=TH!F213),"x","")</f>
        <v/>
      </c>
      <c r="Y213" s="49" t="str">
        <f>IF(AND(OR(LEFT(TH!L213,2)="15",LEFT(TH!M213,2)="15"),TK!$E$7=TH!F213),"x","")</f>
        <v/>
      </c>
      <c r="Z213" s="49" t="str">
        <f>IF(AND(B213&lt;=NKC!$N$8,B213&gt;=NKC!$M$8),"x","")</f>
        <v/>
      </c>
      <c r="AA213" s="715"/>
      <c r="AB213" s="493"/>
      <c r="AC213" s="493"/>
      <c r="AD213" s="493"/>
    </row>
    <row r="214" spans="1:30" s="199" customFormat="1" ht="15.75" customHeight="1">
      <c r="A214" s="716" t="str">
        <f>IF(B214&lt;&gt;"",IF(AND(B214&gt;=_TM1,B214&lt;=_TM2,OR(TH!L214="1111",TH!M214="1111")),TH!D214,""),"")</f>
        <v/>
      </c>
      <c r="B214" s="36">
        <f t="shared" si="9"/>
        <v>12</v>
      </c>
      <c r="C214" s="185">
        <f t="shared" si="10"/>
        <v>41267</v>
      </c>
      <c r="D214" s="178" t="s">
        <v>582</v>
      </c>
      <c r="E214" s="185">
        <v>41267</v>
      </c>
      <c r="F214" s="186" t="s">
        <v>552</v>
      </c>
      <c r="G214" s="724" t="s">
        <v>551</v>
      </c>
      <c r="H214" s="187" t="s">
        <v>455</v>
      </c>
      <c r="I214" s="243">
        <v>100</v>
      </c>
      <c r="J214" s="243">
        <v>18550</v>
      </c>
      <c r="K214" s="501">
        <f>ROUND(I214*J214,0)</f>
        <v>1855000</v>
      </c>
      <c r="L214" s="502" t="s">
        <v>252</v>
      </c>
      <c r="M214" s="502" t="s">
        <v>164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/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49" t="str">
        <f>IF(OR(TH!L214=TH!$V$7,M214=TH!$V$7),"x","")</f>
        <v/>
      </c>
      <c r="W214" s="49" t="str">
        <f>IF(AND(B214&gt;='IN-NX'!$P$3,B214&lt;='IN-NX'!$Q$3,'IN-NX'!$D$7=D214,OR(LEFT(L214,2)="15",AND(LEFT(M214,2)&lt;&gt;"15",LEFT(M214,2)&lt;&gt;"33"))),"x","")</f>
        <v/>
      </c>
      <c r="X214" s="49" t="str">
        <f>IF(AND(OR(LEFT(TH!L214,2)="15",LEFT(TH!M214,2)="15"),'152-CT'!$J$8=TH!F214),"x","")</f>
        <v/>
      </c>
      <c r="Y214" s="49" t="str">
        <f>IF(AND(OR(LEFT(TH!L214,2)="15",LEFT(TH!M214,2)="15"),TK!$E$7=TH!F214),"x","")</f>
        <v/>
      </c>
      <c r="Z214" s="49" t="str">
        <f>IF(AND(B214&lt;=NKC!$N$8,B214&gt;=NKC!$M$8),"x","")</f>
        <v/>
      </c>
      <c r="AA214" s="715"/>
      <c r="AB214" s="493"/>
      <c r="AC214" s="493"/>
      <c r="AD214" s="493"/>
    </row>
    <row r="215" spans="1:30" s="199" customFormat="1" ht="15.75" customHeight="1">
      <c r="A215" s="716" t="str">
        <f>IF(B215&lt;&gt;"",IF(AND(B215&gt;=_TM1,B215&lt;=_TM2,OR(TH!L215="1111",TH!M215="1111")),TH!D215,""),"")</f>
        <v/>
      </c>
      <c r="B215" s="36">
        <f t="shared" ref="B215:B278" si="11">IF(C215&lt;&gt;"",MONTH(C215),"")</f>
        <v>12</v>
      </c>
      <c r="C215" s="185">
        <f t="shared" ref="C215:C278" si="12">E215</f>
        <v>41267</v>
      </c>
      <c r="D215" s="178" t="s">
        <v>582</v>
      </c>
      <c r="E215" s="185">
        <v>41267</v>
      </c>
      <c r="F215" s="186" t="s">
        <v>553</v>
      </c>
      <c r="G215" s="724" t="s">
        <v>551</v>
      </c>
      <c r="H215" s="187" t="s">
        <v>455</v>
      </c>
      <c r="I215" s="243">
        <v>180</v>
      </c>
      <c r="J215" s="243">
        <v>24000</v>
      </c>
      <c r="K215" s="501">
        <f>ROUND(I215*J215,0)</f>
        <v>4320000</v>
      </c>
      <c r="L215" s="502" t="s">
        <v>252</v>
      </c>
      <c r="M215" s="502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49" t="str">
        <f>IF(OR(TH!L215=TH!$V$7,M215=TH!$V$7),"x","")</f>
        <v/>
      </c>
      <c r="W215" s="49" t="str">
        <f>IF(AND(B215&gt;='IN-NX'!$P$3,B215&lt;='IN-NX'!$Q$3,'IN-NX'!$D$7=D215,OR(LEFT(L215,2)="15",AND(LEFT(M215,2)&lt;&gt;"15",LEFT(M215,2)&lt;&gt;"33"))),"x","")</f>
        <v/>
      </c>
      <c r="X215" s="49" t="str">
        <f>IF(AND(OR(LEFT(TH!L215,2)="15",LEFT(TH!M215,2)="15"),'152-CT'!$J$8=TH!F215),"x","")</f>
        <v/>
      </c>
      <c r="Y215" s="49" t="str">
        <f>IF(AND(OR(LEFT(TH!L215,2)="15",LEFT(TH!M215,2)="15"),TK!$E$7=TH!F215),"x","")</f>
        <v/>
      </c>
      <c r="Z215" s="49" t="str">
        <f>IF(AND(B215&lt;=NKC!$N$8,B215&gt;=NKC!$M$8),"x","")</f>
        <v/>
      </c>
      <c r="AA215" s="715"/>
      <c r="AB215" s="493"/>
    </row>
    <row r="216" spans="1:30" s="199" customFormat="1" ht="15.75" customHeight="1">
      <c r="A216" s="716" t="str">
        <f>IF(B216&lt;&gt;"",IF(AND(B216&gt;=_TM1,B216&lt;=_TM2,OR(TH!L216="1111",TH!M216="1111")),TH!D216,""),"")</f>
        <v/>
      </c>
      <c r="B216" s="36">
        <f t="shared" si="11"/>
        <v>12</v>
      </c>
      <c r="C216" s="185">
        <f t="shared" si="12"/>
        <v>41267</v>
      </c>
      <c r="D216" s="178" t="s">
        <v>582</v>
      </c>
      <c r="E216" s="185">
        <v>41267</v>
      </c>
      <c r="F216" s="186" t="s">
        <v>554</v>
      </c>
      <c r="G216" s="724" t="s">
        <v>551</v>
      </c>
      <c r="H216" s="187" t="s">
        <v>455</v>
      </c>
      <c r="I216" s="243">
        <v>260</v>
      </c>
      <c r="J216" s="243">
        <v>26201</v>
      </c>
      <c r="K216" s="501">
        <f>ROUND(I216*J216,0)</f>
        <v>6812260</v>
      </c>
      <c r="L216" s="502" t="s">
        <v>252</v>
      </c>
      <c r="M216" s="502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49" t="str">
        <f>IF(OR(TH!L216=TH!$V$7,M216=TH!$V$7),"x","")</f>
        <v/>
      </c>
      <c r="W216" s="49" t="str">
        <f>IF(AND(B216&gt;='IN-NX'!$P$3,B216&lt;='IN-NX'!$Q$3,'IN-NX'!$D$7=D216,OR(LEFT(L216,2)="15",AND(LEFT(M216,2)&lt;&gt;"15",LEFT(M216,2)&lt;&gt;"33"))),"x","")</f>
        <v/>
      </c>
      <c r="X216" s="49" t="str">
        <f>IF(AND(OR(LEFT(TH!L216,2)="15",LEFT(TH!M216,2)="15"),'152-CT'!$J$8=TH!F216),"x","")</f>
        <v/>
      </c>
      <c r="Y216" s="49" t="str">
        <f>IF(AND(OR(LEFT(TH!L216,2)="15",LEFT(TH!M216,2)="15"),TK!$E$7=TH!F216),"x","")</f>
        <v/>
      </c>
      <c r="Z216" s="49" t="str">
        <f>IF(AND(B216&lt;=NKC!$N$8,B216&gt;=NKC!$M$8),"x","")</f>
        <v/>
      </c>
      <c r="AA216" s="715"/>
      <c r="AB216" s="493"/>
    </row>
    <row r="217" spans="1:30" s="199" customFormat="1" ht="15.75" customHeight="1">
      <c r="A217" s="716" t="str">
        <f>IF(B217&lt;&gt;"",IF(AND(B217&gt;=_TM1,B217&lt;=_TM2,OR(TH!L217="1111",TH!M217="1111")),TH!D217,""),"")</f>
        <v/>
      </c>
      <c r="B217" s="36">
        <f t="shared" si="11"/>
        <v>12</v>
      </c>
      <c r="C217" s="185">
        <f t="shared" si="12"/>
        <v>41267</v>
      </c>
      <c r="D217" s="178" t="s">
        <v>582</v>
      </c>
      <c r="E217" s="185">
        <v>41267</v>
      </c>
      <c r="F217" s="186" t="s">
        <v>509</v>
      </c>
      <c r="G217" s="724" t="s">
        <v>551</v>
      </c>
      <c r="H217" s="187" t="s">
        <v>455</v>
      </c>
      <c r="I217" s="243"/>
      <c r="J217" s="243"/>
      <c r="K217" s="501">
        <v>1734344</v>
      </c>
      <c r="L217" s="502" t="s">
        <v>252</v>
      </c>
      <c r="M217" s="502" t="s">
        <v>296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49" t="str">
        <f>IF(OR(TH!L217=TH!$V$7,M217=TH!$V$7),"x","")</f>
        <v/>
      </c>
      <c r="W217" s="49" t="str">
        <f>IF(AND(B217&gt;='IN-NX'!$P$3,B217&lt;='IN-NX'!$Q$3,'IN-NX'!$D$7=D217,OR(LEFT(L217,2)="15",AND(LEFT(M217,2)&lt;&gt;"15",LEFT(M217,2)&lt;&gt;"33"))),"x","")</f>
        <v/>
      </c>
      <c r="X217" s="49" t="str">
        <f>IF(AND(OR(LEFT(TH!L217,2)="15",LEFT(TH!M217,2)="15"),'152-CT'!$J$8=TH!F217),"x","")</f>
        <v/>
      </c>
      <c r="Y217" s="49" t="str">
        <f>IF(AND(OR(LEFT(TH!L217,2)="15",LEFT(TH!M217,2)="15"),TK!$E$7=TH!F217),"x","")</f>
        <v/>
      </c>
      <c r="Z217" s="49" t="str">
        <f>IF(AND(B217&lt;=NKC!$N$8,B217&gt;=NKC!$M$8),"x","")</f>
        <v/>
      </c>
      <c r="AA217" s="715"/>
      <c r="AB217" s="493"/>
    </row>
    <row r="218" spans="1:30" s="199" customFormat="1" ht="15.75" customHeight="1">
      <c r="A218" s="716" t="str">
        <f>IF(B218&lt;&gt;"",IF(AND(B218&gt;=_TM1,B218&lt;=_TM2,OR(TH!L218="1111",TH!M218="1111")),TH!D218,""),"")</f>
        <v/>
      </c>
      <c r="B218" s="36">
        <f t="shared" si="11"/>
        <v>12</v>
      </c>
      <c r="C218" s="185">
        <f t="shared" si="12"/>
        <v>41268</v>
      </c>
      <c r="D218" s="178" t="s">
        <v>444</v>
      </c>
      <c r="E218" s="178">
        <v>41268</v>
      </c>
      <c r="F218" s="183" t="s">
        <v>447</v>
      </c>
      <c r="G218" s="723" t="s">
        <v>351</v>
      </c>
      <c r="H218" s="187" t="s">
        <v>455</v>
      </c>
      <c r="I218" s="243"/>
      <c r="J218" s="243"/>
      <c r="K218" s="501">
        <v>19077784</v>
      </c>
      <c r="L218" s="502" t="s">
        <v>24</v>
      </c>
      <c r="M218" s="502" t="s">
        <v>252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>x</v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49" t="str">
        <f>IF(OR(TH!L218=TH!$V$7,M218=TH!$V$7),"x","")</f>
        <v/>
      </c>
      <c r="W218" s="49" t="str">
        <f>IF(AND(B218&gt;='IN-NX'!$P$3,B218&lt;='IN-NX'!$Q$3,'IN-NX'!$D$7=D218,OR(LEFT(L218,2)="15",AND(LEFT(M218,2)&lt;&gt;"15",LEFT(M218,2)&lt;&gt;"33"))),"x","")</f>
        <v/>
      </c>
      <c r="X218" s="49" t="str">
        <f>IF(AND(OR(LEFT(TH!L218,2)="15",LEFT(TH!M218,2)="15"),'152-CT'!$J$8=TH!F218),"x","")</f>
        <v/>
      </c>
      <c r="Y218" s="49" t="str">
        <f>IF(AND(OR(LEFT(TH!L218,2)="15",LEFT(TH!M218,2)="15"),TK!$E$7=TH!F218),"x","")</f>
        <v/>
      </c>
      <c r="Z218" s="49" t="str">
        <f>IF(AND(B218&lt;=NKC!$N$8,B218&gt;=NKC!$M$8),"x","")</f>
        <v/>
      </c>
      <c r="AA218" s="715"/>
      <c r="AB218" s="493"/>
      <c r="AC218" s="493"/>
      <c r="AD218" s="493"/>
    </row>
    <row r="219" spans="1:30" s="199" customFormat="1" ht="15.75" customHeight="1">
      <c r="A219" s="716" t="str">
        <f>IF(B219&lt;&gt;"",IF(AND(B219&gt;=_TM1,B219&lt;=_TM2,OR(TH!L219="1111",TH!M219="1111")),TH!D219,""),"")</f>
        <v/>
      </c>
      <c r="B219" s="36">
        <f t="shared" si="11"/>
        <v>12</v>
      </c>
      <c r="C219" s="185">
        <f t="shared" si="12"/>
        <v>41268</v>
      </c>
      <c r="D219" s="178" t="s">
        <v>583</v>
      </c>
      <c r="E219" s="185">
        <v>41268</v>
      </c>
      <c r="F219" s="186" t="s">
        <v>555</v>
      </c>
      <c r="G219" s="724" t="s">
        <v>556</v>
      </c>
      <c r="H219" s="187" t="s">
        <v>455</v>
      </c>
      <c r="I219" s="243">
        <v>40</v>
      </c>
      <c r="J219" s="243">
        <v>38150</v>
      </c>
      <c r="K219" s="501">
        <f>ROUND(I219*J219,0)</f>
        <v>1526000</v>
      </c>
      <c r="L219" s="502" t="s">
        <v>252</v>
      </c>
      <c r="M219" s="502" t="s">
        <v>164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49" t="str">
        <f>IF(OR(TH!L219=TH!$V$7,M219=TH!$V$7),"x","")</f>
        <v/>
      </c>
      <c r="W219" s="49" t="str">
        <f>IF(AND(B219&gt;='IN-NX'!$P$3,B219&lt;='IN-NX'!$Q$3,'IN-NX'!$D$7=D219,OR(LEFT(L219,2)="15",AND(LEFT(M219,2)&lt;&gt;"15",LEFT(M219,2)&lt;&gt;"33"))),"x","")</f>
        <v/>
      </c>
      <c r="X219" s="49" t="str">
        <f>IF(AND(OR(LEFT(TH!L219,2)="15",LEFT(TH!M219,2)="15"),'152-CT'!$J$8=TH!F219),"x","")</f>
        <v/>
      </c>
      <c r="Y219" s="49" t="str">
        <f>IF(AND(OR(LEFT(TH!L219,2)="15",LEFT(TH!M219,2)="15"),TK!$E$7=TH!F219),"x","")</f>
        <v/>
      </c>
      <c r="Z219" s="49" t="str">
        <f>IF(AND(B219&lt;=NKC!$N$8,B219&gt;=NKC!$M$8),"x","")</f>
        <v/>
      </c>
      <c r="AA219" s="715"/>
      <c r="AB219" s="493"/>
    </row>
    <row r="220" spans="1:30" s="199" customFormat="1" ht="15.75" customHeight="1">
      <c r="A220" s="716" t="str">
        <f>IF(B220&lt;&gt;"",IF(AND(B220&gt;=_TM1,B220&lt;=_TM2,OR(TH!L220="1111",TH!M220="1111")),TH!D220,""),"")</f>
        <v/>
      </c>
      <c r="B220" s="36">
        <f t="shared" si="11"/>
        <v>12</v>
      </c>
      <c r="C220" s="185">
        <f t="shared" si="12"/>
        <v>41268</v>
      </c>
      <c r="D220" s="178" t="s">
        <v>583</v>
      </c>
      <c r="E220" s="185">
        <v>41268</v>
      </c>
      <c r="F220" s="186" t="s">
        <v>509</v>
      </c>
      <c r="G220" s="724" t="s">
        <v>556</v>
      </c>
      <c r="H220" s="187" t="s">
        <v>455</v>
      </c>
      <c r="I220" s="243"/>
      <c r="J220" s="243"/>
      <c r="K220" s="501">
        <v>152600</v>
      </c>
      <c r="L220" s="502" t="s">
        <v>252</v>
      </c>
      <c r="M220" s="502" t="s">
        <v>296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/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49" t="str">
        <f>IF(OR(TH!L220=TH!$V$7,M220=TH!$V$7),"x","")</f>
        <v/>
      </c>
      <c r="W220" s="49" t="str">
        <f>IF(AND(B220&gt;='IN-NX'!$P$3,B220&lt;='IN-NX'!$Q$3,'IN-NX'!$D$7=D220,OR(LEFT(L220,2)="15",AND(LEFT(M220,2)&lt;&gt;"15",LEFT(M220,2)&lt;&gt;"33"))),"x","")</f>
        <v/>
      </c>
      <c r="X220" s="49" t="str">
        <f>IF(AND(OR(LEFT(TH!L220,2)="15",LEFT(TH!M220,2)="15"),'152-CT'!$J$8=TH!F220),"x","")</f>
        <v/>
      </c>
      <c r="Y220" s="49" t="str">
        <f>IF(AND(OR(LEFT(TH!L220,2)="15",LEFT(TH!M220,2)="15"),TK!$E$7=TH!F220),"x","")</f>
        <v/>
      </c>
      <c r="Z220" s="49" t="str">
        <f>IF(AND(B220&lt;=NKC!$N$8,B220&gt;=NKC!$M$8),"x","")</f>
        <v/>
      </c>
      <c r="AA220" s="715"/>
      <c r="AB220" s="493"/>
    </row>
    <row r="221" spans="1:30" s="199" customFormat="1" ht="15.75" customHeight="1">
      <c r="A221" s="716" t="str">
        <f>IF(B221&lt;&gt;"",IF(AND(B221&gt;=_TM1,B221&lt;=_TM2,OR(TH!L221="1111",TH!M221="1111")),TH!D221,""),"")</f>
        <v>T16</v>
      </c>
      <c r="B221" s="36">
        <f t="shared" si="11"/>
        <v>12</v>
      </c>
      <c r="C221" s="185">
        <f t="shared" si="12"/>
        <v>41268</v>
      </c>
      <c r="D221" s="178" t="s">
        <v>595</v>
      </c>
      <c r="E221" s="185">
        <v>41268</v>
      </c>
      <c r="F221" s="186" t="s">
        <v>447</v>
      </c>
      <c r="G221" s="724" t="s">
        <v>556</v>
      </c>
      <c r="H221" s="187" t="s">
        <v>455</v>
      </c>
      <c r="I221" s="243"/>
      <c r="J221" s="243"/>
      <c r="K221" s="501">
        <v>1678600</v>
      </c>
      <c r="L221" s="502" t="s">
        <v>47</v>
      </c>
      <c r="M221" s="502" t="s">
        <v>252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>x</v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49" t="str">
        <f>IF(OR(TH!L221=TH!$V$7,M221=TH!$V$7),"x","")</f>
        <v/>
      </c>
      <c r="W221" s="49" t="str">
        <f>IF(AND(B221&gt;='IN-NX'!$P$3,B221&lt;='IN-NX'!$Q$3,'IN-NX'!$D$7=D221,OR(LEFT(L221,2)="15",AND(LEFT(M221,2)&lt;&gt;"15",LEFT(M221,2)&lt;&gt;"33"))),"x","")</f>
        <v/>
      </c>
      <c r="X221" s="49" t="str">
        <f>IF(AND(OR(LEFT(TH!L221,2)="15",LEFT(TH!M221,2)="15"),'152-CT'!$J$8=TH!F221),"x","")</f>
        <v/>
      </c>
      <c r="Y221" s="49" t="str">
        <f>IF(AND(OR(LEFT(TH!L221,2)="15",LEFT(TH!M221,2)="15"),TK!$E$7=TH!F221),"x","")</f>
        <v/>
      </c>
      <c r="Z221" s="49" t="str">
        <f>IF(AND(B221&lt;=NKC!$N$8,B221&gt;=NKC!$M$8),"x","")</f>
        <v/>
      </c>
      <c r="AA221" s="715"/>
      <c r="AB221" s="493"/>
    </row>
    <row r="222" spans="1:30" s="199" customFormat="1" ht="15.75" customHeight="1">
      <c r="A222" s="716" t="str">
        <f>IF(B222&lt;&gt;"",IF(AND(B222&gt;=_TM1,B222&lt;=_TM2,OR(TH!L222="1111",TH!M222="1111")),TH!D222,""),"")</f>
        <v>C28</v>
      </c>
      <c r="B222" s="36">
        <f t="shared" si="11"/>
        <v>12</v>
      </c>
      <c r="C222" s="185">
        <f t="shared" si="12"/>
        <v>41269</v>
      </c>
      <c r="D222" s="178" t="s">
        <v>497</v>
      </c>
      <c r="E222" s="178">
        <v>41269</v>
      </c>
      <c r="F222" s="183" t="s">
        <v>340</v>
      </c>
      <c r="G222" s="724" t="s">
        <v>433</v>
      </c>
      <c r="H222" s="187" t="s">
        <v>430</v>
      </c>
      <c r="I222" s="243"/>
      <c r="J222" s="243"/>
      <c r="K222" s="501">
        <v>3181818</v>
      </c>
      <c r="L222" s="188" t="s">
        <v>83</v>
      </c>
      <c r="M222" s="188" t="s">
        <v>47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>x</v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49" t="str">
        <f>IF(OR(TH!L222=TH!$V$7,M222=TH!$V$7),"x","")</f>
        <v/>
      </c>
      <c r="W222" s="49" t="str">
        <f>IF(AND(B222&gt;='IN-NX'!$P$3,B222&lt;='IN-NX'!$Q$3,'IN-NX'!$D$7=D222,OR(LEFT(L222,2)="15",AND(LEFT(M222,2)&lt;&gt;"15",LEFT(M222,2)&lt;&gt;"33"))),"x","")</f>
        <v/>
      </c>
      <c r="X222" s="49" t="str">
        <f>IF(AND(OR(LEFT(TH!L222,2)="15",LEFT(TH!M222,2)="15"),'152-CT'!$J$8=TH!F222),"x","")</f>
        <v/>
      </c>
      <c r="Y222" s="49" t="str">
        <f>IF(AND(OR(LEFT(TH!L222,2)="15",LEFT(TH!M222,2)="15"),TK!$E$7=TH!F222),"x","")</f>
        <v/>
      </c>
      <c r="Z222" s="49" t="str">
        <f>IF(AND(B222&lt;=NKC!$N$8,B222&gt;=NKC!$M$8),"x","")</f>
        <v/>
      </c>
      <c r="AA222" s="715"/>
      <c r="AB222" s="493"/>
      <c r="AD222" s="493"/>
    </row>
    <row r="223" spans="1:30" s="199" customFormat="1" ht="15.75" customHeight="1">
      <c r="A223" s="716" t="str">
        <f>IF(B223&lt;&gt;"",IF(AND(B223&gt;=_TM1,B223&lt;=_TM2,OR(TH!L223="1111",TH!M223="1111")),TH!D223,""),"")</f>
        <v>C28</v>
      </c>
      <c r="B223" s="36">
        <f t="shared" si="11"/>
        <v>12</v>
      </c>
      <c r="C223" s="185">
        <f t="shared" si="12"/>
        <v>41269</v>
      </c>
      <c r="D223" s="178" t="s">
        <v>497</v>
      </c>
      <c r="E223" s="178">
        <v>41269</v>
      </c>
      <c r="F223" s="183" t="s">
        <v>341</v>
      </c>
      <c r="G223" s="724" t="s">
        <v>433</v>
      </c>
      <c r="H223" s="187" t="s">
        <v>430</v>
      </c>
      <c r="I223" s="243"/>
      <c r="J223" s="243"/>
      <c r="K223" s="501">
        <v>318182</v>
      </c>
      <c r="L223" s="188" t="s">
        <v>9</v>
      </c>
      <c r="M223" s="188" t="s">
        <v>47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>x</v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49" t="str">
        <f>IF(OR(TH!L223=TH!$V$7,M223=TH!$V$7),"x","")</f>
        <v/>
      </c>
      <c r="W223" s="49" t="str">
        <f>IF(AND(B223&gt;='IN-NX'!$P$3,B223&lt;='IN-NX'!$Q$3,'IN-NX'!$D$7=D223,OR(LEFT(L223,2)="15",AND(LEFT(M223,2)&lt;&gt;"15",LEFT(M223,2)&lt;&gt;"33"))),"x","")</f>
        <v/>
      </c>
      <c r="X223" s="49" t="str">
        <f>IF(AND(OR(LEFT(TH!L223,2)="15",LEFT(TH!M223,2)="15"),'152-CT'!$J$8=TH!F223),"x","")</f>
        <v/>
      </c>
      <c r="Y223" s="49" t="str">
        <f>IF(AND(OR(LEFT(TH!L223,2)="15",LEFT(TH!M223,2)="15"),TK!$E$7=TH!F223),"x","")</f>
        <v/>
      </c>
      <c r="Z223" s="49" t="str">
        <f>IF(AND(B223&lt;=NKC!$N$8,B223&gt;=NKC!$M$8),"x","")</f>
        <v/>
      </c>
      <c r="AA223" s="715">
        <v>12</v>
      </c>
      <c r="AD223" s="493"/>
    </row>
    <row r="224" spans="1:30" s="199" customFormat="1" ht="15.75" customHeight="1">
      <c r="A224" s="716" t="str">
        <f>IF(B224&lt;&gt;"",IF(AND(B224&gt;=_TM1,B224&lt;=_TM2,OR(TH!L224="1111",TH!M224="1111")),TH!D224,""),"")</f>
        <v/>
      </c>
      <c r="B224" s="36">
        <f t="shared" si="11"/>
        <v>12</v>
      </c>
      <c r="C224" s="185">
        <f t="shared" si="12"/>
        <v>41270</v>
      </c>
      <c r="D224" s="178" t="s">
        <v>584</v>
      </c>
      <c r="E224" s="185">
        <v>41270</v>
      </c>
      <c r="F224" s="186" t="s">
        <v>557</v>
      </c>
      <c r="G224" s="724" t="s">
        <v>558</v>
      </c>
      <c r="H224" s="187" t="s">
        <v>559</v>
      </c>
      <c r="I224" s="243">
        <v>60</v>
      </c>
      <c r="J224" s="243">
        <v>88860</v>
      </c>
      <c r="K224" s="501">
        <f>ROUND(I224*J224,0)</f>
        <v>5331600</v>
      </c>
      <c r="L224" s="502" t="s">
        <v>252</v>
      </c>
      <c r="M224" s="502" t="s">
        <v>164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/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49" t="str">
        <f>IF(OR(TH!L224=TH!$V$7,M224=TH!$V$7),"x","")</f>
        <v/>
      </c>
      <c r="W224" s="49" t="str">
        <f>IF(AND(B224&gt;='IN-NX'!$P$3,B224&lt;='IN-NX'!$Q$3,'IN-NX'!$D$7=D224,OR(LEFT(L224,2)="15",AND(LEFT(M224,2)&lt;&gt;"15",LEFT(M224,2)&lt;&gt;"33"))),"x","")</f>
        <v/>
      </c>
      <c r="X224" s="49" t="str">
        <f>IF(AND(OR(LEFT(TH!L224,2)="15",LEFT(TH!M224,2)="15"),'152-CT'!$J$8=TH!F224),"x","")</f>
        <v/>
      </c>
      <c r="Y224" s="49" t="str">
        <f>IF(AND(OR(LEFT(TH!L224,2)="15",LEFT(TH!M224,2)="15"),TK!$E$7=TH!F224),"x","")</f>
        <v/>
      </c>
      <c r="Z224" s="49" t="str">
        <f>IF(AND(B224&lt;=NKC!$N$8,B224&gt;=NKC!$M$8),"x","")</f>
        <v/>
      </c>
      <c r="AA224" s="715"/>
      <c r="AB224" s="493"/>
    </row>
    <row r="225" spans="1:30" s="199" customFormat="1" ht="15.75" customHeight="1">
      <c r="A225" s="716" t="str">
        <f>IF(B225&lt;&gt;"",IF(AND(B225&gt;=_TM1,B225&lt;=_TM2,OR(TH!L225="1111",TH!M225="1111")),TH!D225,""),"")</f>
        <v/>
      </c>
      <c r="B225" s="36">
        <f t="shared" si="11"/>
        <v>12</v>
      </c>
      <c r="C225" s="185">
        <f t="shared" si="12"/>
        <v>41270</v>
      </c>
      <c r="D225" s="178" t="s">
        <v>584</v>
      </c>
      <c r="E225" s="185">
        <v>41270</v>
      </c>
      <c r="F225" s="186" t="s">
        <v>509</v>
      </c>
      <c r="G225" s="724" t="s">
        <v>558</v>
      </c>
      <c r="H225" s="187" t="s">
        <v>559</v>
      </c>
      <c r="I225" s="243"/>
      <c r="J225" s="243"/>
      <c r="K225" s="501">
        <v>533160</v>
      </c>
      <c r="L225" s="502" t="s">
        <v>252</v>
      </c>
      <c r="M225" s="502" t="s">
        <v>296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/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49" t="str">
        <f>IF(OR(TH!L225=TH!$V$7,M225=TH!$V$7),"x","")</f>
        <v/>
      </c>
      <c r="W225" s="49" t="str">
        <f>IF(AND(B225&gt;='IN-NX'!$P$3,B225&lt;='IN-NX'!$Q$3,'IN-NX'!$D$7=D225,OR(LEFT(L225,2)="15",AND(LEFT(M225,2)&lt;&gt;"15",LEFT(M225,2)&lt;&gt;"33"))),"x","")</f>
        <v/>
      </c>
      <c r="X225" s="49" t="str">
        <f>IF(AND(OR(LEFT(TH!L225,2)="15",LEFT(TH!M225,2)="15"),'152-CT'!$J$8=TH!F225),"x","")</f>
        <v/>
      </c>
      <c r="Y225" s="49" t="str">
        <f>IF(AND(OR(LEFT(TH!L225,2)="15",LEFT(TH!M225,2)="15"),TK!$E$7=TH!F225),"x","")</f>
        <v/>
      </c>
      <c r="Z225" s="49" t="str">
        <f>IF(AND(B225&lt;=NKC!$N$8,B225&gt;=NKC!$M$8),"x","")</f>
        <v/>
      </c>
      <c r="AA225" s="715"/>
      <c r="AB225" s="493"/>
      <c r="AC225" s="493"/>
      <c r="AD225" s="493"/>
    </row>
    <row r="226" spans="1:30" s="199" customFormat="1" ht="15.75" customHeight="1">
      <c r="A226" s="716" t="str">
        <f>IF(B226&lt;&gt;"",IF(AND(B226&gt;=_TM1,B226&lt;=_TM2,OR(TH!L226="1111",TH!M226="1111")),TH!D226,""),"")</f>
        <v>T17</v>
      </c>
      <c r="B226" s="36">
        <f t="shared" si="11"/>
        <v>12</v>
      </c>
      <c r="C226" s="185">
        <f t="shared" si="12"/>
        <v>41270</v>
      </c>
      <c r="D226" s="178" t="s">
        <v>596</v>
      </c>
      <c r="E226" s="185">
        <v>41270</v>
      </c>
      <c r="F226" s="186" t="s">
        <v>447</v>
      </c>
      <c r="G226" s="724" t="s">
        <v>558</v>
      </c>
      <c r="H226" s="187" t="s">
        <v>559</v>
      </c>
      <c r="I226" s="243"/>
      <c r="J226" s="243"/>
      <c r="K226" s="501">
        <v>5864760</v>
      </c>
      <c r="L226" s="502" t="s">
        <v>47</v>
      </c>
      <c r="M226" s="502" t="s">
        <v>252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>x</v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49" t="str">
        <f>IF(OR(TH!L226=TH!$V$7,M226=TH!$V$7),"x","")</f>
        <v/>
      </c>
      <c r="W226" s="49" t="str">
        <f>IF(AND(B226&gt;='IN-NX'!$P$3,B226&lt;='IN-NX'!$Q$3,'IN-NX'!$D$7=D226,OR(LEFT(L226,2)="15",AND(LEFT(M226,2)&lt;&gt;"15",LEFT(M226,2)&lt;&gt;"33"))),"x","")</f>
        <v/>
      </c>
      <c r="X226" s="49" t="str">
        <f>IF(AND(OR(LEFT(TH!L226,2)="15",LEFT(TH!M226,2)="15"),'152-CT'!$J$8=TH!F226),"x","")</f>
        <v/>
      </c>
      <c r="Y226" s="49" t="str">
        <f>IF(AND(OR(LEFT(TH!L226,2)="15",LEFT(TH!M226,2)="15"),TK!$E$7=TH!F226),"x","")</f>
        <v/>
      </c>
      <c r="Z226" s="49" t="str">
        <f>IF(AND(B226&lt;=NKC!$N$8,B226&gt;=NKC!$M$8),"x","")</f>
        <v/>
      </c>
      <c r="AA226" s="715"/>
      <c r="AB226" s="493"/>
      <c r="AC226" s="493"/>
      <c r="AD226" s="493"/>
    </row>
    <row r="227" spans="1:30" s="199" customFormat="1" ht="15.75" customHeight="1">
      <c r="A227" s="716" t="str">
        <f>IF(B227&lt;&gt;"",IF(AND(B227&gt;=_TM1,B227&lt;=_TM2,OR(TH!L227="1111",TH!M227="1111")),TH!D227,""),"")</f>
        <v>T18</v>
      </c>
      <c r="B227" s="36">
        <f t="shared" si="11"/>
        <v>12</v>
      </c>
      <c r="C227" s="185">
        <f t="shared" si="12"/>
        <v>41271</v>
      </c>
      <c r="D227" s="178" t="s">
        <v>597</v>
      </c>
      <c r="E227" s="178">
        <v>41271</v>
      </c>
      <c r="F227" s="183" t="s">
        <v>449</v>
      </c>
      <c r="G227" s="723" t="s">
        <v>351</v>
      </c>
      <c r="H227" s="187" t="s">
        <v>454</v>
      </c>
      <c r="I227" s="243"/>
      <c r="J227" s="243"/>
      <c r="K227" s="501">
        <v>19000000</v>
      </c>
      <c r="L227" s="502" t="s">
        <v>47</v>
      </c>
      <c r="M227" s="502" t="s">
        <v>24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>x</v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>x</v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49" t="str">
        <f>IF(OR(TH!L227=TH!$V$7,M227=TH!$V$7),"x","")</f>
        <v/>
      </c>
      <c r="W227" s="49" t="str">
        <f>IF(AND(B227&gt;='IN-NX'!$P$3,B227&lt;='IN-NX'!$Q$3,'IN-NX'!$D$7=D227,OR(LEFT(L227,2)="15",AND(LEFT(M227,2)&lt;&gt;"15",LEFT(M227,2)&lt;&gt;"33"))),"x","")</f>
        <v/>
      </c>
      <c r="X227" s="49" t="str">
        <f>IF(AND(OR(LEFT(TH!L227,2)="15",LEFT(TH!M227,2)="15"),'152-CT'!$J$8=TH!F227),"x","")</f>
        <v/>
      </c>
      <c r="Y227" s="49" t="str">
        <f>IF(AND(OR(LEFT(TH!L227,2)="15",LEFT(TH!M227,2)="15"),TK!$E$7=TH!F227),"x","")</f>
        <v/>
      </c>
      <c r="Z227" s="49" t="str">
        <f>IF(AND(B227&lt;=NKC!$N$8,B227&gt;=NKC!$M$8),"x","")</f>
        <v/>
      </c>
      <c r="AA227" s="715"/>
      <c r="AB227" s="493"/>
      <c r="AC227" s="493"/>
      <c r="AD227" s="493"/>
    </row>
    <row r="228" spans="1:30" s="199" customFormat="1" ht="15.75" customHeight="1">
      <c r="A228" s="716" t="str">
        <f>IF(B228&lt;&gt;"",IF(AND(B228&gt;=_TM1,B228&lt;=_TM2,OR(TH!L228="1111",TH!M228="1111")),TH!D228,""),"")</f>
        <v>C29</v>
      </c>
      <c r="B228" s="36">
        <f t="shared" si="11"/>
        <v>12</v>
      </c>
      <c r="C228" s="185">
        <f t="shared" si="12"/>
        <v>41271</v>
      </c>
      <c r="D228" s="178" t="s">
        <v>499</v>
      </c>
      <c r="E228" s="178">
        <v>41271</v>
      </c>
      <c r="F228" s="183" t="s">
        <v>340</v>
      </c>
      <c r="G228" s="724" t="s">
        <v>432</v>
      </c>
      <c r="H228" s="187" t="s">
        <v>430</v>
      </c>
      <c r="I228" s="243"/>
      <c r="J228" s="243"/>
      <c r="K228" s="501">
        <v>3363636</v>
      </c>
      <c r="L228" s="188" t="s">
        <v>83</v>
      </c>
      <c r="M228" s="188" t="s">
        <v>47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>x</v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49" t="str">
        <f>IF(OR(TH!L228=TH!$V$7,M228=TH!$V$7),"x","")</f>
        <v/>
      </c>
      <c r="W228" s="49" t="str">
        <f>IF(AND(B228&gt;='IN-NX'!$P$3,B228&lt;='IN-NX'!$Q$3,'IN-NX'!$D$7=D228,OR(LEFT(L228,2)="15",AND(LEFT(M228,2)&lt;&gt;"15",LEFT(M228,2)&lt;&gt;"33"))),"x","")</f>
        <v/>
      </c>
      <c r="X228" s="49" t="str">
        <f>IF(AND(OR(LEFT(TH!L228,2)="15",LEFT(TH!M228,2)="15"),'152-CT'!$J$8=TH!F228),"x","")</f>
        <v/>
      </c>
      <c r="Y228" s="49" t="str">
        <f>IF(AND(OR(LEFT(TH!L228,2)="15",LEFT(TH!M228,2)="15"),TK!$E$7=TH!F228),"x","")</f>
        <v/>
      </c>
      <c r="Z228" s="49" t="str">
        <f>IF(AND(B228&lt;=NKC!$N$8,B228&gt;=NKC!$M$8),"x","")</f>
        <v/>
      </c>
      <c r="AA228" s="715"/>
      <c r="AB228" s="493"/>
      <c r="AC228" s="493"/>
      <c r="AD228" s="493"/>
    </row>
    <row r="229" spans="1:30" s="199" customFormat="1" ht="15.75" customHeight="1">
      <c r="A229" s="716" t="str">
        <f>IF(B229&lt;&gt;"",IF(AND(B229&gt;=_TM1,B229&lt;=_TM2,OR(TH!L229="1111",TH!M229="1111")),TH!D229,""),"")</f>
        <v>C29</v>
      </c>
      <c r="B229" s="36">
        <f t="shared" si="11"/>
        <v>12</v>
      </c>
      <c r="C229" s="185">
        <f t="shared" si="12"/>
        <v>41271</v>
      </c>
      <c r="D229" s="178" t="s">
        <v>499</v>
      </c>
      <c r="E229" s="178">
        <v>41271</v>
      </c>
      <c r="F229" s="183" t="s">
        <v>341</v>
      </c>
      <c r="G229" s="724" t="s">
        <v>432</v>
      </c>
      <c r="H229" s="187" t="s">
        <v>430</v>
      </c>
      <c r="I229" s="243"/>
      <c r="J229" s="243"/>
      <c r="K229" s="501">
        <v>336364</v>
      </c>
      <c r="L229" s="188" t="s">
        <v>9</v>
      </c>
      <c r="M229" s="188" t="s">
        <v>47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>x</v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/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49" t="str">
        <f>IF(OR(TH!L229=TH!$V$7,M229=TH!$V$7),"x","")</f>
        <v/>
      </c>
      <c r="W229" s="49" t="str">
        <f>IF(AND(B229&gt;='IN-NX'!$P$3,B229&lt;='IN-NX'!$Q$3,'IN-NX'!$D$7=D229,OR(LEFT(L229,2)="15",AND(LEFT(M229,2)&lt;&gt;"15",LEFT(M229,2)&lt;&gt;"33"))),"x","")</f>
        <v/>
      </c>
      <c r="X229" s="49" t="str">
        <f>IF(AND(OR(LEFT(TH!L229,2)="15",LEFT(TH!M229,2)="15"),'152-CT'!$J$8=TH!F229),"x","")</f>
        <v/>
      </c>
      <c r="Y229" s="49" t="str">
        <f>IF(AND(OR(LEFT(TH!L229,2)="15",LEFT(TH!M229,2)="15"),TK!$E$7=TH!F229),"x","")</f>
        <v/>
      </c>
      <c r="Z229" s="49" t="str">
        <f>IF(AND(B229&lt;=NKC!$N$8,B229&gt;=NKC!$M$8),"x","")</f>
        <v/>
      </c>
      <c r="AA229" s="715">
        <v>12</v>
      </c>
      <c r="AD229" s="493"/>
    </row>
    <row r="230" spans="1:30" s="199" customFormat="1" ht="15.75" customHeight="1">
      <c r="A230" s="716" t="str">
        <f>IF(B230&lt;&gt;"",IF(AND(B230&gt;=_TM1,B230&lt;=_TM2,OR(TH!L230="1111",TH!M230="1111")),TH!D230,""),"")</f>
        <v/>
      </c>
      <c r="B230" s="36">
        <f t="shared" si="11"/>
        <v>12</v>
      </c>
      <c r="C230" s="185">
        <f t="shared" si="12"/>
        <v>41273</v>
      </c>
      <c r="D230" s="178" t="s">
        <v>501</v>
      </c>
      <c r="E230" s="178">
        <v>41273</v>
      </c>
      <c r="F230" s="183" t="s">
        <v>402</v>
      </c>
      <c r="G230" s="724" t="s">
        <v>435</v>
      </c>
      <c r="H230" s="7" t="s">
        <v>363</v>
      </c>
      <c r="I230" s="243">
        <v>550</v>
      </c>
      <c r="J230" s="243">
        <v>8556</v>
      </c>
      <c r="K230" s="37">
        <f>ROUND(I230*J230,0)</f>
        <v>4705800</v>
      </c>
      <c r="L230" s="188" t="s">
        <v>352</v>
      </c>
      <c r="M230" s="188" t="s">
        <v>8</v>
      </c>
      <c r="N230" s="49" t="str">
        <f>IF(AND('331-CT'!$E$7=TH!H230,OR(L230="331",M230="331")),"331",IF(AND(OR(L230="131",M230="131"),H230='131-CT'!$E$7),"131",""))</f>
        <v>331</v>
      </c>
      <c r="O230" s="49" t="str">
        <f>IF(AND($B230&gt;='111'!$N$11,$B230&lt;='111'!$O$11,OR($L230=$O$7,$M230=$O$7)),"x","")</f>
        <v/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49" t="str">
        <f>IF(OR(TH!L230=TH!$V$7,M230=TH!$V$7),"x","")</f>
        <v/>
      </c>
      <c r="W230" s="49" t="str">
        <f>IF(AND(B230&gt;='IN-NX'!$P$3,B230&lt;='IN-NX'!$Q$3,'IN-NX'!$D$7=D230,OR(LEFT(L230,2)="15",AND(LEFT(M230,2)&lt;&gt;"15",LEFT(M230,2)&lt;&gt;"33"))),"x","")</f>
        <v/>
      </c>
      <c r="X230" s="49" t="str">
        <f>IF(AND(OR(LEFT(TH!L230,2)="15",LEFT(TH!M230,2)="15"),'152-CT'!$J$8=TH!F230),"x","")</f>
        <v/>
      </c>
      <c r="Y230" s="49" t="str">
        <f>IF(AND(OR(LEFT(TH!L230,2)="15",LEFT(TH!M230,2)="15"),TK!$E$7=TH!F230),"x","")</f>
        <v/>
      </c>
      <c r="Z230" s="49" t="str">
        <f>IF(AND(B230&lt;=NKC!$N$8,B230&gt;=NKC!$M$8),"x","")</f>
        <v/>
      </c>
      <c r="AA230" s="715"/>
      <c r="AB230" s="493"/>
      <c r="AC230" s="493"/>
      <c r="AD230" s="493"/>
    </row>
    <row r="231" spans="1:30" s="199" customFormat="1" ht="15.75" customHeight="1">
      <c r="A231" s="716" t="str">
        <f>IF(B231&lt;&gt;"",IF(AND(B231&gt;=_TM1,B231&lt;=_TM2,OR(TH!L231="1111",TH!M231="1111")),TH!D231,""),"")</f>
        <v/>
      </c>
      <c r="B231" s="36">
        <f t="shared" si="11"/>
        <v>12</v>
      </c>
      <c r="C231" s="185">
        <f t="shared" si="12"/>
        <v>41273</v>
      </c>
      <c r="D231" s="178" t="s">
        <v>501</v>
      </c>
      <c r="E231" s="178">
        <v>41273</v>
      </c>
      <c r="F231" s="183" t="s">
        <v>436</v>
      </c>
      <c r="G231" s="724" t="s">
        <v>435</v>
      </c>
      <c r="H231" s="7" t="s">
        <v>363</v>
      </c>
      <c r="I231" s="243">
        <v>550</v>
      </c>
      <c r="J231" s="243">
        <v>11532</v>
      </c>
      <c r="K231" s="37">
        <f>ROUND(I231*J231,0)</f>
        <v>6342600</v>
      </c>
      <c r="L231" s="188" t="s">
        <v>352</v>
      </c>
      <c r="M231" s="188" t="s">
        <v>8</v>
      </c>
      <c r="N231" s="49" t="str">
        <f>IF(AND('331-CT'!$E$7=TH!H231,OR(L231="331",M231="331")),"331",IF(AND(OR(L231="131",M231="131"),H231='131-CT'!$E$7),"131",""))</f>
        <v>331</v>
      </c>
      <c r="O231" s="49" t="str">
        <f>IF(AND($B231&gt;='111'!$N$11,$B231&lt;='111'!$O$11,OR($L231=$O$7,$M231=$O$7)),"x","")</f>
        <v/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49" t="str">
        <f>IF(OR(TH!L231=TH!$V$7,M231=TH!$V$7),"x","")</f>
        <v/>
      </c>
      <c r="W231" s="49" t="str">
        <f>IF(AND(B231&gt;='IN-NX'!$P$3,B231&lt;='IN-NX'!$Q$3,'IN-NX'!$D$7=D231,OR(LEFT(L231,2)="15",AND(LEFT(M231,2)&lt;&gt;"15",LEFT(M231,2)&lt;&gt;"33"))),"x","")</f>
        <v/>
      </c>
      <c r="X231" s="49" t="str">
        <f>IF(AND(OR(LEFT(TH!L231,2)="15",LEFT(TH!M231,2)="15"),'152-CT'!$J$8=TH!F231),"x","")</f>
        <v/>
      </c>
      <c r="Y231" s="49" t="str">
        <f>IF(AND(OR(LEFT(TH!L231,2)="15",LEFT(TH!M231,2)="15"),TK!$E$7=TH!F231),"x","")</f>
        <v/>
      </c>
      <c r="Z231" s="49" t="str">
        <f>IF(AND(B231&lt;=NKC!$N$8,B231&gt;=NKC!$M$8),"x","")</f>
        <v/>
      </c>
      <c r="AA231" s="715"/>
      <c r="AD231" s="493"/>
    </row>
    <row r="232" spans="1:30" s="199" customFormat="1" ht="15.75" customHeight="1">
      <c r="A232" s="716" t="str">
        <f>IF(B232&lt;&gt;"",IF(AND(B232&gt;=_TM1,B232&lt;=_TM2,OR(TH!L232="1111",TH!M232="1111")),TH!D232,""),"")</f>
        <v/>
      </c>
      <c r="B232" s="36">
        <f t="shared" si="11"/>
        <v>12</v>
      </c>
      <c r="C232" s="185">
        <f t="shared" si="12"/>
        <v>41273</v>
      </c>
      <c r="D232" s="178" t="s">
        <v>501</v>
      </c>
      <c r="E232" s="178">
        <v>41273</v>
      </c>
      <c r="F232" s="183" t="s">
        <v>372</v>
      </c>
      <c r="G232" s="724" t="s">
        <v>435</v>
      </c>
      <c r="H232" s="7" t="s">
        <v>363</v>
      </c>
      <c r="I232" s="243">
        <v>500</v>
      </c>
      <c r="J232" s="243">
        <v>10298</v>
      </c>
      <c r="K232" s="37">
        <f>ROUND(I232*J232,0)</f>
        <v>5149000</v>
      </c>
      <c r="L232" s="188" t="s">
        <v>352</v>
      </c>
      <c r="M232" s="188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49" t="str">
        <f>IF(OR(TH!L232=TH!$V$7,M232=TH!$V$7),"x","")</f>
        <v/>
      </c>
      <c r="W232" s="49" t="str">
        <f>IF(AND(B232&gt;='IN-NX'!$P$3,B232&lt;='IN-NX'!$Q$3,'IN-NX'!$D$7=D232,OR(LEFT(L232,2)="15",AND(LEFT(M232,2)&lt;&gt;"15",LEFT(M232,2)&lt;&gt;"33"))),"x","")</f>
        <v/>
      </c>
      <c r="X232" s="49" t="str">
        <f>IF(AND(OR(LEFT(TH!L232,2)="15",LEFT(TH!M232,2)="15"),'152-CT'!$J$8=TH!F232),"x","")</f>
        <v/>
      </c>
      <c r="Y232" s="49" t="str">
        <f>IF(AND(OR(LEFT(TH!L232,2)="15",LEFT(TH!M232,2)="15"),TK!$E$7=TH!F232),"x","")</f>
        <v/>
      </c>
      <c r="Z232" s="49" t="str">
        <f>IF(AND(B232&lt;=NKC!$N$8,B232&gt;=NKC!$M$8),"x","")</f>
        <v/>
      </c>
      <c r="AA232" s="715"/>
      <c r="AB232" s="493"/>
      <c r="AD232" s="493"/>
    </row>
    <row r="233" spans="1:30" s="199" customFormat="1" ht="15.75" customHeight="1">
      <c r="A233" s="716" t="str">
        <f>IF(B233&lt;&gt;"",IF(AND(B233&gt;=_TM1,B233&lt;=_TM2,OR(TH!L233="1111",TH!M233="1111")),TH!D233,""),"")</f>
        <v/>
      </c>
      <c r="B233" s="36">
        <f t="shared" si="11"/>
        <v>12</v>
      </c>
      <c r="C233" s="185">
        <f t="shared" si="12"/>
        <v>41273</v>
      </c>
      <c r="D233" s="178" t="s">
        <v>501</v>
      </c>
      <c r="E233" s="178">
        <v>41273</v>
      </c>
      <c r="F233" s="183" t="s">
        <v>365</v>
      </c>
      <c r="G233" s="724" t="s">
        <v>435</v>
      </c>
      <c r="H233" s="7" t="s">
        <v>363</v>
      </c>
      <c r="I233" s="243"/>
      <c r="J233" s="243"/>
      <c r="K233" s="37">
        <v>1619740</v>
      </c>
      <c r="L233" s="188" t="s">
        <v>9</v>
      </c>
      <c r="M233" s="188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49" t="str">
        <f>IF(OR(TH!L233=TH!$V$7,M233=TH!$V$7),"x","")</f>
        <v/>
      </c>
      <c r="W233" s="49" t="str">
        <f>IF(AND(B233&gt;='IN-NX'!$P$3,B233&lt;='IN-NX'!$Q$3,'IN-NX'!$D$7=D233,OR(LEFT(L233,2)="15",AND(LEFT(M233,2)&lt;&gt;"15",LEFT(M233,2)&lt;&gt;"33"))),"x","")</f>
        <v/>
      </c>
      <c r="X233" s="49" t="str">
        <f>IF(AND(OR(LEFT(TH!L233,2)="15",LEFT(TH!M233,2)="15"),'152-CT'!$J$8=TH!F233),"x","")</f>
        <v/>
      </c>
      <c r="Y233" s="49" t="str">
        <f>IF(AND(OR(LEFT(TH!L233,2)="15",LEFT(TH!M233,2)="15"),TK!$E$7=TH!F233),"x","")</f>
        <v/>
      </c>
      <c r="Z233" s="49" t="str">
        <f>IF(AND(B233&lt;=NKC!$N$8,B233&gt;=NKC!$M$8),"x","")</f>
        <v/>
      </c>
      <c r="AA233" s="715">
        <v>12</v>
      </c>
      <c r="AB233" s="493"/>
      <c r="AC233" s="493"/>
      <c r="AD233" s="493"/>
    </row>
    <row r="234" spans="1:30" s="199" customFormat="1" ht="15.75" customHeight="1">
      <c r="A234" s="716" t="str">
        <f>IF(B234&lt;&gt;"",IF(AND(B234&gt;=_TM1,B234&lt;=_TM2,OR(TH!L234="1111",TH!M234="1111")),TH!D234,""),"")</f>
        <v>C30</v>
      </c>
      <c r="B234" s="36">
        <f t="shared" si="11"/>
        <v>12</v>
      </c>
      <c r="C234" s="185">
        <f t="shared" si="12"/>
        <v>41273</v>
      </c>
      <c r="D234" s="185" t="s">
        <v>500</v>
      </c>
      <c r="E234" s="178">
        <v>41273</v>
      </c>
      <c r="F234" s="183" t="s">
        <v>457</v>
      </c>
      <c r="G234" s="724" t="s">
        <v>435</v>
      </c>
      <c r="H234" s="7" t="s">
        <v>363</v>
      </c>
      <c r="I234" s="243"/>
      <c r="J234" s="243"/>
      <c r="K234" s="37">
        <v>17817140</v>
      </c>
      <c r="L234" s="188" t="s">
        <v>8</v>
      </c>
      <c r="M234" s="188" t="s">
        <v>47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>x</v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49" t="str">
        <f>IF(OR(TH!L234=TH!$V$7,M234=TH!$V$7),"x","")</f>
        <v/>
      </c>
      <c r="W234" s="49" t="str">
        <f>IF(AND(B234&gt;='IN-NX'!$P$3,B234&lt;='IN-NX'!$Q$3,'IN-NX'!$D$7=D234,OR(LEFT(L234,2)="15",AND(LEFT(M234,2)&lt;&gt;"15",LEFT(M234,2)&lt;&gt;"33"))),"x","")</f>
        <v/>
      </c>
      <c r="X234" s="49" t="str">
        <f>IF(AND(OR(LEFT(TH!L234,2)="15",LEFT(TH!M234,2)="15"),'152-CT'!$J$8=TH!F234),"x","")</f>
        <v/>
      </c>
      <c r="Y234" s="49" t="str">
        <f>IF(AND(OR(LEFT(TH!L234,2)="15",LEFT(TH!M234,2)="15"),TK!$E$7=TH!F234),"x","")</f>
        <v/>
      </c>
      <c r="Z234" s="49" t="str">
        <f>IF(AND(B234&lt;=NKC!$N$8,B234&gt;=NKC!$M$8),"x","")</f>
        <v/>
      </c>
      <c r="AA234" s="715"/>
      <c r="AB234" s="493"/>
    </row>
    <row r="235" spans="1:30" s="199" customFormat="1" ht="15.75" customHeight="1">
      <c r="A235" s="716" t="str">
        <f>IF(B235&lt;&gt;"",IF(AND(B235&gt;=_TM1,B235&lt;=_TM2,OR(TH!L235="1111",TH!M235="1111")),TH!D235,""),"")</f>
        <v>C31</v>
      </c>
      <c r="B235" s="36">
        <f t="shared" si="11"/>
        <v>12</v>
      </c>
      <c r="C235" s="185">
        <f t="shared" si="12"/>
        <v>41273</v>
      </c>
      <c r="D235" s="185" t="s">
        <v>502</v>
      </c>
      <c r="E235" s="178">
        <v>41273</v>
      </c>
      <c r="F235" s="183" t="s">
        <v>340</v>
      </c>
      <c r="G235" s="724" t="s">
        <v>431</v>
      </c>
      <c r="H235" s="187" t="s">
        <v>430</v>
      </c>
      <c r="I235" s="243"/>
      <c r="J235" s="243"/>
      <c r="K235" s="501">
        <v>2545455</v>
      </c>
      <c r="L235" s="188" t="s">
        <v>83</v>
      </c>
      <c r="M235" s="188" t="s">
        <v>47</v>
      </c>
      <c r="N235" s="49" t="str">
        <f>IF(AND('331-CT'!$E$7=TH!H235,OR(L235="331",M235="331")),"331",IF(AND(OR(L235="131",M235="131"),H235='131-CT'!$E$7),"131",""))</f>
        <v/>
      </c>
      <c r="O235" s="49" t="str">
        <f>IF(AND($B235&gt;='111'!$N$11,$B235&lt;='111'!$O$11,OR($L235=$O$7,$M235=$O$7)),"x","")</f>
        <v>x</v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49" t="str">
        <f>IF(OR(TH!L235=TH!$V$7,M235=TH!$V$7),"x","")</f>
        <v/>
      </c>
      <c r="W235" s="49" t="str">
        <f>IF(AND(B235&gt;='IN-NX'!$P$3,B235&lt;='IN-NX'!$Q$3,'IN-NX'!$D$7=D235,OR(LEFT(L235,2)="15",AND(LEFT(M235,2)&lt;&gt;"15",LEFT(M235,2)&lt;&gt;"33"))),"x","")</f>
        <v/>
      </c>
      <c r="X235" s="49" t="str">
        <f>IF(AND(OR(LEFT(TH!L235,2)="15",LEFT(TH!M235,2)="15"),'152-CT'!$J$8=TH!F235),"x","")</f>
        <v/>
      </c>
      <c r="Y235" s="49" t="str">
        <f>IF(AND(OR(LEFT(TH!L235,2)="15",LEFT(TH!M235,2)="15"),TK!$E$7=TH!F235),"x","")</f>
        <v/>
      </c>
      <c r="Z235" s="49" t="str">
        <f>IF(AND(B235&lt;=NKC!$N$8,B235&gt;=NKC!$M$8),"x","")</f>
        <v/>
      </c>
      <c r="AA235" s="715"/>
      <c r="AB235" s="493"/>
      <c r="AC235" s="493"/>
      <c r="AD235" s="493"/>
    </row>
    <row r="236" spans="1:30" s="199" customFormat="1" ht="15.75" customHeight="1">
      <c r="A236" s="716" t="str">
        <f>IF(B236&lt;&gt;"",IF(AND(B236&gt;=_TM1,B236&lt;=_TM2,OR(TH!L236="1111",TH!M236="1111")),TH!D236,""),"")</f>
        <v>C31</v>
      </c>
      <c r="B236" s="36">
        <f t="shared" si="11"/>
        <v>12</v>
      </c>
      <c r="C236" s="185">
        <f t="shared" si="12"/>
        <v>41273</v>
      </c>
      <c r="D236" s="185" t="s">
        <v>502</v>
      </c>
      <c r="E236" s="178">
        <v>41273</v>
      </c>
      <c r="F236" s="183" t="s">
        <v>341</v>
      </c>
      <c r="G236" s="724" t="s">
        <v>431</v>
      </c>
      <c r="H236" s="187" t="s">
        <v>430</v>
      </c>
      <c r="I236" s="243"/>
      <c r="J236" s="243"/>
      <c r="K236" s="501">
        <v>254545</v>
      </c>
      <c r="L236" s="188" t="s">
        <v>9</v>
      </c>
      <c r="M236" s="188" t="s">
        <v>47</v>
      </c>
      <c r="N236" s="49" t="str">
        <f>IF(AND('331-CT'!$E$7=TH!H236,OR(L236="331",M236="331")),"331",IF(AND(OR(L236="131",M236="131"),H236='131-CT'!$E$7),"131",""))</f>
        <v/>
      </c>
      <c r="O236" s="49" t="str">
        <f>IF(AND($B236&gt;='111'!$N$11,$B236&lt;='111'!$O$11,OR($L236=$O$7,$M236=$O$7)),"x","")</f>
        <v>x</v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49" t="str">
        <f>IF(OR(TH!L236=TH!$V$7,M236=TH!$V$7),"x","")</f>
        <v/>
      </c>
      <c r="W236" s="49" t="str">
        <f>IF(AND(B236&gt;='IN-NX'!$P$3,B236&lt;='IN-NX'!$Q$3,'IN-NX'!$D$7=D236,OR(LEFT(L236,2)="15",AND(LEFT(M236,2)&lt;&gt;"15",LEFT(M236,2)&lt;&gt;"33"))),"x","")</f>
        <v/>
      </c>
      <c r="X236" s="49" t="str">
        <f>IF(AND(OR(LEFT(TH!L236,2)="15",LEFT(TH!M236,2)="15"),'152-CT'!$J$8=TH!F236),"x","")</f>
        <v/>
      </c>
      <c r="Y236" s="49" t="str">
        <f>IF(AND(OR(LEFT(TH!L236,2)="15",LEFT(TH!M236,2)="15"),TK!$E$7=TH!F236),"x","")</f>
        <v/>
      </c>
      <c r="Z236" s="49" t="str">
        <f>IF(AND(B236&lt;=NKC!$N$8,B236&gt;=NKC!$M$8),"x","")</f>
        <v/>
      </c>
      <c r="AA236" s="715">
        <v>12</v>
      </c>
      <c r="AB236" s="493"/>
      <c r="AC236" s="493"/>
      <c r="AD236" s="493"/>
    </row>
    <row r="237" spans="1:30" s="199" customFormat="1" ht="15.75" customHeight="1">
      <c r="A237" s="716" t="str">
        <f>IF(B237&lt;&gt;"",IF(AND(B237&gt;=_TM1,B237&lt;=_TM2,OR(TH!L237="1111",TH!M237="1111")),TH!D237,""),"")</f>
        <v/>
      </c>
      <c r="B237" s="36">
        <f t="shared" si="11"/>
        <v>12</v>
      </c>
      <c r="C237" s="185">
        <f t="shared" si="12"/>
        <v>41274</v>
      </c>
      <c r="D237" s="178" t="s">
        <v>444</v>
      </c>
      <c r="E237" s="178">
        <v>41274</v>
      </c>
      <c r="F237" s="183" t="s">
        <v>451</v>
      </c>
      <c r="G237" s="723" t="s">
        <v>351</v>
      </c>
      <c r="H237" s="187"/>
      <c r="I237" s="243"/>
      <c r="J237" s="243"/>
      <c r="K237" s="501">
        <v>7199</v>
      </c>
      <c r="L237" s="502" t="s">
        <v>24</v>
      </c>
      <c r="M237" s="502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49" t="str">
        <f>IF(OR(TH!L237=TH!$V$7,M237=TH!$V$7),"x","")</f>
        <v/>
      </c>
      <c r="W237" s="49" t="str">
        <f>IF(AND(B237&gt;='IN-NX'!$P$3,B237&lt;='IN-NX'!$Q$3,'IN-NX'!$D$7=D237,OR(LEFT(L237,2)="15",AND(LEFT(M237,2)&lt;&gt;"15",LEFT(M237,2)&lt;&gt;"33"))),"x","")</f>
        <v/>
      </c>
      <c r="X237" s="49" t="str">
        <f>IF(AND(OR(LEFT(TH!L237,2)="15",LEFT(TH!M237,2)="15"),'152-CT'!$J$8=TH!F237),"x","")</f>
        <v/>
      </c>
      <c r="Y237" s="49" t="str">
        <f>IF(AND(OR(LEFT(TH!L237,2)="15",LEFT(TH!M237,2)="15"),TK!$E$7=TH!F237),"x","")</f>
        <v/>
      </c>
      <c r="Z237" s="49" t="str">
        <f>IF(AND(B237&lt;=NKC!$N$8,B237&gt;=NKC!$M$8),"x","")</f>
        <v/>
      </c>
      <c r="AA237" s="715"/>
      <c r="AB237" s="493"/>
      <c r="AC237" s="493"/>
      <c r="AD237" s="493"/>
    </row>
    <row r="238" spans="1:30" s="199" customFormat="1" ht="15.75" customHeight="1">
      <c r="A238" s="716" t="str">
        <f>IF(B238&lt;&gt;"",IF(AND(B238&gt;=_TM1,B238&lt;=_TM2,OR(TH!L238="1111",TH!M238="1111")),TH!D238,""),"")</f>
        <v/>
      </c>
      <c r="B238" s="36">
        <f t="shared" si="11"/>
        <v>12</v>
      </c>
      <c r="C238" s="185">
        <f t="shared" si="12"/>
        <v>41274</v>
      </c>
      <c r="D238" s="178" t="s">
        <v>456</v>
      </c>
      <c r="E238" s="178">
        <v>41274</v>
      </c>
      <c r="F238" s="183" t="s">
        <v>446</v>
      </c>
      <c r="G238" s="723" t="s">
        <v>351</v>
      </c>
      <c r="H238" s="187"/>
      <c r="I238" s="243"/>
      <c r="J238" s="243"/>
      <c r="K238" s="501">
        <v>11000</v>
      </c>
      <c r="L238" s="502" t="s">
        <v>83</v>
      </c>
      <c r="M238" s="502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49" t="str">
        <f>IF(OR(TH!L238=TH!$V$7,M238=TH!$V$7),"x","")</f>
        <v/>
      </c>
      <c r="W238" s="49" t="str">
        <f>IF(AND(B238&gt;='IN-NX'!$P$3,B238&lt;='IN-NX'!$Q$3,'IN-NX'!$D$7=D238,OR(LEFT(L238,2)="15",AND(LEFT(M238,2)&lt;&gt;"15",LEFT(M238,2)&lt;&gt;"33"))),"x","")</f>
        <v/>
      </c>
      <c r="X238" s="49" t="str">
        <f>IF(AND(OR(LEFT(TH!L238,2)="15",LEFT(TH!M238,2)="15"),'152-CT'!$J$8=TH!F238),"x","")</f>
        <v/>
      </c>
      <c r="Y238" s="49" t="str">
        <f>IF(AND(OR(LEFT(TH!L238,2)="15",LEFT(TH!M238,2)="15"),TK!$E$7=TH!F238),"x","")</f>
        <v/>
      </c>
      <c r="Z238" s="49" t="str">
        <f>IF(AND(B238&lt;=NKC!$N$8,B238&gt;=NKC!$M$8),"x","")</f>
        <v/>
      </c>
      <c r="AA238" s="715"/>
      <c r="AB238" s="493"/>
      <c r="AC238" s="493"/>
      <c r="AD238" s="493"/>
    </row>
    <row r="239" spans="1:30" s="199" customFormat="1" ht="15.75" customHeight="1">
      <c r="A239" s="716" t="str">
        <f>IF(B239&lt;&gt;"",IF(AND(B239&gt;=_TM1,B239&lt;=_TM2,OR(TH!L239="1111",TH!M239="1111")),TH!D239,""),"")</f>
        <v>C32</v>
      </c>
      <c r="B239" s="36">
        <f t="shared" si="11"/>
        <v>12</v>
      </c>
      <c r="C239" s="185">
        <f t="shared" si="12"/>
        <v>41274</v>
      </c>
      <c r="D239" s="178" t="s">
        <v>503</v>
      </c>
      <c r="E239" s="178">
        <v>41274</v>
      </c>
      <c r="F239" s="183" t="s">
        <v>410</v>
      </c>
      <c r="G239" s="724" t="s">
        <v>339</v>
      </c>
      <c r="H239" s="187" t="s">
        <v>434</v>
      </c>
      <c r="I239" s="243"/>
      <c r="J239" s="243"/>
      <c r="K239" s="501">
        <v>3000000</v>
      </c>
      <c r="L239" s="188" t="s">
        <v>83</v>
      </c>
      <c r="M239" s="188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>x</v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49" t="str">
        <f>IF(OR(TH!L239=TH!$V$7,M239=TH!$V$7),"x","")</f>
        <v/>
      </c>
      <c r="W239" s="49" t="str">
        <f>IF(AND(B239&gt;='IN-NX'!$P$3,B239&lt;='IN-NX'!$Q$3,'IN-NX'!$D$7=D239,OR(LEFT(L239,2)="15",AND(LEFT(M239,2)&lt;&gt;"15",LEFT(M239,2)&lt;&gt;"33"))),"x","")</f>
        <v/>
      </c>
      <c r="X239" s="49" t="str">
        <f>IF(AND(OR(LEFT(TH!L239,2)="15",LEFT(TH!M239,2)="15"),'152-CT'!$J$8=TH!F239),"x","")</f>
        <v/>
      </c>
      <c r="Y239" s="49" t="str">
        <f>IF(AND(OR(LEFT(TH!L239,2)="15",LEFT(TH!M239,2)="15"),TK!$E$7=TH!F239),"x","")</f>
        <v/>
      </c>
      <c r="Z239" s="49" t="str">
        <f>IF(AND(B239&lt;=NKC!$N$8,B239&gt;=NKC!$M$8),"x","")</f>
        <v/>
      </c>
      <c r="AA239" s="715"/>
      <c r="AB239" s="493"/>
      <c r="AD239" s="493"/>
    </row>
    <row r="240" spans="1:30" s="199" customFormat="1" ht="15.75" customHeight="1">
      <c r="A240" s="716" t="str">
        <f>IF(B240&lt;&gt;"",IF(AND(B240&gt;=_TM1,B240&lt;=_TM2,OR(TH!L240="1111",TH!M240="1111")),TH!D240,""),"")</f>
        <v>C32</v>
      </c>
      <c r="B240" s="36">
        <f t="shared" si="11"/>
        <v>12</v>
      </c>
      <c r="C240" s="185">
        <f t="shared" si="12"/>
        <v>41274</v>
      </c>
      <c r="D240" s="178" t="s">
        <v>503</v>
      </c>
      <c r="E240" s="178">
        <v>41274</v>
      </c>
      <c r="F240" s="183" t="s">
        <v>411</v>
      </c>
      <c r="G240" s="724" t="s">
        <v>339</v>
      </c>
      <c r="H240" s="187" t="s">
        <v>434</v>
      </c>
      <c r="I240" s="243"/>
      <c r="J240" s="243"/>
      <c r="K240" s="501">
        <v>300000</v>
      </c>
      <c r="L240" s="188" t="s">
        <v>9</v>
      </c>
      <c r="M240" s="188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>x</v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49" t="str">
        <f>IF(OR(TH!L240=TH!$V$7,M240=TH!$V$7),"x","")</f>
        <v/>
      </c>
      <c r="W240" s="49" t="str">
        <f>IF(AND(B240&gt;='IN-NX'!$P$3,B240&lt;='IN-NX'!$Q$3,'IN-NX'!$D$7=D240,OR(LEFT(L240,2)="15",AND(LEFT(M240,2)&lt;&gt;"15",LEFT(M240,2)&lt;&gt;"33"))),"x","")</f>
        <v/>
      </c>
      <c r="X240" s="49" t="str">
        <f>IF(AND(OR(LEFT(TH!L240,2)="15",LEFT(TH!M240,2)="15"),'152-CT'!$J$8=TH!F240),"x","")</f>
        <v/>
      </c>
      <c r="Y240" s="49" t="str">
        <f>IF(AND(OR(LEFT(TH!L240,2)="15",LEFT(TH!M240,2)="15"),TK!$E$7=TH!F240),"x","")</f>
        <v/>
      </c>
      <c r="Z240" s="49" t="str">
        <f>IF(AND(B240&lt;=NKC!$N$8,B240&gt;=NKC!$M$8),"x","")</f>
        <v/>
      </c>
      <c r="AA240" s="715">
        <v>12</v>
      </c>
      <c r="AB240" s="493"/>
      <c r="AC240" s="493"/>
      <c r="AD240" s="493"/>
    </row>
    <row r="241" spans="1:30" s="199" customFormat="1" ht="15.75" customHeight="1">
      <c r="A241" s="716" t="str">
        <f>IF(B241&lt;&gt;"",IF(AND(B241&gt;=_TM1,B241&lt;=_TM2,OR(TH!L241="1111",TH!M241="1111")),TH!D241,""),"")</f>
        <v>C33</v>
      </c>
      <c r="B241" s="36">
        <f t="shared" si="11"/>
        <v>12</v>
      </c>
      <c r="C241" s="185">
        <f t="shared" si="12"/>
        <v>41274</v>
      </c>
      <c r="D241" s="178" t="s">
        <v>504</v>
      </c>
      <c r="E241" s="178">
        <v>41274</v>
      </c>
      <c r="F241" s="183" t="s">
        <v>301</v>
      </c>
      <c r="G241" s="724" t="s">
        <v>440</v>
      </c>
      <c r="H241" s="187" t="s">
        <v>393</v>
      </c>
      <c r="I241" s="243"/>
      <c r="J241" s="243"/>
      <c r="K241" s="501">
        <v>1137500</v>
      </c>
      <c r="L241" s="502" t="s">
        <v>160</v>
      </c>
      <c r="M241" s="502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>x</v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49" t="str">
        <f>IF(OR(TH!L241=TH!$V$7,M241=TH!$V$7),"x","")</f>
        <v/>
      </c>
      <c r="W241" s="49" t="str">
        <f>IF(AND(B241&gt;='IN-NX'!$P$3,B241&lt;='IN-NX'!$Q$3,'IN-NX'!$D$7=D241,OR(LEFT(L241,2)="15",AND(LEFT(M241,2)&lt;&gt;"15",LEFT(M241,2)&lt;&gt;"33"))),"x","")</f>
        <v/>
      </c>
      <c r="X241" s="49" t="str">
        <f>IF(AND(OR(LEFT(TH!L241,2)="15",LEFT(TH!M241,2)="15"),'152-CT'!$J$8=TH!F241),"x","")</f>
        <v/>
      </c>
      <c r="Y241" s="49" t="str">
        <f>IF(AND(OR(LEFT(TH!L241,2)="15",LEFT(TH!M241,2)="15"),TK!$E$7=TH!F241),"x","")</f>
        <v/>
      </c>
      <c r="Z241" s="49" t="str">
        <f>IF(AND(B241&lt;=NKC!$N$8,B241&gt;=NKC!$M$8),"x","")</f>
        <v/>
      </c>
      <c r="AA241" s="715"/>
      <c r="AB241" s="493"/>
      <c r="AD241" s="493"/>
    </row>
    <row r="242" spans="1:30" s="199" customFormat="1" ht="15.75" customHeight="1">
      <c r="A242" s="716" t="str">
        <f>IF(B242&lt;&gt;"",IF(AND(B242&gt;=_TM1,B242&lt;=_TM2,OR(TH!L242="1111",TH!M242="1111")),TH!D242,""),"")</f>
        <v/>
      </c>
      <c r="B242" s="36">
        <f t="shared" si="11"/>
        <v>12</v>
      </c>
      <c r="C242" s="185">
        <f t="shared" si="12"/>
        <v>41274</v>
      </c>
      <c r="D242" s="185" t="s">
        <v>271</v>
      </c>
      <c r="E242" s="185">
        <v>41274</v>
      </c>
      <c r="F242" s="186" t="s">
        <v>561</v>
      </c>
      <c r="G242" s="724"/>
      <c r="H242" s="187" t="s">
        <v>384</v>
      </c>
      <c r="I242" s="243"/>
      <c r="J242" s="243"/>
      <c r="K242" s="501">
        <v>959303</v>
      </c>
      <c r="L242" s="502" t="s">
        <v>9</v>
      </c>
      <c r="M242" s="502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49" t="str">
        <f>IF(OR(TH!L242=TH!$V$7,M242=TH!$V$7),"x","")</f>
        <v>x</v>
      </c>
      <c r="W242" s="49" t="str">
        <f>IF(AND(B242&gt;='IN-NX'!$P$3,B242&lt;='IN-NX'!$Q$3,'IN-NX'!$D$7=D242,OR(LEFT(L242,2)="15",AND(LEFT(M242,2)&lt;&gt;"15",LEFT(M242,2)&lt;&gt;"33"))),"x","")</f>
        <v/>
      </c>
      <c r="X242" s="49" t="str">
        <f>IF(AND(OR(LEFT(TH!L242,2)="15",LEFT(TH!M242,2)="15"),'152-CT'!$J$8=TH!F242),"x","")</f>
        <v/>
      </c>
      <c r="Y242" s="49" t="str">
        <f>IF(AND(OR(LEFT(TH!L242,2)="15",LEFT(TH!M242,2)="15"),TK!$E$7=TH!F242),"x","")</f>
        <v/>
      </c>
      <c r="Z242" s="49" t="str">
        <f>IF(AND(B242&lt;=NKC!$N$8,B242&gt;=NKC!$M$8),"x","")</f>
        <v/>
      </c>
      <c r="AA242" s="715"/>
      <c r="AB242" s="493"/>
    </row>
    <row r="243" spans="1:30" s="199" customFormat="1" ht="15.75" customHeight="1">
      <c r="A243" s="716" t="str">
        <f>IF(B243&lt;&gt;"",IF(AND(B243&gt;=_TM1,B243&lt;=_TM2,OR(TH!L243="1111",TH!M243="1111")),TH!D243,""),"")</f>
        <v/>
      </c>
      <c r="B243" s="36">
        <f t="shared" si="11"/>
        <v>12</v>
      </c>
      <c r="C243" s="185">
        <f t="shared" si="12"/>
        <v>41274</v>
      </c>
      <c r="D243" s="185" t="s">
        <v>271</v>
      </c>
      <c r="E243" s="185">
        <v>41274</v>
      </c>
      <c r="F243" s="186" t="s">
        <v>771</v>
      </c>
      <c r="G243" s="724"/>
      <c r="H243" s="187"/>
      <c r="I243" s="243"/>
      <c r="J243" s="243"/>
      <c r="K243" s="501">
        <v>9600000</v>
      </c>
      <c r="L243" s="502" t="s">
        <v>83</v>
      </c>
      <c r="M243" s="502" t="s">
        <v>254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/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49" t="str">
        <f>IF(OR(TH!L243=TH!$V$7,M243=TH!$V$7),"x","")</f>
        <v/>
      </c>
      <c r="W243" s="49" t="str">
        <f>IF(AND(B243&gt;='IN-NX'!$P$3,B243&lt;='IN-NX'!$Q$3,'IN-NX'!$D$7=D243,OR(LEFT(L243,2)="15",AND(LEFT(M243,2)&lt;&gt;"15",LEFT(M243,2)&lt;&gt;"33"))),"x","")</f>
        <v/>
      </c>
      <c r="X243" s="49" t="str">
        <f>IF(AND(OR(LEFT(TH!L243,2)="15",LEFT(TH!M243,2)="15"),'152-CT'!$J$8=TH!F243),"x","")</f>
        <v/>
      </c>
      <c r="Y243" s="49" t="str">
        <f>IF(AND(OR(LEFT(TH!L243,2)="15",LEFT(TH!M243,2)="15"),TK!$E$7=TH!F243),"x","")</f>
        <v/>
      </c>
      <c r="Z243" s="49" t="str">
        <f>IF(AND(B243&lt;=NKC!$N$8,B243&gt;=NKC!$M$8),"x","")</f>
        <v/>
      </c>
      <c r="AA243" s="715"/>
      <c r="AB243" s="493"/>
    </row>
    <row r="244" spans="1:30" s="199" customFormat="1" ht="15.75" customHeight="1">
      <c r="A244" s="716" t="str">
        <f>IF(B244&lt;&gt;"",IF(AND(B244&gt;=_TM1,B244&lt;=_TM2,OR(TH!L244="1111",TH!M244="1111")),TH!D244,""),"")</f>
        <v/>
      </c>
      <c r="B244" s="36">
        <f t="shared" si="11"/>
        <v>12</v>
      </c>
      <c r="C244" s="185">
        <f t="shared" si="12"/>
        <v>41274</v>
      </c>
      <c r="D244" s="185" t="s">
        <v>271</v>
      </c>
      <c r="E244" s="185">
        <v>41274</v>
      </c>
      <c r="F244" s="186" t="s">
        <v>770</v>
      </c>
      <c r="G244" s="724"/>
      <c r="H244" s="187"/>
      <c r="I244" s="243"/>
      <c r="J244" s="243"/>
      <c r="K244" s="501">
        <v>5685000</v>
      </c>
      <c r="L244" s="502" t="s">
        <v>160</v>
      </c>
      <c r="M244" s="502" t="s">
        <v>254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/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49" t="str">
        <f>IF(OR(TH!L244=TH!$V$7,M244=TH!$V$7),"x","")</f>
        <v/>
      </c>
      <c r="W244" s="49" t="str">
        <f>IF(AND(B244&gt;='IN-NX'!$P$3,B244&lt;='IN-NX'!$Q$3,'IN-NX'!$D$7=D244,OR(LEFT(L244,2)="15",AND(LEFT(M244,2)&lt;&gt;"15",LEFT(M244,2)&lt;&gt;"33"))),"x","")</f>
        <v/>
      </c>
      <c r="X244" s="49" t="str">
        <f>IF(AND(OR(LEFT(TH!L244,2)="15",LEFT(TH!M244,2)="15"),'152-CT'!$J$8=TH!F244),"x","")</f>
        <v/>
      </c>
      <c r="Y244" s="49" t="str">
        <f>IF(AND(OR(LEFT(TH!L244,2)="15",LEFT(TH!M244,2)="15"),TK!$E$7=TH!F244),"x","")</f>
        <v/>
      </c>
      <c r="Z244" s="49" t="str">
        <f>IF(AND(B244&lt;=NKC!$N$8,B244&gt;=NKC!$M$8),"x","")</f>
        <v/>
      </c>
      <c r="AA244" s="715"/>
      <c r="AB244" s="493"/>
    </row>
    <row r="245" spans="1:30" s="199" customFormat="1" ht="15.75" customHeight="1">
      <c r="A245" s="716" t="str">
        <f>IF(B245&lt;&gt;"",IF(AND(B245&gt;=_TM1,B245&lt;=_TM2,OR(TH!L245="1111",TH!M245="1111")),TH!D245,""),"")</f>
        <v>C34</v>
      </c>
      <c r="B245" s="36">
        <f t="shared" si="11"/>
        <v>12</v>
      </c>
      <c r="C245" s="185">
        <f t="shared" si="12"/>
        <v>41274</v>
      </c>
      <c r="D245" s="178" t="s">
        <v>776</v>
      </c>
      <c r="E245" s="185">
        <v>41274</v>
      </c>
      <c r="F245" s="186" t="s">
        <v>775</v>
      </c>
      <c r="G245" s="724"/>
      <c r="H245" s="187" t="s">
        <v>763</v>
      </c>
      <c r="I245" s="243"/>
      <c r="J245" s="243"/>
      <c r="K245" s="501">
        <f>K243+K244</f>
        <v>15285000</v>
      </c>
      <c r="L245" s="502" t="s">
        <v>254</v>
      </c>
      <c r="M245" s="502" t="s">
        <v>47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>x</v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49" t="str">
        <f>IF(OR(TH!L245=TH!$V$7,M245=TH!$V$7),"x","")</f>
        <v/>
      </c>
      <c r="W245" s="49" t="str">
        <f>IF(AND(B245&gt;='IN-NX'!$P$3,B245&lt;='IN-NX'!$Q$3,'IN-NX'!$D$7=D245,OR(LEFT(L245,2)="15",AND(LEFT(M245,2)&lt;&gt;"15",LEFT(M245,2)&lt;&gt;"33"))),"x","")</f>
        <v/>
      </c>
      <c r="X245" s="49" t="str">
        <f>IF(AND(OR(LEFT(TH!L245,2)="15",LEFT(TH!M245,2)="15"),'152-CT'!$J$8=TH!F245),"x","")</f>
        <v/>
      </c>
      <c r="Y245" s="49" t="str">
        <f>IF(AND(OR(LEFT(TH!L245,2)="15",LEFT(TH!M245,2)="15"),TK!$E$7=TH!F245),"x","")</f>
        <v/>
      </c>
      <c r="Z245" s="49" t="str">
        <f>IF(AND(B245&lt;=NKC!$N$8,B245&gt;=NKC!$M$8),"x","")</f>
        <v/>
      </c>
      <c r="AA245" s="715"/>
      <c r="AB245" s="493"/>
    </row>
    <row r="246" spans="1:30" s="199" customFormat="1" ht="15.75" customHeight="1">
      <c r="A246" s="716" t="str">
        <f>IF(B246&lt;&gt;"",IF(AND(B246&gt;=_TM1,B246&lt;=_TM2,OR(TH!L246="1111",TH!M246="1111")),TH!D246,""),"")</f>
        <v/>
      </c>
      <c r="B246" s="36">
        <f t="shared" si="11"/>
        <v>12</v>
      </c>
      <c r="C246" s="185">
        <f t="shared" si="12"/>
        <v>41274</v>
      </c>
      <c r="D246" s="185" t="s">
        <v>563</v>
      </c>
      <c r="E246" s="185">
        <v>41274</v>
      </c>
      <c r="F246" s="186" t="s">
        <v>423</v>
      </c>
      <c r="G246" s="724"/>
      <c r="H246" s="187" t="s">
        <v>598</v>
      </c>
      <c r="I246" s="243">
        <v>800</v>
      </c>
      <c r="J246" s="243">
        <v>11693</v>
      </c>
      <c r="K246" s="501">
        <f t="shared" ref="K246:K277" si="13">ROUND(I246*J246,0)</f>
        <v>9354400</v>
      </c>
      <c r="L246" s="502" t="s">
        <v>160</v>
      </c>
      <c r="M246" s="502" t="s">
        <v>352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49" t="str">
        <f>IF(OR(TH!L246=TH!$V$7,M246=TH!$V$7),"x","")</f>
        <v/>
      </c>
      <c r="W246" s="49" t="str">
        <f>IF(AND(B246&gt;='IN-NX'!$P$3,B246&lt;='IN-NX'!$Q$3,'IN-NX'!$D$7=D246,OR(LEFT(L246,2)="15",AND(LEFT(M246,2)&lt;&gt;"15",LEFT(M246,2)&lt;&gt;"33"))),"x","")</f>
        <v/>
      </c>
      <c r="X246" s="49" t="str">
        <f>IF(AND(OR(LEFT(TH!L246,2)="15",LEFT(TH!M246,2)="15"),'152-CT'!$J$8=TH!F246),"x","")</f>
        <v/>
      </c>
      <c r="Y246" s="49" t="str">
        <f>IF(AND(OR(LEFT(TH!L246,2)="15",LEFT(TH!M246,2)="15"),TK!$E$7=TH!F246),"x","")</f>
        <v/>
      </c>
      <c r="Z246" s="49" t="str">
        <f>IF(AND(B246&lt;=NKC!$N$8,B246&gt;=NKC!$M$8),"x","")</f>
        <v/>
      </c>
      <c r="AA246" s="715"/>
      <c r="AB246" s="493"/>
    </row>
    <row r="247" spans="1:30" s="199" customFormat="1" ht="15.75" customHeight="1">
      <c r="A247" s="716" t="str">
        <f>IF(B247&lt;&gt;"",IF(AND(B247&gt;=_TM1,B247&lt;=_TM2,OR(TH!L247="1111",TH!M247="1111")),TH!D247,""),"")</f>
        <v/>
      </c>
      <c r="B247" s="36">
        <f t="shared" si="11"/>
        <v>12</v>
      </c>
      <c r="C247" s="185">
        <f t="shared" si="12"/>
        <v>41274</v>
      </c>
      <c r="D247" s="185" t="s">
        <v>563</v>
      </c>
      <c r="E247" s="185">
        <v>41274</v>
      </c>
      <c r="F247" s="186" t="s">
        <v>424</v>
      </c>
      <c r="G247" s="724"/>
      <c r="H247" s="187" t="s">
        <v>598</v>
      </c>
      <c r="I247" s="243">
        <v>60</v>
      </c>
      <c r="J247" s="243">
        <v>19110</v>
      </c>
      <c r="K247" s="501">
        <f t="shared" si="13"/>
        <v>1146600</v>
      </c>
      <c r="L247" s="502" t="s">
        <v>160</v>
      </c>
      <c r="M247" s="502" t="s">
        <v>352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49" t="str">
        <f>IF(OR(TH!L247=TH!$V$7,M247=TH!$V$7),"x","")</f>
        <v/>
      </c>
      <c r="W247" s="49" t="str">
        <f>IF(AND(B247&gt;='IN-NX'!$P$3,B247&lt;='IN-NX'!$Q$3,'IN-NX'!$D$7=D247,OR(LEFT(L247,2)="15",AND(LEFT(M247,2)&lt;&gt;"15",LEFT(M247,2)&lt;&gt;"33"))),"x","")</f>
        <v/>
      </c>
      <c r="X247" s="49" t="str">
        <f>IF(AND(OR(LEFT(TH!L247,2)="15",LEFT(TH!M247,2)="15"),'152-CT'!$J$8=TH!F247),"x","")</f>
        <v/>
      </c>
      <c r="Y247" s="49" t="str">
        <f>IF(AND(OR(LEFT(TH!L247,2)="15",LEFT(TH!M247,2)="15"),TK!$E$7=TH!F247),"x","")</f>
        <v/>
      </c>
      <c r="Z247" s="49" t="str">
        <f>IF(AND(B247&lt;=NKC!$N$8,B247&gt;=NKC!$M$8),"x","")</f>
        <v/>
      </c>
      <c r="AA247" s="715"/>
      <c r="AB247" s="493"/>
    </row>
    <row r="248" spans="1:30" s="199" customFormat="1" ht="15.75" customHeight="1">
      <c r="A248" s="716" t="str">
        <f>IF(B248&lt;&gt;"",IF(AND(B248&gt;=_TM1,B248&lt;=_TM2,OR(TH!L248="1111",TH!M248="1111")),TH!D248,""),"")</f>
        <v/>
      </c>
      <c r="B248" s="36">
        <f t="shared" si="11"/>
        <v>12</v>
      </c>
      <c r="C248" s="185">
        <f t="shared" si="12"/>
        <v>41274</v>
      </c>
      <c r="D248" s="185" t="s">
        <v>563</v>
      </c>
      <c r="E248" s="185">
        <v>41274</v>
      </c>
      <c r="F248" s="186" t="s">
        <v>399</v>
      </c>
      <c r="G248" s="724"/>
      <c r="H248" s="187" t="s">
        <v>598</v>
      </c>
      <c r="I248" s="243">
        <v>1101</v>
      </c>
      <c r="J248" s="243">
        <v>12750</v>
      </c>
      <c r="K248" s="501">
        <f t="shared" si="13"/>
        <v>14037750</v>
      </c>
      <c r="L248" s="502" t="s">
        <v>160</v>
      </c>
      <c r="M248" s="502" t="s">
        <v>352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49" t="str">
        <f>IF(OR(TH!L248=TH!$V$7,M248=TH!$V$7),"x","")</f>
        <v/>
      </c>
      <c r="W248" s="49" t="str">
        <f>IF(AND(B248&gt;='IN-NX'!$P$3,B248&lt;='IN-NX'!$Q$3,'IN-NX'!$D$7=D248,OR(LEFT(L248,2)="15",AND(LEFT(M248,2)&lt;&gt;"15",LEFT(M248,2)&lt;&gt;"33"))),"x","")</f>
        <v/>
      </c>
      <c r="X248" s="49" t="str">
        <f>IF(AND(OR(LEFT(TH!L248,2)="15",LEFT(TH!M248,2)="15"),'152-CT'!$J$8=TH!F248),"x","")</f>
        <v/>
      </c>
      <c r="Y248" s="49" t="str">
        <f>IF(AND(OR(LEFT(TH!L248,2)="15",LEFT(TH!M248,2)="15"),TK!$E$7=TH!F248),"x","")</f>
        <v/>
      </c>
      <c r="Z248" s="49" t="str">
        <f>IF(AND(B248&lt;=NKC!$N$8,B248&gt;=NKC!$M$8),"x","")</f>
        <v/>
      </c>
      <c r="AA248" s="715"/>
      <c r="AB248" s="493"/>
    </row>
    <row r="249" spans="1:30" s="199" customFormat="1" ht="15.75" customHeight="1">
      <c r="A249" s="716" t="str">
        <f>IF(B249&lt;&gt;"",IF(AND(B249&gt;=_TM1,B249&lt;=_TM2,OR(TH!L249="1111",TH!M249="1111")),TH!D249,""),"")</f>
        <v/>
      </c>
      <c r="B249" s="36">
        <f t="shared" si="11"/>
        <v>12</v>
      </c>
      <c r="C249" s="185">
        <f t="shared" si="12"/>
        <v>41274</v>
      </c>
      <c r="D249" s="185" t="s">
        <v>563</v>
      </c>
      <c r="E249" s="185">
        <v>41274</v>
      </c>
      <c r="F249" s="186" t="s">
        <v>436</v>
      </c>
      <c r="G249" s="724"/>
      <c r="H249" s="187" t="s">
        <v>598</v>
      </c>
      <c r="I249" s="243">
        <v>400</v>
      </c>
      <c r="J249" s="243">
        <v>11532</v>
      </c>
      <c r="K249" s="501">
        <f t="shared" si="13"/>
        <v>4612800</v>
      </c>
      <c r="L249" s="502" t="s">
        <v>160</v>
      </c>
      <c r="M249" s="502" t="s">
        <v>352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49" t="str">
        <f>IF(OR(TH!L249=TH!$V$7,M249=TH!$V$7),"x","")</f>
        <v/>
      </c>
      <c r="W249" s="49" t="str">
        <f>IF(AND(B249&gt;='IN-NX'!$P$3,B249&lt;='IN-NX'!$Q$3,'IN-NX'!$D$7=D249,OR(LEFT(L249,2)="15",AND(LEFT(M249,2)&lt;&gt;"15",LEFT(M249,2)&lt;&gt;"33"))),"x","")</f>
        <v/>
      </c>
      <c r="X249" s="49" t="str">
        <f>IF(AND(OR(LEFT(TH!L249,2)="15",LEFT(TH!M249,2)="15"),'152-CT'!$J$8=TH!F249),"x","")</f>
        <v/>
      </c>
      <c r="Y249" s="49" t="str">
        <f>IF(AND(OR(LEFT(TH!L249,2)="15",LEFT(TH!M249,2)="15"),TK!$E$7=TH!F249),"x","")</f>
        <v/>
      </c>
      <c r="Z249" s="49" t="str">
        <f>IF(AND(B249&lt;=NKC!$N$8,B249&gt;=NKC!$M$8),"x","")</f>
        <v/>
      </c>
      <c r="AA249" s="715"/>
      <c r="AB249" s="493"/>
    </row>
    <row r="250" spans="1:30" s="199" customFormat="1" ht="15.75" customHeight="1">
      <c r="A250" s="716" t="str">
        <f>IF(B250&lt;&gt;"",IF(AND(B250&gt;=_TM1,B250&lt;=_TM2,OR(TH!L250="1111",TH!M250="1111")),TH!D250,""),"")</f>
        <v/>
      </c>
      <c r="B250" s="36">
        <f t="shared" si="11"/>
        <v>12</v>
      </c>
      <c r="C250" s="185">
        <f t="shared" si="12"/>
        <v>41274</v>
      </c>
      <c r="D250" s="185" t="s">
        <v>563</v>
      </c>
      <c r="E250" s="185">
        <v>41274</v>
      </c>
      <c r="F250" s="186" t="s">
        <v>396</v>
      </c>
      <c r="G250" s="724"/>
      <c r="H250" s="187" t="s">
        <v>598</v>
      </c>
      <c r="I250" s="243">
        <v>100</v>
      </c>
      <c r="J250" s="243">
        <v>13020</v>
      </c>
      <c r="K250" s="501">
        <f t="shared" si="13"/>
        <v>1302000</v>
      </c>
      <c r="L250" s="502" t="s">
        <v>160</v>
      </c>
      <c r="M250" s="502" t="s">
        <v>352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49" t="str">
        <f>IF(OR(TH!L250=TH!$V$7,M250=TH!$V$7),"x","")</f>
        <v/>
      </c>
      <c r="W250" s="49" t="str">
        <f>IF(AND(B250&gt;='IN-NX'!$P$3,B250&lt;='IN-NX'!$Q$3,'IN-NX'!$D$7=D250,OR(LEFT(L250,2)="15",AND(LEFT(M250,2)&lt;&gt;"15",LEFT(M250,2)&lt;&gt;"33"))),"x","")</f>
        <v/>
      </c>
      <c r="X250" s="49" t="str">
        <f>IF(AND(OR(LEFT(TH!L250,2)="15",LEFT(TH!M250,2)="15"),'152-CT'!$J$8=TH!F250),"x","")</f>
        <v/>
      </c>
      <c r="Y250" s="49" t="str">
        <f>IF(AND(OR(LEFT(TH!L250,2)="15",LEFT(TH!M250,2)="15"),TK!$E$7=TH!F250),"x","")</f>
        <v/>
      </c>
      <c r="Z250" s="49" t="str">
        <f>IF(AND(B250&lt;=NKC!$N$8,B250&gt;=NKC!$M$8),"x","")</f>
        <v/>
      </c>
      <c r="AA250" s="715"/>
      <c r="AB250" s="493"/>
    </row>
    <row r="251" spans="1:30" s="199" customFormat="1" ht="15.75" customHeight="1">
      <c r="A251" s="716" t="str">
        <f>IF(B251&lt;&gt;"",IF(AND(B251&gt;=_TM1,B251&lt;=_TM2,OR(TH!L251="1111",TH!M251="1111")),TH!D251,""),"")</f>
        <v/>
      </c>
      <c r="B251" s="36">
        <f t="shared" si="11"/>
        <v>12</v>
      </c>
      <c r="C251" s="185">
        <f t="shared" si="12"/>
        <v>41274</v>
      </c>
      <c r="D251" s="185" t="s">
        <v>563</v>
      </c>
      <c r="E251" s="185">
        <v>41274</v>
      </c>
      <c r="F251" s="186" t="s">
        <v>396</v>
      </c>
      <c r="G251" s="724"/>
      <c r="H251" s="187" t="s">
        <v>598</v>
      </c>
      <c r="I251" s="243">
        <v>40</v>
      </c>
      <c r="J251" s="243">
        <v>13020</v>
      </c>
      <c r="K251" s="501">
        <f t="shared" si="13"/>
        <v>520800</v>
      </c>
      <c r="L251" s="502" t="s">
        <v>160</v>
      </c>
      <c r="M251" s="502" t="s">
        <v>352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49" t="str">
        <f>IF(OR(TH!L251=TH!$V$7,M251=TH!$V$7),"x","")</f>
        <v/>
      </c>
      <c r="W251" s="49" t="str">
        <f>IF(AND(B251&gt;='IN-NX'!$P$3,B251&lt;='IN-NX'!$Q$3,'IN-NX'!$D$7=D251,OR(LEFT(L251,2)="15",AND(LEFT(M251,2)&lt;&gt;"15",LEFT(M251,2)&lt;&gt;"33"))),"x","")</f>
        <v/>
      </c>
      <c r="X251" s="49" t="str">
        <f>IF(AND(OR(LEFT(TH!L251,2)="15",LEFT(TH!M251,2)="15"),'152-CT'!$J$8=TH!F251),"x","")</f>
        <v/>
      </c>
      <c r="Y251" s="49" t="str">
        <f>IF(AND(OR(LEFT(TH!L251,2)="15",LEFT(TH!M251,2)="15"),TK!$E$7=TH!F251),"x","")</f>
        <v/>
      </c>
      <c r="Z251" s="49" t="str">
        <f>IF(AND(B251&lt;=NKC!$N$8,B251&gt;=NKC!$M$8),"x","")</f>
        <v/>
      </c>
      <c r="AA251" s="715"/>
      <c r="AB251" s="493"/>
    </row>
    <row r="252" spans="1:30" s="199" customFormat="1" ht="15.75" customHeight="1">
      <c r="A252" s="716" t="str">
        <f>IF(B252&lt;&gt;"",IF(AND(B252&gt;=_TM1,B252&lt;=_TM2,OR(TH!L252="1111",TH!M252="1111")),TH!D252,""),"")</f>
        <v/>
      </c>
      <c r="B252" s="36">
        <f t="shared" si="11"/>
        <v>12</v>
      </c>
      <c r="C252" s="185">
        <f t="shared" si="12"/>
        <v>41274</v>
      </c>
      <c r="D252" s="185" t="s">
        <v>563</v>
      </c>
      <c r="E252" s="185">
        <v>41274</v>
      </c>
      <c r="F252" s="186" t="s">
        <v>396</v>
      </c>
      <c r="G252" s="724"/>
      <c r="H252" s="187" t="s">
        <v>598</v>
      </c>
      <c r="I252" s="243">
        <v>180</v>
      </c>
      <c r="J252" s="243">
        <v>13020</v>
      </c>
      <c r="K252" s="501">
        <f t="shared" si="13"/>
        <v>2343600</v>
      </c>
      <c r="L252" s="502" t="s">
        <v>160</v>
      </c>
      <c r="M252" s="502" t="s">
        <v>352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49" t="str">
        <f>IF(OR(TH!L252=TH!$V$7,M252=TH!$V$7),"x","")</f>
        <v/>
      </c>
      <c r="W252" s="49" t="str">
        <f>IF(AND(B252&gt;='IN-NX'!$P$3,B252&lt;='IN-NX'!$Q$3,'IN-NX'!$D$7=D252,OR(LEFT(L252,2)="15",AND(LEFT(M252,2)&lt;&gt;"15",LEFT(M252,2)&lt;&gt;"33"))),"x","")</f>
        <v/>
      </c>
      <c r="X252" s="49" t="str">
        <f>IF(AND(OR(LEFT(TH!L252,2)="15",LEFT(TH!M252,2)="15"),'152-CT'!$J$8=TH!F252),"x","")</f>
        <v/>
      </c>
      <c r="Y252" s="49" t="str">
        <f>IF(AND(OR(LEFT(TH!L252,2)="15",LEFT(TH!M252,2)="15"),TK!$E$7=TH!F252),"x","")</f>
        <v/>
      </c>
      <c r="Z252" s="49" t="str">
        <f>IF(AND(B252&lt;=NKC!$N$8,B252&gt;=NKC!$M$8),"x","")</f>
        <v/>
      </c>
      <c r="AA252" s="715"/>
      <c r="AB252" s="493"/>
    </row>
    <row r="253" spans="1:30" s="199" customFormat="1" ht="15.75" customHeight="1">
      <c r="A253" s="716" t="str">
        <f>IF(B253&lt;&gt;"",IF(AND(B253&gt;=_TM1,B253&lt;=_TM2,OR(TH!L253="1111",TH!M253="1111")),TH!D253,""),"")</f>
        <v/>
      </c>
      <c r="B253" s="36">
        <f t="shared" si="11"/>
        <v>12</v>
      </c>
      <c r="C253" s="185">
        <f t="shared" si="12"/>
        <v>41274</v>
      </c>
      <c r="D253" s="185" t="s">
        <v>563</v>
      </c>
      <c r="E253" s="185">
        <v>41274</v>
      </c>
      <c r="F253" s="186" t="s">
        <v>396</v>
      </c>
      <c r="G253" s="724"/>
      <c r="H253" s="187" t="s">
        <v>598</v>
      </c>
      <c r="I253" s="243">
        <v>180</v>
      </c>
      <c r="J253" s="243">
        <v>13020</v>
      </c>
      <c r="K253" s="501">
        <f t="shared" si="13"/>
        <v>2343600</v>
      </c>
      <c r="L253" s="502" t="s">
        <v>160</v>
      </c>
      <c r="M253" s="502" t="s">
        <v>352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49" t="str">
        <f>IF(OR(TH!L253=TH!$V$7,M253=TH!$V$7),"x","")</f>
        <v/>
      </c>
      <c r="W253" s="49" t="str">
        <f>IF(AND(B253&gt;='IN-NX'!$P$3,B253&lt;='IN-NX'!$Q$3,'IN-NX'!$D$7=D253,OR(LEFT(L253,2)="15",AND(LEFT(M253,2)&lt;&gt;"15",LEFT(M253,2)&lt;&gt;"33"))),"x","")</f>
        <v/>
      </c>
      <c r="X253" s="49" t="str">
        <f>IF(AND(OR(LEFT(TH!L253,2)="15",LEFT(TH!M253,2)="15"),'152-CT'!$J$8=TH!F253),"x","")</f>
        <v/>
      </c>
      <c r="Y253" s="49" t="str">
        <f>IF(AND(OR(LEFT(TH!L253,2)="15",LEFT(TH!M253,2)="15"),TK!$E$7=TH!F253),"x","")</f>
        <v/>
      </c>
      <c r="Z253" s="49" t="str">
        <f>IF(AND(B253&lt;=NKC!$N$8,B253&gt;=NKC!$M$8),"x","")</f>
        <v/>
      </c>
      <c r="AA253" s="715"/>
      <c r="AB253" s="493"/>
    </row>
    <row r="254" spans="1:30" s="199" customFormat="1" ht="15.75" customHeight="1">
      <c r="A254" s="716" t="str">
        <f>IF(B254&lt;&gt;"",IF(AND(B254&gt;=_TM1,B254&lt;=_TM2,OR(TH!L254="1111",TH!M254="1111")),TH!D254,""),"")</f>
        <v/>
      </c>
      <c r="B254" s="36">
        <f t="shared" si="11"/>
        <v>12</v>
      </c>
      <c r="C254" s="185">
        <f t="shared" si="12"/>
        <v>41274</v>
      </c>
      <c r="D254" s="185" t="s">
        <v>563</v>
      </c>
      <c r="E254" s="185">
        <v>41274</v>
      </c>
      <c r="F254" s="186" t="s">
        <v>398</v>
      </c>
      <c r="G254" s="724"/>
      <c r="H254" s="187" t="s">
        <v>598</v>
      </c>
      <c r="I254" s="243">
        <v>505</v>
      </c>
      <c r="J254" s="243">
        <v>12124</v>
      </c>
      <c r="K254" s="501">
        <f t="shared" si="13"/>
        <v>6122620</v>
      </c>
      <c r="L254" s="502" t="s">
        <v>160</v>
      </c>
      <c r="M254" s="502" t="s">
        <v>352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49" t="str">
        <f>IF(OR(TH!L254=TH!$V$7,M254=TH!$V$7),"x","")</f>
        <v/>
      </c>
      <c r="W254" s="49" t="str">
        <f>IF(AND(B254&gt;='IN-NX'!$P$3,B254&lt;='IN-NX'!$Q$3,'IN-NX'!$D$7=D254,OR(LEFT(L254,2)="15",AND(LEFT(M254,2)&lt;&gt;"15",LEFT(M254,2)&lt;&gt;"33"))),"x","")</f>
        <v/>
      </c>
      <c r="X254" s="49" t="str">
        <f>IF(AND(OR(LEFT(TH!L254,2)="15",LEFT(TH!M254,2)="15"),'152-CT'!$J$8=TH!F254),"x","")</f>
        <v/>
      </c>
      <c r="Y254" s="49" t="str">
        <f>IF(AND(OR(LEFT(TH!L254,2)="15",LEFT(TH!M254,2)="15"),TK!$E$7=TH!F254),"x","")</f>
        <v/>
      </c>
      <c r="Z254" s="49" t="str">
        <f>IF(AND(B254&lt;=NKC!$N$8,B254&gt;=NKC!$M$8),"x","")</f>
        <v/>
      </c>
      <c r="AA254" s="715"/>
      <c r="AB254" s="493"/>
    </row>
    <row r="255" spans="1:30" s="199" customFormat="1" ht="15.75" customHeight="1">
      <c r="A255" s="716" t="str">
        <f>IF(B255&lt;&gt;"",IF(AND(B255&gt;=_TM1,B255&lt;=_TM2,OR(TH!L255="1111",TH!M255="1111")),TH!D255,""),"")</f>
        <v/>
      </c>
      <c r="B255" s="36">
        <f t="shared" si="11"/>
        <v>12</v>
      </c>
      <c r="C255" s="185">
        <f t="shared" si="12"/>
        <v>41274</v>
      </c>
      <c r="D255" s="185" t="s">
        <v>563</v>
      </c>
      <c r="E255" s="185">
        <v>41274</v>
      </c>
      <c r="F255" s="186" t="s">
        <v>438</v>
      </c>
      <c r="G255" s="724"/>
      <c r="H255" s="187" t="s">
        <v>598</v>
      </c>
      <c r="I255" s="243">
        <v>750</v>
      </c>
      <c r="J255" s="243">
        <v>9672</v>
      </c>
      <c r="K255" s="501">
        <f t="shared" si="13"/>
        <v>7254000</v>
      </c>
      <c r="L255" s="502" t="s">
        <v>160</v>
      </c>
      <c r="M255" s="502" t="s">
        <v>352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49" t="str">
        <f>IF(OR(TH!L255=TH!$V$7,M255=TH!$V$7),"x","")</f>
        <v/>
      </c>
      <c r="W255" s="49" t="str">
        <f>IF(AND(B255&gt;='IN-NX'!$P$3,B255&lt;='IN-NX'!$Q$3,'IN-NX'!$D$7=D255,OR(LEFT(L255,2)="15",AND(LEFT(M255,2)&lt;&gt;"15",LEFT(M255,2)&lt;&gt;"33"))),"x","")</f>
        <v/>
      </c>
      <c r="X255" s="49" t="str">
        <f>IF(AND(OR(LEFT(TH!L255,2)="15",LEFT(TH!M255,2)="15"),'152-CT'!$J$8=TH!F255),"x","")</f>
        <v/>
      </c>
      <c r="Y255" s="49" t="str">
        <f>IF(AND(OR(LEFT(TH!L255,2)="15",LEFT(TH!M255,2)="15"),TK!$E$7=TH!F255),"x","")</f>
        <v/>
      </c>
      <c r="Z255" s="49" t="str">
        <f>IF(AND(B255&lt;=NKC!$N$8,B255&gt;=NKC!$M$8),"x","")</f>
        <v/>
      </c>
      <c r="AA255" s="715"/>
      <c r="AB255" s="493"/>
    </row>
    <row r="256" spans="1:30" s="199" customFormat="1" ht="15.75" customHeight="1">
      <c r="A256" s="716" t="str">
        <f>IF(B256&lt;&gt;"",IF(AND(B256&gt;=_TM1,B256&lt;=_TM2,OR(TH!L256="1111",TH!M256="1111")),TH!D256,""),"")</f>
        <v/>
      </c>
      <c r="B256" s="36">
        <f t="shared" si="11"/>
        <v>12</v>
      </c>
      <c r="C256" s="185">
        <f t="shared" si="12"/>
        <v>41274</v>
      </c>
      <c r="D256" s="185" t="s">
        <v>563</v>
      </c>
      <c r="E256" s="185">
        <v>41274</v>
      </c>
      <c r="F256" s="186" t="s">
        <v>395</v>
      </c>
      <c r="G256" s="724"/>
      <c r="H256" s="187" t="s">
        <v>598</v>
      </c>
      <c r="I256" s="243">
        <v>412</v>
      </c>
      <c r="J256" s="243">
        <v>10286</v>
      </c>
      <c r="K256" s="501">
        <f t="shared" si="13"/>
        <v>4237832</v>
      </c>
      <c r="L256" s="502" t="s">
        <v>160</v>
      </c>
      <c r="M256" s="502" t="s">
        <v>352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49" t="str">
        <f>IF(OR(TH!L256=TH!$V$7,M256=TH!$V$7),"x","")</f>
        <v/>
      </c>
      <c r="W256" s="49" t="str">
        <f>IF(AND(B256&gt;='IN-NX'!$P$3,B256&lt;='IN-NX'!$Q$3,'IN-NX'!$D$7=D256,OR(LEFT(L256,2)="15",AND(LEFT(M256,2)&lt;&gt;"15",LEFT(M256,2)&lt;&gt;"33"))),"x","")</f>
        <v/>
      </c>
      <c r="X256" s="49" t="str">
        <f>IF(AND(OR(LEFT(TH!L256,2)="15",LEFT(TH!M256,2)="15"),'152-CT'!$J$8=TH!F256),"x","")</f>
        <v/>
      </c>
      <c r="Y256" s="49" t="str">
        <f>IF(AND(OR(LEFT(TH!L256,2)="15",LEFT(TH!M256,2)="15"),TK!$E$7=TH!F256),"x","")</f>
        <v/>
      </c>
      <c r="Z256" s="49" t="str">
        <f>IF(AND(B256&lt;=NKC!$N$8,B256&gt;=NKC!$M$8),"x","")</f>
        <v/>
      </c>
      <c r="AA256" s="715"/>
      <c r="AB256" s="493"/>
    </row>
    <row r="257" spans="1:28" s="199" customFormat="1" ht="15.75" customHeight="1">
      <c r="A257" s="716" t="str">
        <f>IF(B257&lt;&gt;"",IF(AND(B257&gt;=_TM1,B257&lt;=_TM2,OR(TH!L257="1111",TH!M257="1111")),TH!D257,""),"")</f>
        <v/>
      </c>
      <c r="B257" s="36">
        <f t="shared" si="11"/>
        <v>12</v>
      </c>
      <c r="C257" s="185">
        <f t="shared" si="12"/>
        <v>41274</v>
      </c>
      <c r="D257" s="185" t="s">
        <v>563</v>
      </c>
      <c r="E257" s="185">
        <v>41274</v>
      </c>
      <c r="F257" s="186" t="s">
        <v>399</v>
      </c>
      <c r="G257" s="724"/>
      <c r="H257" s="187" t="s">
        <v>598</v>
      </c>
      <c r="I257" s="243">
        <v>399</v>
      </c>
      <c r="J257" s="243">
        <v>12750</v>
      </c>
      <c r="K257" s="501">
        <f t="shared" si="13"/>
        <v>5087250</v>
      </c>
      <c r="L257" s="502" t="s">
        <v>160</v>
      </c>
      <c r="M257" s="502" t="s">
        <v>352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49" t="str">
        <f>IF(OR(TH!L257=TH!$V$7,M257=TH!$V$7),"x","")</f>
        <v/>
      </c>
      <c r="W257" s="49" t="str">
        <f>IF(AND(B257&gt;='IN-NX'!$P$3,B257&lt;='IN-NX'!$Q$3,'IN-NX'!$D$7=D257,OR(LEFT(L257,2)="15",AND(LEFT(M257,2)&lt;&gt;"15",LEFT(M257,2)&lt;&gt;"33"))),"x","")</f>
        <v/>
      </c>
      <c r="X257" s="49" t="str">
        <f>IF(AND(OR(LEFT(TH!L257,2)="15",LEFT(TH!M257,2)="15"),'152-CT'!$J$8=TH!F257),"x","")</f>
        <v/>
      </c>
      <c r="Y257" s="49" t="str">
        <f>IF(AND(OR(LEFT(TH!L257,2)="15",LEFT(TH!M257,2)="15"),TK!$E$7=TH!F257),"x","")</f>
        <v/>
      </c>
      <c r="Z257" s="49" t="str">
        <f>IF(AND(B257&lt;=NKC!$N$8,B257&gt;=NKC!$M$8),"x","")</f>
        <v/>
      </c>
      <c r="AA257" s="715"/>
      <c r="AB257" s="493"/>
    </row>
    <row r="258" spans="1:28" s="199" customFormat="1" ht="15.75" customHeight="1">
      <c r="A258" s="716" t="str">
        <f>IF(B258&lt;&gt;"",IF(AND(B258&gt;=_TM1,B258&lt;=_TM2,OR(TH!L258="1111",TH!M258="1111")),TH!D258,""),"")</f>
        <v/>
      </c>
      <c r="B258" s="36">
        <f t="shared" si="11"/>
        <v>12</v>
      </c>
      <c r="C258" s="185">
        <f t="shared" si="12"/>
        <v>41274</v>
      </c>
      <c r="D258" s="185" t="s">
        <v>563</v>
      </c>
      <c r="E258" s="185">
        <v>41274</v>
      </c>
      <c r="F258" s="186" t="s">
        <v>436</v>
      </c>
      <c r="G258" s="724"/>
      <c r="H258" s="187" t="s">
        <v>598</v>
      </c>
      <c r="I258" s="243">
        <v>150</v>
      </c>
      <c r="J258" s="243">
        <v>11532</v>
      </c>
      <c r="K258" s="501">
        <f t="shared" si="13"/>
        <v>1729800</v>
      </c>
      <c r="L258" s="502" t="s">
        <v>160</v>
      </c>
      <c r="M258" s="502" t="s">
        <v>352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49" t="str">
        <f>IF(OR(TH!L258=TH!$V$7,M258=TH!$V$7),"x","")</f>
        <v/>
      </c>
      <c r="W258" s="49" t="str">
        <f>IF(AND(B258&gt;='IN-NX'!$P$3,B258&lt;='IN-NX'!$Q$3,'IN-NX'!$D$7=D258,OR(LEFT(L258,2)="15",AND(LEFT(M258,2)&lt;&gt;"15",LEFT(M258,2)&lt;&gt;"33"))),"x","")</f>
        <v/>
      </c>
      <c r="X258" s="49" t="str">
        <f>IF(AND(OR(LEFT(TH!L258,2)="15",LEFT(TH!M258,2)="15"),'152-CT'!$J$8=TH!F258),"x","")</f>
        <v/>
      </c>
      <c r="Y258" s="49" t="str">
        <f>IF(AND(OR(LEFT(TH!L258,2)="15",LEFT(TH!M258,2)="15"),TK!$E$7=TH!F258),"x","")</f>
        <v/>
      </c>
      <c r="Z258" s="49" t="str">
        <f>IF(AND(B258&lt;=NKC!$N$8,B258&gt;=NKC!$M$8),"x","")</f>
        <v/>
      </c>
      <c r="AA258" s="715"/>
      <c r="AB258" s="493"/>
    </row>
    <row r="259" spans="1:28" s="199" customFormat="1" ht="15.75" customHeight="1">
      <c r="A259" s="716" t="str">
        <f>IF(B259&lt;&gt;"",IF(AND(B259&gt;=_TM1,B259&lt;=_TM2,OR(TH!L259="1111",TH!M259="1111")),TH!D259,""),"")</f>
        <v/>
      </c>
      <c r="B259" s="36">
        <f t="shared" si="11"/>
        <v>12</v>
      </c>
      <c r="C259" s="185">
        <f t="shared" si="12"/>
        <v>41274</v>
      </c>
      <c r="D259" s="185" t="s">
        <v>563</v>
      </c>
      <c r="E259" s="185">
        <v>41274</v>
      </c>
      <c r="F259" s="186" t="s">
        <v>373</v>
      </c>
      <c r="G259" s="724"/>
      <c r="H259" s="187" t="s">
        <v>598</v>
      </c>
      <c r="I259" s="243">
        <v>1260</v>
      </c>
      <c r="J259" s="243">
        <v>10855.523809523809</v>
      </c>
      <c r="K259" s="501">
        <f t="shared" si="13"/>
        <v>13677960</v>
      </c>
      <c r="L259" s="502" t="s">
        <v>160</v>
      </c>
      <c r="M259" s="502" t="s">
        <v>352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49" t="str">
        <f>IF(OR(TH!L259=TH!$V$7,M259=TH!$V$7),"x","")</f>
        <v/>
      </c>
      <c r="W259" s="49" t="str">
        <f>IF(AND(B259&gt;='IN-NX'!$P$3,B259&lt;='IN-NX'!$Q$3,'IN-NX'!$D$7=D259,OR(LEFT(L259,2)="15",AND(LEFT(M259,2)&lt;&gt;"15",LEFT(M259,2)&lt;&gt;"33"))),"x","")</f>
        <v/>
      </c>
      <c r="X259" s="49" t="str">
        <f>IF(AND(OR(LEFT(TH!L259,2)="15",LEFT(TH!M259,2)="15"),'152-CT'!$J$8=TH!F259),"x","")</f>
        <v/>
      </c>
      <c r="Y259" s="49" t="str">
        <f>IF(AND(OR(LEFT(TH!L259,2)="15",LEFT(TH!M259,2)="15"),TK!$E$7=TH!F259),"x","")</f>
        <v/>
      </c>
      <c r="Z259" s="49" t="str">
        <f>IF(AND(B259&lt;=NKC!$N$8,B259&gt;=NKC!$M$8),"x","")</f>
        <v/>
      </c>
      <c r="AA259" s="715"/>
      <c r="AB259" s="493"/>
    </row>
    <row r="260" spans="1:28" s="199" customFormat="1" ht="15.75" customHeight="1">
      <c r="A260" s="716" t="str">
        <f>IF(B260&lt;&gt;"",IF(AND(B260&gt;=_TM1,B260&lt;=_TM2,OR(TH!L260="1111",TH!M260="1111")),TH!D260,""),"")</f>
        <v/>
      </c>
      <c r="B260" s="36">
        <f t="shared" si="11"/>
        <v>12</v>
      </c>
      <c r="C260" s="185">
        <f t="shared" si="12"/>
        <v>41274</v>
      </c>
      <c r="D260" s="185" t="s">
        <v>563</v>
      </c>
      <c r="E260" s="185">
        <v>41274</v>
      </c>
      <c r="F260" s="186" t="s">
        <v>367</v>
      </c>
      <c r="G260" s="724"/>
      <c r="H260" s="187" t="s">
        <v>598</v>
      </c>
      <c r="I260" s="243">
        <v>283</v>
      </c>
      <c r="J260" s="243">
        <v>10844</v>
      </c>
      <c r="K260" s="501">
        <f t="shared" si="13"/>
        <v>3068852</v>
      </c>
      <c r="L260" s="502" t="s">
        <v>160</v>
      </c>
      <c r="M260" s="502" t="s">
        <v>352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49" t="str">
        <f>IF(OR(TH!L260=TH!$V$7,M260=TH!$V$7),"x","")</f>
        <v/>
      </c>
      <c r="W260" s="49" t="str">
        <f>IF(AND(B260&gt;='IN-NX'!$P$3,B260&lt;='IN-NX'!$Q$3,'IN-NX'!$D$7=D260,OR(LEFT(L260,2)="15",AND(LEFT(M260,2)&lt;&gt;"15",LEFT(M260,2)&lt;&gt;"33"))),"x","")</f>
        <v/>
      </c>
      <c r="X260" s="49" t="str">
        <f>IF(AND(OR(LEFT(TH!L260,2)="15",LEFT(TH!M260,2)="15"),'152-CT'!$J$8=TH!F260),"x","")</f>
        <v/>
      </c>
      <c r="Y260" s="49" t="str">
        <f>IF(AND(OR(LEFT(TH!L260,2)="15",LEFT(TH!M260,2)="15"),TK!$E$7=TH!F260),"x","")</f>
        <v/>
      </c>
      <c r="Z260" s="49" t="str">
        <f>IF(AND(B260&lt;=NKC!$N$8,B260&gt;=NKC!$M$8),"x","")</f>
        <v/>
      </c>
      <c r="AA260" s="715"/>
      <c r="AB260" s="493"/>
    </row>
    <row r="261" spans="1:28" s="199" customFormat="1" ht="15.75" customHeight="1">
      <c r="A261" s="716" t="str">
        <f>IF(B261&lt;&gt;"",IF(AND(B261&gt;=_TM1,B261&lt;=_TM2,OR(TH!L261="1111",TH!M261="1111")),TH!D261,""),"")</f>
        <v/>
      </c>
      <c r="B261" s="36">
        <f t="shared" si="11"/>
        <v>12</v>
      </c>
      <c r="C261" s="185">
        <f t="shared" si="12"/>
        <v>41274</v>
      </c>
      <c r="D261" s="185" t="s">
        <v>563</v>
      </c>
      <c r="E261" s="185">
        <v>41274</v>
      </c>
      <c r="F261" s="186" t="s">
        <v>372</v>
      </c>
      <c r="G261" s="724"/>
      <c r="H261" s="187" t="s">
        <v>598</v>
      </c>
      <c r="I261" s="243">
        <v>2050</v>
      </c>
      <c r="J261" s="243">
        <v>10298</v>
      </c>
      <c r="K261" s="501">
        <f t="shared" si="13"/>
        <v>21110900</v>
      </c>
      <c r="L261" s="502" t="s">
        <v>160</v>
      </c>
      <c r="M261" s="502" t="s">
        <v>352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49" t="str">
        <f>IF(OR(TH!L261=TH!$V$7,M261=TH!$V$7),"x","")</f>
        <v/>
      </c>
      <c r="W261" s="49" t="str">
        <f>IF(AND(B261&gt;='IN-NX'!$P$3,B261&lt;='IN-NX'!$Q$3,'IN-NX'!$D$7=D261,OR(LEFT(L261,2)="15",AND(LEFT(M261,2)&lt;&gt;"15",LEFT(M261,2)&lt;&gt;"33"))),"x","")</f>
        <v/>
      </c>
      <c r="X261" s="49" t="str">
        <f>IF(AND(OR(LEFT(TH!L261,2)="15",LEFT(TH!M261,2)="15"),'152-CT'!$J$8=TH!F261),"x","")</f>
        <v/>
      </c>
      <c r="Y261" s="49" t="str">
        <f>IF(AND(OR(LEFT(TH!L261,2)="15",LEFT(TH!M261,2)="15"),TK!$E$7=TH!F261),"x","")</f>
        <v/>
      </c>
      <c r="Z261" s="49" t="str">
        <f>IF(AND(B261&lt;=NKC!$N$8,B261&gt;=NKC!$M$8),"x","")</f>
        <v/>
      </c>
      <c r="AA261" s="715"/>
      <c r="AB261" s="493"/>
    </row>
    <row r="262" spans="1:28" s="199" customFormat="1" ht="15.75" customHeight="1">
      <c r="A262" s="716" t="str">
        <f>IF(B262&lt;&gt;"",IF(AND(B262&gt;=_TM1,B262&lt;=_TM2,OR(TH!L262="1111",TH!M262="1111")),TH!D262,""),"")</f>
        <v/>
      </c>
      <c r="B262" s="36">
        <f t="shared" si="11"/>
        <v>12</v>
      </c>
      <c r="C262" s="185">
        <f t="shared" si="12"/>
        <v>41274</v>
      </c>
      <c r="D262" s="185" t="s">
        <v>563</v>
      </c>
      <c r="E262" s="185">
        <v>41274</v>
      </c>
      <c r="F262" s="186" t="s">
        <v>366</v>
      </c>
      <c r="G262" s="724"/>
      <c r="H262" s="187" t="s">
        <v>598</v>
      </c>
      <c r="I262" s="243">
        <v>574</v>
      </c>
      <c r="J262" s="243">
        <v>11048</v>
      </c>
      <c r="K262" s="501">
        <f t="shared" si="13"/>
        <v>6341552</v>
      </c>
      <c r="L262" s="502" t="s">
        <v>160</v>
      </c>
      <c r="M262" s="502" t="s">
        <v>352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49" t="str">
        <f>IF(OR(TH!L262=TH!$V$7,M262=TH!$V$7),"x","")</f>
        <v/>
      </c>
      <c r="W262" s="49" t="str">
        <f>IF(AND(B262&gt;='IN-NX'!$P$3,B262&lt;='IN-NX'!$Q$3,'IN-NX'!$D$7=D262,OR(LEFT(L262,2)="15",AND(LEFT(M262,2)&lt;&gt;"15",LEFT(M262,2)&lt;&gt;"33"))),"x","")</f>
        <v/>
      </c>
      <c r="X262" s="49" t="str">
        <f>IF(AND(OR(LEFT(TH!L262,2)="15",LEFT(TH!M262,2)="15"),'152-CT'!$J$8=TH!F262),"x","")</f>
        <v/>
      </c>
      <c r="Y262" s="49" t="str">
        <f>IF(AND(OR(LEFT(TH!L262,2)="15",LEFT(TH!M262,2)="15"),TK!$E$7=TH!F262),"x","")</f>
        <v/>
      </c>
      <c r="Z262" s="49" t="str">
        <f>IF(AND(B262&lt;=NKC!$N$8,B262&gt;=NKC!$M$8),"x","")</f>
        <v/>
      </c>
      <c r="AA262" s="715"/>
      <c r="AB262" s="493"/>
    </row>
    <row r="263" spans="1:28" s="199" customFormat="1" ht="15.75" customHeight="1">
      <c r="A263" s="716" t="str">
        <f>IF(B263&lt;&gt;"",IF(AND(B263&gt;=_TM1,B263&lt;=_TM2,OR(TH!L263="1111",TH!M263="1111")),TH!D263,""),"")</f>
        <v/>
      </c>
      <c r="B263" s="36">
        <f t="shared" si="11"/>
        <v>12</v>
      </c>
      <c r="C263" s="185">
        <f t="shared" si="12"/>
        <v>41274</v>
      </c>
      <c r="D263" s="185" t="s">
        <v>563</v>
      </c>
      <c r="E263" s="185">
        <v>41274</v>
      </c>
      <c r="F263" s="186" t="s">
        <v>395</v>
      </c>
      <c r="G263" s="724"/>
      <c r="H263" s="187" t="s">
        <v>598</v>
      </c>
      <c r="I263" s="243">
        <v>1588</v>
      </c>
      <c r="J263" s="243">
        <v>10286</v>
      </c>
      <c r="K263" s="501">
        <f t="shared" si="13"/>
        <v>16334168</v>
      </c>
      <c r="L263" s="502" t="s">
        <v>160</v>
      </c>
      <c r="M263" s="502" t="s">
        <v>352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49" t="str">
        <f>IF(OR(TH!L263=TH!$V$7,M263=TH!$V$7),"x","")</f>
        <v/>
      </c>
      <c r="W263" s="49" t="str">
        <f>IF(AND(B263&gt;='IN-NX'!$P$3,B263&lt;='IN-NX'!$Q$3,'IN-NX'!$D$7=D263,OR(LEFT(L263,2)="15",AND(LEFT(M263,2)&lt;&gt;"15",LEFT(M263,2)&lt;&gt;"33"))),"x","")</f>
        <v/>
      </c>
      <c r="X263" s="49" t="str">
        <f>IF(AND(OR(LEFT(TH!L263,2)="15",LEFT(TH!M263,2)="15"),'152-CT'!$J$8=TH!F263),"x","")</f>
        <v/>
      </c>
      <c r="Y263" s="49" t="str">
        <f>IF(AND(OR(LEFT(TH!L263,2)="15",LEFT(TH!M263,2)="15"),TK!$E$7=TH!F263),"x","")</f>
        <v/>
      </c>
      <c r="Z263" s="49" t="str">
        <f>IF(AND(B263&lt;=NKC!$N$8,B263&gt;=NKC!$M$8),"x","")</f>
        <v/>
      </c>
      <c r="AA263" s="715"/>
      <c r="AB263" s="493"/>
    </row>
    <row r="264" spans="1:28" s="199" customFormat="1" ht="15.75" customHeight="1">
      <c r="A264" s="716" t="str">
        <f>IF(B264&lt;&gt;"",IF(AND(B264&gt;=_TM1,B264&lt;=_TM2,OR(TH!L264="1111",TH!M264="1111")),TH!D264,""),"")</f>
        <v/>
      </c>
      <c r="B264" s="36">
        <f t="shared" si="11"/>
        <v>12</v>
      </c>
      <c r="C264" s="185">
        <f t="shared" si="12"/>
        <v>41274</v>
      </c>
      <c r="D264" s="185" t="s">
        <v>563</v>
      </c>
      <c r="E264" s="185">
        <v>41274</v>
      </c>
      <c r="F264" s="186" t="s">
        <v>437</v>
      </c>
      <c r="G264" s="724"/>
      <c r="H264" s="187" t="s">
        <v>598</v>
      </c>
      <c r="I264" s="243">
        <v>500</v>
      </c>
      <c r="J264" s="243">
        <v>12194</v>
      </c>
      <c r="K264" s="501">
        <f t="shared" si="13"/>
        <v>6097000</v>
      </c>
      <c r="L264" s="502" t="s">
        <v>160</v>
      </c>
      <c r="M264" s="502" t="s">
        <v>352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49" t="str">
        <f>IF(OR(TH!L264=TH!$V$7,M264=TH!$V$7),"x","")</f>
        <v/>
      </c>
      <c r="W264" s="49" t="str">
        <f>IF(AND(B264&gt;='IN-NX'!$P$3,B264&lt;='IN-NX'!$Q$3,'IN-NX'!$D$7=D264,OR(LEFT(L264,2)="15",AND(LEFT(M264,2)&lt;&gt;"15",LEFT(M264,2)&lt;&gt;"33"))),"x","")</f>
        <v/>
      </c>
      <c r="X264" s="49" t="str">
        <f>IF(AND(OR(LEFT(TH!L264,2)="15",LEFT(TH!M264,2)="15"),'152-CT'!$J$8=TH!F264),"x","")</f>
        <v/>
      </c>
      <c r="Y264" s="49" t="str">
        <f>IF(AND(OR(LEFT(TH!L264,2)="15",LEFT(TH!M264,2)="15"),TK!$E$7=TH!F264),"x","")</f>
        <v/>
      </c>
      <c r="Z264" s="49" t="str">
        <f>IF(AND(B264&lt;=NKC!$N$8,B264&gt;=NKC!$M$8),"x","")</f>
        <v/>
      </c>
      <c r="AA264" s="715"/>
      <c r="AB264" s="493"/>
    </row>
    <row r="265" spans="1:28" s="199" customFormat="1" ht="15.75" customHeight="1">
      <c r="A265" s="716" t="str">
        <f>IF(B265&lt;&gt;"",IF(AND(B265&gt;=_TM1,B265&lt;=_TM2,OR(TH!L265="1111",TH!M265="1111")),TH!D265,""),"")</f>
        <v/>
      </c>
      <c r="B265" s="36">
        <f t="shared" si="11"/>
        <v>12</v>
      </c>
      <c r="C265" s="185">
        <f t="shared" si="12"/>
        <v>41274</v>
      </c>
      <c r="D265" s="185" t="s">
        <v>563</v>
      </c>
      <c r="E265" s="185">
        <v>41274</v>
      </c>
      <c r="F265" s="186" t="s">
        <v>388</v>
      </c>
      <c r="G265" s="724"/>
      <c r="H265" s="187" t="s">
        <v>598</v>
      </c>
      <c r="I265" s="243">
        <v>1000</v>
      </c>
      <c r="J265" s="243">
        <v>12319</v>
      </c>
      <c r="K265" s="501">
        <f t="shared" si="13"/>
        <v>12319000</v>
      </c>
      <c r="L265" s="502" t="s">
        <v>160</v>
      </c>
      <c r="M265" s="502" t="s">
        <v>352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49" t="str">
        <f>IF(OR(TH!L265=TH!$V$7,M265=TH!$V$7),"x","")</f>
        <v/>
      </c>
      <c r="W265" s="49" t="str">
        <f>IF(AND(B265&gt;='IN-NX'!$P$3,B265&lt;='IN-NX'!$Q$3,'IN-NX'!$D$7=D265,OR(LEFT(L265,2)="15",AND(LEFT(M265,2)&lt;&gt;"15",LEFT(M265,2)&lt;&gt;"33"))),"x","")</f>
        <v/>
      </c>
      <c r="X265" s="49" t="str">
        <f>IF(AND(OR(LEFT(TH!L265,2)="15",LEFT(TH!M265,2)="15"),'152-CT'!$J$8=TH!F265),"x","")</f>
        <v/>
      </c>
      <c r="Y265" s="49" t="str">
        <f>IF(AND(OR(LEFT(TH!L265,2)="15",LEFT(TH!M265,2)="15"),TK!$E$7=TH!F265),"x","")</f>
        <v/>
      </c>
      <c r="Z265" s="49" t="str">
        <f>IF(AND(B265&lt;=NKC!$N$8,B265&gt;=NKC!$M$8),"x","")</f>
        <v/>
      </c>
      <c r="AA265" s="715"/>
      <c r="AB265" s="493"/>
    </row>
    <row r="266" spans="1:28" s="199" customFormat="1" ht="15.75" customHeight="1">
      <c r="A266" s="716" t="str">
        <f>IF(B266&lt;&gt;"",IF(AND(B266&gt;=_TM1,B266&lt;=_TM2,OR(TH!L266="1111",TH!M266="1111")),TH!D266,""),"")</f>
        <v/>
      </c>
      <c r="B266" s="36">
        <f t="shared" si="11"/>
        <v>12</v>
      </c>
      <c r="C266" s="185">
        <f t="shared" si="12"/>
        <v>41274</v>
      </c>
      <c r="D266" s="185" t="s">
        <v>563</v>
      </c>
      <c r="E266" s="185">
        <v>41274</v>
      </c>
      <c r="F266" s="186" t="s">
        <v>427</v>
      </c>
      <c r="G266" s="724"/>
      <c r="H266" s="187" t="s">
        <v>598</v>
      </c>
      <c r="I266" s="243">
        <v>502</v>
      </c>
      <c r="J266" s="243">
        <v>11186</v>
      </c>
      <c r="K266" s="501">
        <f t="shared" si="13"/>
        <v>5615372</v>
      </c>
      <c r="L266" s="502" t="s">
        <v>160</v>
      </c>
      <c r="M266" s="502" t="s">
        <v>352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49" t="str">
        <f>IF(OR(TH!L266=TH!$V$7,M266=TH!$V$7),"x","")</f>
        <v/>
      </c>
      <c r="W266" s="49" t="str">
        <f>IF(AND(B266&gt;='IN-NX'!$P$3,B266&lt;='IN-NX'!$Q$3,'IN-NX'!$D$7=D266,OR(LEFT(L266,2)="15",AND(LEFT(M266,2)&lt;&gt;"15",LEFT(M266,2)&lt;&gt;"33"))),"x","")</f>
        <v/>
      </c>
      <c r="X266" s="49" t="str">
        <f>IF(AND(OR(LEFT(TH!L266,2)="15",LEFT(TH!M266,2)="15"),'152-CT'!$J$8=TH!F266),"x","")</f>
        <v/>
      </c>
      <c r="Y266" s="49" t="str">
        <f>IF(AND(OR(LEFT(TH!L266,2)="15",LEFT(TH!M266,2)="15"),TK!$E$7=TH!F266),"x","")</f>
        <v/>
      </c>
      <c r="Z266" s="49" t="str">
        <f>IF(AND(B266&lt;=NKC!$N$8,B266&gt;=NKC!$M$8),"x","")</f>
        <v/>
      </c>
      <c r="AA266" s="715"/>
      <c r="AB266" s="493"/>
    </row>
    <row r="267" spans="1:28" s="199" customFormat="1" ht="15.75" customHeight="1">
      <c r="A267" s="716" t="str">
        <f>IF(B267&lt;&gt;"",IF(AND(B267&gt;=_TM1,B267&lt;=_TM2,OR(TH!L267="1111",TH!M267="1111")),TH!D267,""),"")</f>
        <v/>
      </c>
      <c r="B267" s="36">
        <f t="shared" si="11"/>
        <v>12</v>
      </c>
      <c r="C267" s="185">
        <f t="shared" si="12"/>
        <v>41274</v>
      </c>
      <c r="D267" s="185" t="s">
        <v>563</v>
      </c>
      <c r="E267" s="185">
        <v>41274</v>
      </c>
      <c r="F267" s="186" t="s">
        <v>426</v>
      </c>
      <c r="G267" s="724"/>
      <c r="H267" s="187" t="s">
        <v>598</v>
      </c>
      <c r="I267" s="243">
        <v>150</v>
      </c>
      <c r="J267" s="243">
        <v>10230</v>
      </c>
      <c r="K267" s="501">
        <f t="shared" si="13"/>
        <v>1534500</v>
      </c>
      <c r="L267" s="502" t="s">
        <v>160</v>
      </c>
      <c r="M267" s="502" t="s">
        <v>352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49" t="str">
        <f>IF(OR(TH!L267=TH!$V$7,M267=TH!$V$7),"x","")</f>
        <v/>
      </c>
      <c r="W267" s="49" t="str">
        <f>IF(AND(B267&gt;='IN-NX'!$P$3,B267&lt;='IN-NX'!$Q$3,'IN-NX'!$D$7=D267,OR(LEFT(L267,2)="15",AND(LEFT(M267,2)&lt;&gt;"15",LEFT(M267,2)&lt;&gt;"33"))),"x","")</f>
        <v/>
      </c>
      <c r="X267" s="49" t="str">
        <f>IF(AND(OR(LEFT(TH!L267,2)="15",LEFT(TH!M267,2)="15"),'152-CT'!$J$8=TH!F267),"x","")</f>
        <v/>
      </c>
      <c r="Y267" s="49" t="str">
        <f>IF(AND(OR(LEFT(TH!L267,2)="15",LEFT(TH!M267,2)="15"),TK!$E$7=TH!F267),"x","")</f>
        <v/>
      </c>
      <c r="Z267" s="49" t="str">
        <f>IF(AND(B267&lt;=NKC!$N$8,B267&gt;=NKC!$M$8),"x","")</f>
        <v/>
      </c>
      <c r="AA267" s="715"/>
      <c r="AB267" s="493"/>
    </row>
    <row r="268" spans="1:28" s="199" customFormat="1" ht="15.75" customHeight="1">
      <c r="A268" s="716" t="str">
        <f>IF(B268&lt;&gt;"",IF(AND(B268&gt;=_TM1,B268&lt;=_TM2,OR(TH!L268="1111",TH!M268="1111")),TH!D268,""),"")</f>
        <v/>
      </c>
      <c r="B268" s="36">
        <f t="shared" si="11"/>
        <v>12</v>
      </c>
      <c r="C268" s="185">
        <f t="shared" si="12"/>
        <v>41274</v>
      </c>
      <c r="D268" s="185" t="s">
        <v>563</v>
      </c>
      <c r="E268" s="185">
        <v>41274</v>
      </c>
      <c r="F268" s="186" t="s">
        <v>402</v>
      </c>
      <c r="G268" s="724"/>
      <c r="H268" s="187" t="s">
        <v>598</v>
      </c>
      <c r="I268" s="243">
        <v>275</v>
      </c>
      <c r="J268" s="243">
        <v>8556</v>
      </c>
      <c r="K268" s="501">
        <f t="shared" si="13"/>
        <v>2352900</v>
      </c>
      <c r="L268" s="502" t="s">
        <v>160</v>
      </c>
      <c r="M268" s="502" t="s">
        <v>352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49" t="str">
        <f>IF(OR(TH!L268=TH!$V$7,M268=TH!$V$7),"x","")</f>
        <v/>
      </c>
      <c r="W268" s="49" t="str">
        <f>IF(AND(B268&gt;='IN-NX'!$P$3,B268&lt;='IN-NX'!$Q$3,'IN-NX'!$D$7=D268,OR(LEFT(L268,2)="15",AND(LEFT(M268,2)&lt;&gt;"15",LEFT(M268,2)&lt;&gt;"33"))),"x","")</f>
        <v/>
      </c>
      <c r="X268" s="49" t="str">
        <f>IF(AND(OR(LEFT(TH!L268,2)="15",LEFT(TH!M268,2)="15"),'152-CT'!$J$8=TH!F268),"x","")</f>
        <v/>
      </c>
      <c r="Y268" s="49" t="str">
        <f>IF(AND(OR(LEFT(TH!L268,2)="15",LEFT(TH!M268,2)="15"),TK!$E$7=TH!F268),"x","")</f>
        <v/>
      </c>
      <c r="Z268" s="49" t="str">
        <f>IF(AND(B268&lt;=NKC!$N$8,B268&gt;=NKC!$M$8),"x","")</f>
        <v/>
      </c>
      <c r="AA268" s="715"/>
      <c r="AB268" s="493"/>
    </row>
    <row r="269" spans="1:28" s="199" customFormat="1" ht="15.75" customHeight="1">
      <c r="A269" s="716" t="str">
        <f>IF(B269&lt;&gt;"",IF(AND(B269&gt;=_TM1,B269&lt;=_TM2,OR(TH!L269="1111",TH!M269="1111")),TH!D269,""),"")</f>
        <v/>
      </c>
      <c r="B269" s="36">
        <f t="shared" si="11"/>
        <v>12</v>
      </c>
      <c r="C269" s="185">
        <f t="shared" si="12"/>
        <v>41274</v>
      </c>
      <c r="D269" s="185" t="s">
        <v>563</v>
      </c>
      <c r="E269" s="185">
        <v>41274</v>
      </c>
      <c r="F269" s="186" t="s">
        <v>402</v>
      </c>
      <c r="G269" s="724"/>
      <c r="H269" s="187" t="s">
        <v>598</v>
      </c>
      <c r="I269" s="243">
        <v>1125</v>
      </c>
      <c r="J269" s="243">
        <v>8556</v>
      </c>
      <c r="K269" s="501">
        <f t="shared" si="13"/>
        <v>9625500</v>
      </c>
      <c r="L269" s="502" t="s">
        <v>160</v>
      </c>
      <c r="M269" s="502" t="s">
        <v>352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49" t="str">
        <f>IF(OR(TH!L269=TH!$V$7,M269=TH!$V$7),"x","")</f>
        <v/>
      </c>
      <c r="W269" s="49" t="str">
        <f>IF(AND(B269&gt;='IN-NX'!$P$3,B269&lt;='IN-NX'!$Q$3,'IN-NX'!$D$7=D269,OR(LEFT(L269,2)="15",AND(LEFT(M269,2)&lt;&gt;"15",LEFT(M269,2)&lt;&gt;"33"))),"x","")</f>
        <v/>
      </c>
      <c r="X269" s="49" t="str">
        <f>IF(AND(OR(LEFT(TH!L269,2)="15",LEFT(TH!M269,2)="15"),'152-CT'!$J$8=TH!F269),"x","")</f>
        <v/>
      </c>
      <c r="Y269" s="49" t="str">
        <f>IF(AND(OR(LEFT(TH!L269,2)="15",LEFT(TH!M269,2)="15"),TK!$E$7=TH!F269),"x","")</f>
        <v/>
      </c>
      <c r="Z269" s="49" t="str">
        <f>IF(AND(B269&lt;=NKC!$N$8,B269&gt;=NKC!$M$8),"x","")</f>
        <v/>
      </c>
      <c r="AA269" s="715"/>
      <c r="AB269" s="493"/>
    </row>
    <row r="270" spans="1:28" s="199" customFormat="1" ht="15.75" customHeight="1">
      <c r="A270" s="716" t="str">
        <f>IF(B270&lt;&gt;"",IF(AND(B270&gt;=_TM1,B270&lt;=_TM2,OR(TH!L270="1111",TH!M270="1111")),TH!D270,""),"")</f>
        <v/>
      </c>
      <c r="B270" s="36">
        <f t="shared" si="11"/>
        <v>12</v>
      </c>
      <c r="C270" s="185">
        <f t="shared" si="12"/>
        <v>41274</v>
      </c>
      <c r="D270" s="185" t="s">
        <v>563</v>
      </c>
      <c r="E270" s="185">
        <v>41274</v>
      </c>
      <c r="F270" s="186" t="s">
        <v>402</v>
      </c>
      <c r="G270" s="724"/>
      <c r="H270" s="187" t="s">
        <v>598</v>
      </c>
      <c r="I270" s="243">
        <v>250</v>
      </c>
      <c r="J270" s="243">
        <v>8556</v>
      </c>
      <c r="K270" s="501">
        <f t="shared" si="13"/>
        <v>2139000</v>
      </c>
      <c r="L270" s="502" t="s">
        <v>160</v>
      </c>
      <c r="M270" s="502" t="s">
        <v>352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49" t="str">
        <f>IF(OR(TH!L270=TH!$V$7,M270=TH!$V$7),"x","")</f>
        <v/>
      </c>
      <c r="W270" s="49" t="str">
        <f>IF(AND(B270&gt;='IN-NX'!$P$3,B270&lt;='IN-NX'!$Q$3,'IN-NX'!$D$7=D270,OR(LEFT(L270,2)="15",AND(LEFT(M270,2)&lt;&gt;"15",LEFT(M270,2)&lt;&gt;"33"))),"x","")</f>
        <v/>
      </c>
      <c r="X270" s="49" t="str">
        <f>IF(AND(OR(LEFT(TH!L270,2)="15",LEFT(TH!M270,2)="15"),'152-CT'!$J$8=TH!F270),"x","")</f>
        <v/>
      </c>
      <c r="Y270" s="49" t="str">
        <f>IF(AND(OR(LEFT(TH!L270,2)="15",LEFT(TH!M270,2)="15"),TK!$E$7=TH!F270),"x","")</f>
        <v/>
      </c>
      <c r="Z270" s="49" t="str">
        <f>IF(AND(B270&lt;=NKC!$N$8,B270&gt;=NKC!$M$8),"x","")</f>
        <v/>
      </c>
      <c r="AA270" s="715"/>
      <c r="AB270" s="493"/>
    </row>
    <row r="271" spans="1:28" s="199" customFormat="1" ht="15.75" customHeight="1">
      <c r="A271" s="716" t="str">
        <f>IF(B271&lt;&gt;"",IF(AND(B271&gt;=_TM1,B271&lt;=_TM2,OR(TH!L271="1111",TH!M271="1111")),TH!D271,""),"")</f>
        <v/>
      </c>
      <c r="B271" s="36">
        <f t="shared" si="11"/>
        <v>12</v>
      </c>
      <c r="C271" s="185">
        <f t="shared" si="12"/>
        <v>41274</v>
      </c>
      <c r="D271" s="185" t="s">
        <v>563</v>
      </c>
      <c r="E271" s="185">
        <v>41274</v>
      </c>
      <c r="F271" s="186" t="s">
        <v>369</v>
      </c>
      <c r="G271" s="724"/>
      <c r="H271" s="187" t="s">
        <v>598</v>
      </c>
      <c r="I271" s="243">
        <v>1000</v>
      </c>
      <c r="J271" s="243">
        <v>11622</v>
      </c>
      <c r="K271" s="501">
        <f t="shared" si="13"/>
        <v>11622000</v>
      </c>
      <c r="L271" s="502" t="s">
        <v>160</v>
      </c>
      <c r="M271" s="502" t="s">
        <v>352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49" t="str">
        <f>IF(OR(TH!L271=TH!$V$7,M271=TH!$V$7),"x","")</f>
        <v/>
      </c>
      <c r="W271" s="49" t="str">
        <f>IF(AND(B271&gt;='IN-NX'!$P$3,B271&lt;='IN-NX'!$Q$3,'IN-NX'!$D$7=D271,OR(LEFT(L271,2)="15",AND(LEFT(M271,2)&lt;&gt;"15",LEFT(M271,2)&lt;&gt;"33"))),"x","")</f>
        <v/>
      </c>
      <c r="X271" s="49" t="str">
        <f>IF(AND(OR(LEFT(TH!L271,2)="15",LEFT(TH!M271,2)="15"),'152-CT'!$J$8=TH!F271),"x","")</f>
        <v/>
      </c>
      <c r="Y271" s="49" t="str">
        <f>IF(AND(OR(LEFT(TH!L271,2)="15",LEFT(TH!M271,2)="15"),TK!$E$7=TH!F271),"x","")</f>
        <v/>
      </c>
      <c r="Z271" s="49" t="str">
        <f>IF(AND(B271&lt;=NKC!$N$8,B271&gt;=NKC!$M$8),"x","")</f>
        <v/>
      </c>
      <c r="AA271" s="715"/>
      <c r="AB271" s="493"/>
    </row>
    <row r="272" spans="1:28" s="199" customFormat="1" ht="15.75" customHeight="1">
      <c r="A272" s="716" t="str">
        <f>IF(B272&lt;&gt;"",IF(AND(B272&gt;=_TM1,B272&lt;=_TM2,OR(TH!L272="1111",TH!M272="1111")),TH!D272,""),"")</f>
        <v/>
      </c>
      <c r="B272" s="36">
        <f t="shared" si="11"/>
        <v>12</v>
      </c>
      <c r="C272" s="185">
        <f t="shared" si="12"/>
        <v>41274</v>
      </c>
      <c r="D272" s="185" t="s">
        <v>563</v>
      </c>
      <c r="E272" s="185">
        <v>41274</v>
      </c>
      <c r="F272" s="186" t="s">
        <v>421</v>
      </c>
      <c r="G272" s="724"/>
      <c r="H272" s="187" t="s">
        <v>598</v>
      </c>
      <c r="I272" s="243">
        <v>175</v>
      </c>
      <c r="J272" s="243">
        <v>10546</v>
      </c>
      <c r="K272" s="501">
        <f t="shared" si="13"/>
        <v>1845550</v>
      </c>
      <c r="L272" s="502" t="s">
        <v>160</v>
      </c>
      <c r="M272" s="502" t="s">
        <v>352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49" t="str">
        <f>IF(OR(TH!L272=TH!$V$7,M272=TH!$V$7),"x","")</f>
        <v/>
      </c>
      <c r="W272" s="49" t="str">
        <f>IF(AND(B272&gt;='IN-NX'!$P$3,B272&lt;='IN-NX'!$Q$3,'IN-NX'!$D$7=D272,OR(LEFT(L272,2)="15",AND(LEFT(M272,2)&lt;&gt;"15",LEFT(M272,2)&lt;&gt;"33"))),"x","")</f>
        <v/>
      </c>
      <c r="X272" s="49" t="str">
        <f>IF(AND(OR(LEFT(TH!L272,2)="15",LEFT(TH!M272,2)="15"),'152-CT'!$J$8=TH!F272),"x","")</f>
        <v/>
      </c>
      <c r="Y272" s="49" t="str">
        <f>IF(AND(OR(LEFT(TH!L272,2)="15",LEFT(TH!M272,2)="15"),TK!$E$7=TH!F272),"x","")</f>
        <v/>
      </c>
      <c r="Z272" s="49" t="str">
        <f>IF(AND(B272&lt;=NKC!$N$8,B272&gt;=NKC!$M$8),"x","")</f>
        <v/>
      </c>
      <c r="AA272" s="715"/>
      <c r="AB272" s="493"/>
    </row>
    <row r="273" spans="1:28" s="199" customFormat="1" ht="15.75" customHeight="1">
      <c r="A273" s="716" t="str">
        <f>IF(B273&lt;&gt;"",IF(AND(B273&gt;=_TM1,B273&lt;=_TM2,OR(TH!L273="1111",TH!M273="1111")),TH!D273,""),"")</f>
        <v/>
      </c>
      <c r="B273" s="36">
        <f t="shared" si="11"/>
        <v>12</v>
      </c>
      <c r="C273" s="185">
        <f t="shared" si="12"/>
        <v>41274</v>
      </c>
      <c r="D273" s="185" t="s">
        <v>563</v>
      </c>
      <c r="E273" s="185">
        <v>41274</v>
      </c>
      <c r="F273" s="186" t="s">
        <v>424</v>
      </c>
      <c r="G273" s="724"/>
      <c r="H273" s="187" t="s">
        <v>598</v>
      </c>
      <c r="I273" s="243">
        <v>260</v>
      </c>
      <c r="J273" s="243">
        <v>19110</v>
      </c>
      <c r="K273" s="501">
        <f t="shared" si="13"/>
        <v>4968600</v>
      </c>
      <c r="L273" s="502" t="s">
        <v>160</v>
      </c>
      <c r="M273" s="502" t="s">
        <v>352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49" t="str">
        <f>IF(OR(TH!L273=TH!$V$7,M273=TH!$V$7),"x","")</f>
        <v/>
      </c>
      <c r="W273" s="49" t="str">
        <f>IF(AND(B273&gt;='IN-NX'!$P$3,B273&lt;='IN-NX'!$Q$3,'IN-NX'!$D$7=D273,OR(LEFT(L273,2)="15",AND(LEFT(M273,2)&lt;&gt;"15",LEFT(M273,2)&lt;&gt;"33"))),"x","")</f>
        <v/>
      </c>
      <c r="X273" s="49" t="str">
        <f>IF(AND(OR(LEFT(TH!L273,2)="15",LEFT(TH!M273,2)="15"),'152-CT'!$J$8=TH!F273),"x","")</f>
        <v/>
      </c>
      <c r="Y273" s="49" t="str">
        <f>IF(AND(OR(LEFT(TH!L273,2)="15",LEFT(TH!M273,2)="15"),TK!$E$7=TH!F273),"x","")</f>
        <v/>
      </c>
      <c r="Z273" s="49" t="str">
        <f>IF(AND(B273&lt;=NKC!$N$8,B273&gt;=NKC!$M$8),"x","")</f>
        <v/>
      </c>
      <c r="AA273" s="715"/>
      <c r="AB273" s="493"/>
    </row>
    <row r="274" spans="1:28" s="199" customFormat="1" ht="15.75" customHeight="1">
      <c r="A274" s="716" t="str">
        <f>IF(B274&lt;&gt;"",IF(AND(B274&gt;=_TM1,B274&lt;=_TM2,OR(TH!L274="1111",TH!M274="1111")),TH!D274,""),"")</f>
        <v/>
      </c>
      <c r="B274" s="36">
        <f t="shared" si="11"/>
        <v>12</v>
      </c>
      <c r="C274" s="185">
        <f t="shared" si="12"/>
        <v>41274</v>
      </c>
      <c r="D274" s="185" t="s">
        <v>563</v>
      </c>
      <c r="E274" s="185">
        <v>41274</v>
      </c>
      <c r="F274" s="186" t="s">
        <v>368</v>
      </c>
      <c r="G274" s="724"/>
      <c r="H274" s="187" t="s">
        <v>598</v>
      </c>
      <c r="I274" s="243">
        <v>500</v>
      </c>
      <c r="J274" s="243">
        <v>10286</v>
      </c>
      <c r="K274" s="501">
        <f t="shared" si="13"/>
        <v>5143000</v>
      </c>
      <c r="L274" s="502" t="s">
        <v>160</v>
      </c>
      <c r="M274" s="502" t="s">
        <v>352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49" t="str">
        <f>IF(OR(TH!L274=TH!$V$7,M274=TH!$V$7),"x","")</f>
        <v/>
      </c>
      <c r="W274" s="49" t="str">
        <f>IF(AND(B274&gt;='IN-NX'!$P$3,B274&lt;='IN-NX'!$Q$3,'IN-NX'!$D$7=D274,OR(LEFT(L274,2)="15",AND(LEFT(M274,2)&lt;&gt;"15",LEFT(M274,2)&lt;&gt;"33"))),"x","")</f>
        <v/>
      </c>
      <c r="X274" s="49" t="str">
        <f>IF(AND(OR(LEFT(TH!L274,2)="15",LEFT(TH!M274,2)="15"),'152-CT'!$J$8=TH!F274),"x","")</f>
        <v/>
      </c>
      <c r="Y274" s="49" t="str">
        <f>IF(AND(OR(LEFT(TH!L274,2)="15",LEFT(TH!M274,2)="15"),TK!$E$7=TH!F274),"x","")</f>
        <v/>
      </c>
      <c r="Z274" s="49" t="str">
        <f>IF(AND(B274&lt;=NKC!$N$8,B274&gt;=NKC!$M$8),"x","")</f>
        <v/>
      </c>
      <c r="AA274" s="715"/>
      <c r="AB274" s="493"/>
    </row>
    <row r="275" spans="1:28" s="199" customFormat="1" ht="15.75" customHeight="1">
      <c r="A275" s="716" t="str">
        <f>IF(B275&lt;&gt;"",IF(AND(B275&gt;=_TM1,B275&lt;=_TM2,OR(TH!L275="1111",TH!M275="1111")),TH!D275,""),"")</f>
        <v/>
      </c>
      <c r="B275" s="36">
        <f t="shared" si="11"/>
        <v>12</v>
      </c>
      <c r="C275" s="185">
        <f t="shared" si="12"/>
        <v>41274</v>
      </c>
      <c r="D275" s="185" t="s">
        <v>470</v>
      </c>
      <c r="E275" s="185">
        <v>41274</v>
      </c>
      <c r="F275" s="186" t="s">
        <v>508</v>
      </c>
      <c r="G275" s="724"/>
      <c r="H275" s="187" t="s">
        <v>599</v>
      </c>
      <c r="I275" s="243">
        <v>22750</v>
      </c>
      <c r="J275" s="243">
        <v>1016.1613030360031</v>
      </c>
      <c r="K275" s="501">
        <f t="shared" si="13"/>
        <v>23117670</v>
      </c>
      <c r="L275" s="502" t="s">
        <v>352</v>
      </c>
      <c r="M275" s="502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49" t="str">
        <f>IF(OR(TH!L275=TH!$V$7,M275=TH!$V$7),"x","")</f>
        <v/>
      </c>
      <c r="W275" s="49" t="str">
        <f>IF(AND(B275&gt;='IN-NX'!$P$3,B275&lt;='IN-NX'!$Q$3,'IN-NX'!$D$7=D275,OR(LEFT(L275,2)="15",AND(LEFT(M275,2)&lt;&gt;"15",LEFT(M275,2)&lt;&gt;"33"))),"x","")</f>
        <v/>
      </c>
      <c r="X275" s="49" t="str">
        <f>IF(AND(OR(LEFT(TH!L275,2)="15",LEFT(TH!M275,2)="15"),'152-CT'!$J$8=TH!F275),"x","")</f>
        <v/>
      </c>
      <c r="Y275" s="49" t="str">
        <f>IF(AND(OR(LEFT(TH!L275,2)="15",LEFT(TH!M275,2)="15"),TK!$E$7=TH!F275),"x","")</f>
        <v/>
      </c>
      <c r="Z275" s="49" t="str">
        <f>IF(AND(B275&lt;=NKC!$N$8,B275&gt;=NKC!$M$8),"x","")</f>
        <v/>
      </c>
      <c r="AA275" s="715"/>
      <c r="AB275" s="493"/>
    </row>
    <row r="276" spans="1:28" s="199" customFormat="1" ht="15.75" customHeight="1">
      <c r="A276" s="716" t="str">
        <f>IF(B276&lt;&gt;"",IF(AND(B276&gt;=_TM1,B276&lt;=_TM2,OR(TH!L276="1111",TH!M276="1111")),TH!D276,""),"")</f>
        <v/>
      </c>
      <c r="B276" s="36">
        <f t="shared" si="11"/>
        <v>12</v>
      </c>
      <c r="C276" s="185">
        <f t="shared" si="12"/>
        <v>41274</v>
      </c>
      <c r="D276" s="185" t="s">
        <v>470</v>
      </c>
      <c r="E276" s="185">
        <v>41274</v>
      </c>
      <c r="F276" s="186" t="s">
        <v>557</v>
      </c>
      <c r="G276" s="724"/>
      <c r="H276" s="187" t="s">
        <v>599</v>
      </c>
      <c r="I276" s="243">
        <v>60</v>
      </c>
      <c r="J276" s="243">
        <v>19714.978885453584</v>
      </c>
      <c r="K276" s="501">
        <f t="shared" si="13"/>
        <v>1182899</v>
      </c>
      <c r="L276" s="502" t="s">
        <v>352</v>
      </c>
      <c r="M276" s="502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49" t="str">
        <f>IF(OR(TH!L276=TH!$V$7,M276=TH!$V$7),"x","")</f>
        <v/>
      </c>
      <c r="W276" s="49" t="str">
        <f>IF(AND(B276&gt;='IN-NX'!$P$3,B276&lt;='IN-NX'!$Q$3,'IN-NX'!$D$7=D276,OR(LEFT(L276,2)="15",AND(LEFT(M276,2)&lt;&gt;"15",LEFT(M276,2)&lt;&gt;"33"))),"x","")</f>
        <v/>
      </c>
      <c r="X276" s="49" t="str">
        <f>IF(AND(OR(LEFT(TH!L276,2)="15",LEFT(TH!M276,2)="15"),'152-CT'!$J$8=TH!F276),"x","")</f>
        <v>x</v>
      </c>
      <c r="Y276" s="49" t="str">
        <f>IF(AND(OR(LEFT(TH!L276,2)="15",LEFT(TH!M276,2)="15"),TK!$E$7=TH!F276),"x","")</f>
        <v/>
      </c>
      <c r="Z276" s="49" t="str">
        <f>IF(AND(B276&lt;=NKC!$N$8,B276&gt;=NKC!$M$8),"x","")</f>
        <v/>
      </c>
      <c r="AA276" s="715"/>
      <c r="AB276" s="493"/>
    </row>
    <row r="277" spans="1:28" s="199" customFormat="1" ht="15.75" customHeight="1">
      <c r="A277" s="716" t="str">
        <f>IF(B277&lt;&gt;"",IF(AND(B277&gt;=_TM1,B277&lt;=_TM2,OR(TH!L277="1111",TH!M277="1111")),TH!D277,""),"")</f>
        <v/>
      </c>
      <c r="B277" s="36">
        <f t="shared" si="11"/>
        <v>12</v>
      </c>
      <c r="C277" s="185">
        <f t="shared" si="12"/>
        <v>41274</v>
      </c>
      <c r="D277" s="185" t="s">
        <v>470</v>
      </c>
      <c r="E277" s="185">
        <v>41274</v>
      </c>
      <c r="F277" s="186" t="s">
        <v>516</v>
      </c>
      <c r="G277" s="724"/>
      <c r="H277" s="187" t="s">
        <v>599</v>
      </c>
      <c r="I277" s="243">
        <v>3303</v>
      </c>
      <c r="J277" s="243">
        <v>4854.9788854535855</v>
      </c>
      <c r="K277" s="501">
        <f t="shared" si="13"/>
        <v>16035995</v>
      </c>
      <c r="L277" s="502" t="s">
        <v>352</v>
      </c>
      <c r="M277" s="502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49" t="str">
        <f>IF(OR(TH!L277=TH!$V$7,M277=TH!$V$7),"x","")</f>
        <v/>
      </c>
      <c r="W277" s="49" t="str">
        <f>IF(AND(B277&gt;='IN-NX'!$P$3,B277&lt;='IN-NX'!$Q$3,'IN-NX'!$D$7=D277,OR(LEFT(L277,2)="15",AND(LEFT(M277,2)&lt;&gt;"15",LEFT(M277,2)&lt;&gt;"33"))),"x","")</f>
        <v/>
      </c>
      <c r="X277" s="49" t="str">
        <f>IF(AND(OR(LEFT(TH!L277,2)="15",LEFT(TH!M277,2)="15"),'152-CT'!$J$8=TH!F277),"x","")</f>
        <v/>
      </c>
      <c r="Y277" s="49" t="str">
        <f>IF(AND(OR(LEFT(TH!L277,2)="15",LEFT(TH!M277,2)="15"),TK!$E$7=TH!F277),"x","")</f>
        <v/>
      </c>
      <c r="Z277" s="49" t="str">
        <f>IF(AND(B277&lt;=NKC!$N$8,B277&gt;=NKC!$M$8),"x","")</f>
        <v/>
      </c>
      <c r="AA277" s="715"/>
      <c r="AB277" s="493"/>
    </row>
    <row r="278" spans="1:28" s="199" customFormat="1" ht="15.75" customHeight="1">
      <c r="A278" s="716" t="str">
        <f>IF(B278&lt;&gt;"",IF(AND(B278&gt;=_TM1,B278&lt;=_TM2,OR(TH!L278="1111",TH!M278="1111")),TH!D278,""),"")</f>
        <v/>
      </c>
      <c r="B278" s="36">
        <f t="shared" si="11"/>
        <v>12</v>
      </c>
      <c r="C278" s="185">
        <f t="shared" si="12"/>
        <v>41274</v>
      </c>
      <c r="D278" s="185" t="s">
        <v>470</v>
      </c>
      <c r="E278" s="185">
        <v>41274</v>
      </c>
      <c r="F278" s="186" t="s">
        <v>540</v>
      </c>
      <c r="G278" s="724"/>
      <c r="H278" s="187" t="s">
        <v>599</v>
      </c>
      <c r="I278" s="243">
        <v>800</v>
      </c>
      <c r="J278" s="243">
        <v>6370.9788854535864</v>
      </c>
      <c r="K278" s="501">
        <f t="shared" ref="K278:K309" si="14">ROUND(I278*J278,0)</f>
        <v>5096783</v>
      </c>
      <c r="L278" s="502" t="s">
        <v>352</v>
      </c>
      <c r="M278" s="502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49" t="str">
        <f>IF(OR(TH!L278=TH!$V$7,M278=TH!$V$7),"x","")</f>
        <v/>
      </c>
      <c r="W278" s="49" t="str">
        <f>IF(AND(B278&gt;='IN-NX'!$P$3,B278&lt;='IN-NX'!$Q$3,'IN-NX'!$D$7=D278,OR(LEFT(L278,2)="15",AND(LEFT(M278,2)&lt;&gt;"15",LEFT(M278,2)&lt;&gt;"33"))),"x","")</f>
        <v/>
      </c>
      <c r="X278" s="49" t="str">
        <f>IF(AND(OR(LEFT(TH!L278,2)="15",LEFT(TH!M278,2)="15"),'152-CT'!$J$8=TH!F278),"x","")</f>
        <v/>
      </c>
      <c r="Y278" s="49" t="str">
        <f>IF(AND(OR(LEFT(TH!L278,2)="15",LEFT(TH!M278,2)="15"),TK!$E$7=TH!F278),"x","")</f>
        <v/>
      </c>
      <c r="Z278" s="49" t="str">
        <f>IF(AND(B278&lt;=NKC!$N$8,B278&gt;=NKC!$M$8),"x","")</f>
        <v/>
      </c>
      <c r="AA278" s="715"/>
      <c r="AB278" s="493"/>
    </row>
    <row r="279" spans="1:28" s="199" customFormat="1" ht="15.75" customHeight="1">
      <c r="A279" s="716" t="str">
        <f>IF(B279&lt;&gt;"",IF(AND(B279&gt;=_TM1,B279&lt;=_TM2,OR(TH!L279="1111",TH!M279="1111")),TH!D279,""),"")</f>
        <v/>
      </c>
      <c r="B279" s="36">
        <f t="shared" ref="B279:B324" si="15">IF(C279&lt;&gt;"",MONTH(C279),"")</f>
        <v>12</v>
      </c>
      <c r="C279" s="185">
        <f t="shared" ref="C279:C324" si="16">E279</f>
        <v>41274</v>
      </c>
      <c r="D279" s="185" t="s">
        <v>470</v>
      </c>
      <c r="E279" s="185">
        <v>41274</v>
      </c>
      <c r="F279" s="186" t="s">
        <v>552</v>
      </c>
      <c r="G279" s="724"/>
      <c r="H279" s="187" t="s">
        <v>599</v>
      </c>
      <c r="I279" s="243">
        <v>100</v>
      </c>
      <c r="J279" s="243">
        <v>13624.978885453584</v>
      </c>
      <c r="K279" s="501">
        <f t="shared" si="14"/>
        <v>1362498</v>
      </c>
      <c r="L279" s="502" t="s">
        <v>352</v>
      </c>
      <c r="M279" s="502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49" t="str">
        <f>IF(OR(TH!L279=TH!$V$7,M279=TH!$V$7),"x","")</f>
        <v/>
      </c>
      <c r="W279" s="49" t="str">
        <f>IF(AND(B279&gt;='IN-NX'!$P$3,B279&lt;='IN-NX'!$Q$3,'IN-NX'!$D$7=D279,OR(LEFT(L279,2)="15",AND(LEFT(M279,2)&lt;&gt;"15",LEFT(M279,2)&lt;&gt;"33"))),"x","")</f>
        <v/>
      </c>
      <c r="X279" s="49" t="str">
        <f>IF(AND(OR(LEFT(TH!L279,2)="15",LEFT(TH!M279,2)="15"),'152-CT'!$J$8=TH!F279),"x","")</f>
        <v/>
      </c>
      <c r="Y279" s="49" t="str">
        <f>IF(AND(OR(LEFT(TH!L279,2)="15",LEFT(TH!M279,2)="15"),TK!$E$7=TH!F279),"x","")</f>
        <v>x</v>
      </c>
      <c r="Z279" s="49" t="str">
        <f>IF(AND(B279&lt;=NKC!$N$8,B279&gt;=NKC!$M$8),"x","")</f>
        <v/>
      </c>
      <c r="AA279" s="715"/>
      <c r="AB279" s="493"/>
    </row>
    <row r="280" spans="1:28" s="199" customFormat="1" ht="15.75" customHeight="1">
      <c r="A280" s="716" t="str">
        <f>IF(B280&lt;&gt;"",IF(AND(B280&gt;=_TM1,B280&lt;=_TM2,OR(TH!L280="1111",TH!M280="1111")),TH!D280,""),"")</f>
        <v/>
      </c>
      <c r="B280" s="36">
        <f t="shared" si="15"/>
        <v>12</v>
      </c>
      <c r="C280" s="185">
        <f t="shared" si="16"/>
        <v>41274</v>
      </c>
      <c r="D280" s="185" t="s">
        <v>470</v>
      </c>
      <c r="E280" s="185">
        <v>41274</v>
      </c>
      <c r="F280" s="186" t="s">
        <v>555</v>
      </c>
      <c r="G280" s="724"/>
      <c r="H280" s="187" t="s">
        <v>599</v>
      </c>
      <c r="I280" s="243">
        <v>40</v>
      </c>
      <c r="J280" s="243">
        <v>13624.978885453587</v>
      </c>
      <c r="K280" s="501">
        <f t="shared" si="14"/>
        <v>544999</v>
      </c>
      <c r="L280" s="502" t="s">
        <v>352</v>
      </c>
      <c r="M280" s="502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49" t="str">
        <f>IF(OR(TH!L280=TH!$V$7,M280=TH!$V$7),"x","")</f>
        <v/>
      </c>
      <c r="W280" s="49" t="str">
        <f>IF(AND(B280&gt;='IN-NX'!$P$3,B280&lt;='IN-NX'!$Q$3,'IN-NX'!$D$7=D280,OR(LEFT(L280,2)="15",AND(LEFT(M280,2)&lt;&gt;"15",LEFT(M280,2)&lt;&gt;"33"))),"x","")</f>
        <v/>
      </c>
      <c r="X280" s="49" t="str">
        <f>IF(AND(OR(LEFT(TH!L280,2)="15",LEFT(TH!M280,2)="15"),'152-CT'!$J$8=TH!F280),"x","")</f>
        <v/>
      </c>
      <c r="Y280" s="49" t="str">
        <f>IF(AND(OR(LEFT(TH!L280,2)="15",LEFT(TH!M280,2)="15"),TK!$E$7=TH!F280),"x","")</f>
        <v/>
      </c>
      <c r="Z280" s="49" t="str">
        <f>IF(AND(B280&lt;=NKC!$N$8,B280&gt;=NKC!$M$8),"x","")</f>
        <v/>
      </c>
      <c r="AA280" s="715"/>
      <c r="AB280" s="493"/>
    </row>
    <row r="281" spans="1:28" s="199" customFormat="1" ht="15.75" customHeight="1">
      <c r="A281" s="716" t="str">
        <f>IF(B281&lt;&gt;"",IF(AND(B281&gt;=_TM1,B281&lt;=_TM2,OR(TH!L281="1111",TH!M281="1111")),TH!D281,""),"")</f>
        <v/>
      </c>
      <c r="B281" s="36">
        <f t="shared" si="15"/>
        <v>12</v>
      </c>
      <c r="C281" s="185">
        <f t="shared" si="16"/>
        <v>41274</v>
      </c>
      <c r="D281" s="185" t="s">
        <v>470</v>
      </c>
      <c r="E281" s="185">
        <v>41274</v>
      </c>
      <c r="F281" s="186" t="s">
        <v>553</v>
      </c>
      <c r="G281" s="724"/>
      <c r="H281" s="187" t="s">
        <v>599</v>
      </c>
      <c r="I281" s="243">
        <v>180</v>
      </c>
      <c r="J281" s="243">
        <v>13624.978885453585</v>
      </c>
      <c r="K281" s="501">
        <f t="shared" si="14"/>
        <v>2452496</v>
      </c>
      <c r="L281" s="502" t="s">
        <v>352</v>
      </c>
      <c r="M281" s="502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49" t="str">
        <f>IF(OR(TH!L281=TH!$V$7,M281=TH!$V$7),"x","")</f>
        <v/>
      </c>
      <c r="W281" s="49" t="str">
        <f>IF(AND(B281&gt;='IN-NX'!$P$3,B281&lt;='IN-NX'!$Q$3,'IN-NX'!$D$7=D281,OR(LEFT(L281,2)="15",AND(LEFT(M281,2)&lt;&gt;"15",LEFT(M281,2)&lt;&gt;"33"))),"x","")</f>
        <v/>
      </c>
      <c r="X281" s="49" t="str">
        <f>IF(AND(OR(LEFT(TH!L281,2)="15",LEFT(TH!M281,2)="15"),'152-CT'!$J$8=TH!F281),"x","")</f>
        <v/>
      </c>
      <c r="Y281" s="49" t="str">
        <f>IF(AND(OR(LEFT(TH!L281,2)="15",LEFT(TH!M281,2)="15"),TK!$E$7=TH!F281),"x","")</f>
        <v/>
      </c>
      <c r="Z281" s="49" t="str">
        <f>IF(AND(B281&lt;=NKC!$N$8,B281&gt;=NKC!$M$8),"x","")</f>
        <v/>
      </c>
      <c r="AA281" s="715"/>
      <c r="AB281" s="493"/>
    </row>
    <row r="282" spans="1:28" s="199" customFormat="1" ht="15.75" customHeight="1">
      <c r="A282" s="716" t="str">
        <f>IF(B282&lt;&gt;"",IF(AND(B282&gt;=_TM1,B282&lt;=_TM2,OR(TH!L282="1111",TH!M282="1111")),TH!D282,""),"")</f>
        <v/>
      </c>
      <c r="B282" s="36">
        <f t="shared" si="15"/>
        <v>12</v>
      </c>
      <c r="C282" s="185">
        <f t="shared" si="16"/>
        <v>41274</v>
      </c>
      <c r="D282" s="185" t="s">
        <v>470</v>
      </c>
      <c r="E282" s="185">
        <v>41274</v>
      </c>
      <c r="F282" s="186" t="s">
        <v>550</v>
      </c>
      <c r="G282" s="724"/>
      <c r="H282" s="187" t="s">
        <v>599</v>
      </c>
      <c r="I282" s="243">
        <v>180</v>
      </c>
      <c r="J282" s="243">
        <v>13624.978885453585</v>
      </c>
      <c r="K282" s="501">
        <f t="shared" si="14"/>
        <v>2452496</v>
      </c>
      <c r="L282" s="502" t="s">
        <v>352</v>
      </c>
      <c r="M282" s="502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49" t="str">
        <f>IF(OR(TH!L282=TH!$V$7,M282=TH!$V$7),"x","")</f>
        <v/>
      </c>
      <c r="W282" s="49" t="str">
        <f>IF(AND(B282&gt;='IN-NX'!$P$3,B282&lt;='IN-NX'!$Q$3,'IN-NX'!$D$7=D282,OR(LEFT(L282,2)="15",AND(LEFT(M282,2)&lt;&gt;"15",LEFT(M282,2)&lt;&gt;"33"))),"x","")</f>
        <v/>
      </c>
      <c r="X282" s="49" t="str">
        <f>IF(AND(OR(LEFT(TH!L282,2)="15",LEFT(TH!M282,2)="15"),'152-CT'!$J$8=TH!F282),"x","")</f>
        <v/>
      </c>
      <c r="Y282" s="49" t="str">
        <f>IF(AND(OR(LEFT(TH!L282,2)="15",LEFT(TH!M282,2)="15"),TK!$E$7=TH!F282),"x","")</f>
        <v/>
      </c>
      <c r="Z282" s="49" t="str">
        <f>IF(AND(B282&lt;=NKC!$N$8,B282&gt;=NKC!$M$8),"x","")</f>
        <v/>
      </c>
      <c r="AA282" s="715"/>
      <c r="AB282" s="493"/>
    </row>
    <row r="283" spans="1:28" s="199" customFormat="1" ht="15.75" customHeight="1">
      <c r="A283" s="716" t="str">
        <f>IF(B283&lt;&gt;"",IF(AND(B283&gt;=_TM1,B283&lt;=_TM2,OR(TH!L283="1111",TH!M283="1111")),TH!D283,""),"")</f>
        <v/>
      </c>
      <c r="B283" s="36">
        <f t="shared" si="15"/>
        <v>12</v>
      </c>
      <c r="C283" s="185">
        <f t="shared" si="16"/>
        <v>41274</v>
      </c>
      <c r="D283" s="185" t="s">
        <v>470</v>
      </c>
      <c r="E283" s="185">
        <v>41274</v>
      </c>
      <c r="F283" s="186" t="s">
        <v>514</v>
      </c>
      <c r="G283" s="724"/>
      <c r="H283" s="187" t="s">
        <v>599</v>
      </c>
      <c r="I283" s="243">
        <v>1010</v>
      </c>
      <c r="J283" s="243">
        <v>6666.9788854535864</v>
      </c>
      <c r="K283" s="501">
        <f t="shared" si="14"/>
        <v>6733649</v>
      </c>
      <c r="L283" s="502" t="s">
        <v>352</v>
      </c>
      <c r="M283" s="502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49" t="str">
        <f>IF(OR(TH!L283=TH!$V$7,M283=TH!$V$7),"x","")</f>
        <v/>
      </c>
      <c r="W283" s="49" t="str">
        <f>IF(AND(B283&gt;='IN-NX'!$P$3,B283&lt;='IN-NX'!$Q$3,'IN-NX'!$D$7=D283,OR(LEFT(L283,2)="15",AND(LEFT(M283,2)&lt;&gt;"15",LEFT(M283,2)&lt;&gt;"33"))),"x","")</f>
        <v/>
      </c>
      <c r="X283" s="49" t="str">
        <f>IF(AND(OR(LEFT(TH!L283,2)="15",LEFT(TH!M283,2)="15"),'152-CT'!$J$8=TH!F283),"x","")</f>
        <v/>
      </c>
      <c r="Y283" s="49" t="str">
        <f>IF(AND(OR(LEFT(TH!L283,2)="15",LEFT(TH!M283,2)="15"),TK!$E$7=TH!F283),"x","")</f>
        <v/>
      </c>
      <c r="Z283" s="49" t="str">
        <f>IF(AND(B283&lt;=NKC!$N$8,B283&gt;=NKC!$M$8),"x","")</f>
        <v/>
      </c>
      <c r="AA283" s="715"/>
      <c r="AB283" s="493"/>
    </row>
    <row r="284" spans="1:28" s="199" customFormat="1" ht="15.75" customHeight="1">
      <c r="A284" s="716" t="str">
        <f>IF(B284&lt;&gt;"",IF(AND(B284&gt;=_TM1,B284&lt;=_TM2,OR(TH!L284="1111",TH!M284="1111")),TH!D284,""),"")</f>
        <v/>
      </c>
      <c r="B284" s="36">
        <f t="shared" si="15"/>
        <v>12</v>
      </c>
      <c r="C284" s="185">
        <f t="shared" si="16"/>
        <v>41274</v>
      </c>
      <c r="D284" s="185" t="s">
        <v>470</v>
      </c>
      <c r="E284" s="185">
        <v>41274</v>
      </c>
      <c r="F284" s="186" t="s">
        <v>512</v>
      </c>
      <c r="G284" s="724"/>
      <c r="H284" s="187" t="s">
        <v>599</v>
      </c>
      <c r="I284" s="243">
        <v>3104</v>
      </c>
      <c r="J284" s="243">
        <v>5946.1779833917299</v>
      </c>
      <c r="K284" s="501">
        <f t="shared" si="14"/>
        <v>18456936</v>
      </c>
      <c r="L284" s="502" t="s">
        <v>352</v>
      </c>
      <c r="M284" s="502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49" t="str">
        <f>IF(OR(TH!L284=TH!$V$7,M284=TH!$V$7),"x","")</f>
        <v/>
      </c>
      <c r="W284" s="49" t="str">
        <f>IF(AND(B284&gt;='IN-NX'!$P$3,B284&lt;='IN-NX'!$Q$3,'IN-NX'!$D$7=D284,OR(LEFT(L284,2)="15",AND(LEFT(M284,2)&lt;&gt;"15",LEFT(M284,2)&lt;&gt;"33"))),"x","")</f>
        <v/>
      </c>
      <c r="X284" s="49" t="str">
        <f>IF(AND(OR(LEFT(TH!L284,2)="15",LEFT(TH!M284,2)="15"),'152-CT'!$J$8=TH!F284),"x","")</f>
        <v/>
      </c>
      <c r="Y284" s="49" t="str">
        <f>IF(AND(OR(LEFT(TH!L284,2)="15",LEFT(TH!M284,2)="15"),TK!$E$7=TH!F284),"x","")</f>
        <v/>
      </c>
      <c r="Z284" s="49" t="str">
        <f>IF(AND(B284&lt;=NKC!$N$8,B284&gt;=NKC!$M$8),"x","")</f>
        <v/>
      </c>
      <c r="AA284" s="715"/>
      <c r="AB284" s="493"/>
    </row>
    <row r="285" spans="1:28" s="199" customFormat="1" ht="15.75" customHeight="1">
      <c r="A285" s="716" t="str">
        <f>IF(B285&lt;&gt;"",IF(AND(B285&gt;=_TM1,B285&lt;=_TM2,OR(TH!L285="1111",TH!M285="1111")),TH!D285,""),"")</f>
        <v/>
      </c>
      <c r="B285" s="36">
        <f t="shared" si="15"/>
        <v>12</v>
      </c>
      <c r="C285" s="185">
        <f t="shared" si="16"/>
        <v>41274</v>
      </c>
      <c r="D285" s="185" t="s">
        <v>470</v>
      </c>
      <c r="E285" s="185">
        <v>41274</v>
      </c>
      <c r="F285" s="186" t="s">
        <v>520</v>
      </c>
      <c r="G285" s="724"/>
      <c r="H285" s="187" t="s">
        <v>599</v>
      </c>
      <c r="I285" s="243">
        <v>2820</v>
      </c>
      <c r="J285" s="243">
        <v>6068.7235663046495</v>
      </c>
      <c r="K285" s="501">
        <f t="shared" si="14"/>
        <v>17113800</v>
      </c>
      <c r="L285" s="502" t="s">
        <v>352</v>
      </c>
      <c r="M285" s="502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49" t="str">
        <f>IF(OR(TH!L285=TH!$V$7,M285=TH!$V$7),"x","")</f>
        <v/>
      </c>
      <c r="W285" s="49" t="str">
        <f>IF(AND(B285&gt;='IN-NX'!$P$3,B285&lt;='IN-NX'!$Q$3,'IN-NX'!$D$7=D285,OR(LEFT(L285,2)="15",AND(LEFT(M285,2)&lt;&gt;"15",LEFT(M285,2)&lt;&gt;"33"))),"x","")</f>
        <v/>
      </c>
      <c r="X285" s="49" t="str">
        <f>IF(AND(OR(LEFT(TH!L285,2)="15",LEFT(TH!M285,2)="15"),'152-CT'!$J$8=TH!F285),"x","")</f>
        <v/>
      </c>
      <c r="Y285" s="49" t="str">
        <f>IF(AND(OR(LEFT(TH!L285,2)="15",LEFT(TH!M285,2)="15"),TK!$E$7=TH!F285),"x","")</f>
        <v/>
      </c>
      <c r="Z285" s="49" t="str">
        <f>IF(AND(B285&lt;=NKC!$N$8,B285&gt;=NKC!$M$8),"x","")</f>
        <v/>
      </c>
      <c r="AA285" s="715"/>
      <c r="AB285" s="493"/>
    </row>
    <row r="286" spans="1:28" s="199" customFormat="1" ht="15.75" customHeight="1">
      <c r="A286" s="716" t="str">
        <f>IF(B286&lt;&gt;"",IF(AND(B286&gt;=_TM1,B286&lt;=_TM2,OR(TH!L286="1111",TH!M286="1111")),TH!D286,""),"")</f>
        <v/>
      </c>
      <c r="B286" s="36">
        <f t="shared" si="15"/>
        <v>12</v>
      </c>
      <c r="C286" s="185">
        <f t="shared" si="16"/>
        <v>41274</v>
      </c>
      <c r="D286" s="185" t="s">
        <v>470</v>
      </c>
      <c r="E286" s="185">
        <v>41274</v>
      </c>
      <c r="F286" s="186" t="s">
        <v>518</v>
      </c>
      <c r="G286" s="724"/>
      <c r="H286" s="187" t="s">
        <v>599</v>
      </c>
      <c r="I286" s="243">
        <v>4665</v>
      </c>
      <c r="J286" s="243">
        <v>5788.2054663753433</v>
      </c>
      <c r="K286" s="501">
        <f t="shared" si="14"/>
        <v>27001979</v>
      </c>
      <c r="L286" s="502" t="s">
        <v>352</v>
      </c>
      <c r="M286" s="502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49" t="str">
        <f>IF(OR(TH!L286=TH!$V$7,M286=TH!$V$7),"x","")</f>
        <v/>
      </c>
      <c r="W286" s="49" t="str">
        <f>IF(AND(B286&gt;='IN-NX'!$P$3,B286&lt;='IN-NX'!$Q$3,'IN-NX'!$D$7=D286,OR(LEFT(L286,2)="15",AND(LEFT(M286,2)&lt;&gt;"15",LEFT(M286,2)&lt;&gt;"33"))),"x","")</f>
        <v/>
      </c>
      <c r="X286" s="49" t="str">
        <f>IF(AND(OR(LEFT(TH!L286,2)="15",LEFT(TH!M286,2)="15"),'152-CT'!$J$8=TH!F286),"x","")</f>
        <v/>
      </c>
      <c r="Y286" s="49" t="str">
        <f>IF(AND(OR(LEFT(TH!L286,2)="15",LEFT(TH!M286,2)="15"),TK!$E$7=TH!F286),"x","")</f>
        <v/>
      </c>
      <c r="Z286" s="49" t="str">
        <f>IF(AND(B286&lt;=NKC!$N$8,B286&gt;=NKC!$M$8),"x","")</f>
        <v/>
      </c>
      <c r="AA286" s="715"/>
      <c r="AB286" s="493"/>
    </row>
    <row r="287" spans="1:28" s="199" customFormat="1" ht="15.75" customHeight="1">
      <c r="A287" s="716" t="str">
        <f>IF(B287&lt;&gt;"",IF(AND(B287&gt;=_TM1,B287&lt;=_TM2,OR(TH!L287="1111",TH!M287="1111")),TH!D287,""),"")</f>
        <v/>
      </c>
      <c r="B287" s="36">
        <f t="shared" si="15"/>
        <v>12</v>
      </c>
      <c r="C287" s="185">
        <f t="shared" si="16"/>
        <v>41274</v>
      </c>
      <c r="D287" s="185" t="s">
        <v>470</v>
      </c>
      <c r="E287" s="185">
        <v>41274</v>
      </c>
      <c r="F287" s="186" t="s">
        <v>510</v>
      </c>
      <c r="G287" s="724"/>
      <c r="H287" s="187" t="s">
        <v>599</v>
      </c>
      <c r="I287" s="243">
        <v>1147</v>
      </c>
      <c r="J287" s="243">
        <v>6133.7949273018858</v>
      </c>
      <c r="K287" s="501">
        <f t="shared" si="14"/>
        <v>7035463</v>
      </c>
      <c r="L287" s="502" t="s">
        <v>352</v>
      </c>
      <c r="M287" s="502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49" t="str">
        <f>IF(OR(TH!L287=TH!$V$7,M287=TH!$V$7),"x","")</f>
        <v/>
      </c>
      <c r="W287" s="49" t="str">
        <f>IF(AND(B287&gt;='IN-NX'!$P$3,B287&lt;='IN-NX'!$Q$3,'IN-NX'!$D$7=D287,OR(LEFT(L287,2)="15",AND(LEFT(M287,2)&lt;&gt;"15",LEFT(M287,2)&lt;&gt;"33"))),"x","")</f>
        <v/>
      </c>
      <c r="X287" s="49" t="str">
        <f>IF(AND(OR(LEFT(TH!L287,2)="15",LEFT(TH!M287,2)="15"),'152-CT'!$J$8=TH!F287),"x","")</f>
        <v/>
      </c>
      <c r="Y287" s="49" t="str">
        <f>IF(AND(OR(LEFT(TH!L287,2)="15",LEFT(TH!M287,2)="15"),TK!$E$7=TH!F287),"x","")</f>
        <v/>
      </c>
      <c r="Z287" s="49" t="str">
        <f>IF(AND(B287&lt;=NKC!$N$8,B287&gt;=NKC!$M$8),"x","")</f>
        <v/>
      </c>
      <c r="AA287" s="715"/>
      <c r="AB287" s="493"/>
    </row>
    <row r="288" spans="1:28" s="199" customFormat="1" ht="15.75" customHeight="1">
      <c r="A288" s="716" t="str">
        <f>IF(B288&lt;&gt;"",IF(AND(B288&gt;=_TM1,B288&lt;=_TM2,OR(TH!L288="1111",TH!M288="1111")),TH!D288,""),"")</f>
        <v/>
      </c>
      <c r="B288" s="36">
        <f t="shared" si="15"/>
        <v>12</v>
      </c>
      <c r="C288" s="185">
        <f t="shared" si="16"/>
        <v>41274</v>
      </c>
      <c r="D288" s="185" t="s">
        <v>470</v>
      </c>
      <c r="E288" s="185">
        <v>41274</v>
      </c>
      <c r="F288" s="186" t="s">
        <v>515</v>
      </c>
      <c r="G288" s="724"/>
      <c r="H288" s="187" t="s">
        <v>599</v>
      </c>
      <c r="I288" s="243">
        <v>3175</v>
      </c>
      <c r="J288" s="243">
        <v>5749.5987279732699</v>
      </c>
      <c r="K288" s="501">
        <f t="shared" si="14"/>
        <v>18254976</v>
      </c>
      <c r="L288" s="502" t="s">
        <v>352</v>
      </c>
      <c r="M288" s="502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49" t="str">
        <f>IF(OR(TH!L288=TH!$V$7,M288=TH!$V$7),"x","")</f>
        <v/>
      </c>
      <c r="W288" s="49" t="str">
        <f>IF(AND(B288&gt;='IN-NX'!$P$3,B288&lt;='IN-NX'!$Q$3,'IN-NX'!$D$7=D288,OR(LEFT(L288,2)="15",AND(LEFT(M288,2)&lt;&gt;"15",LEFT(M288,2)&lt;&gt;"33"))),"x","")</f>
        <v/>
      </c>
      <c r="X288" s="49" t="str">
        <f>IF(AND(OR(LEFT(TH!L288,2)="15",LEFT(TH!M288,2)="15"),'152-CT'!$J$8=TH!F288),"x","")</f>
        <v/>
      </c>
      <c r="Y288" s="49" t="str">
        <f>IF(AND(OR(LEFT(TH!L288,2)="15",LEFT(TH!M288,2)="15"),TK!$E$7=TH!F288),"x","")</f>
        <v/>
      </c>
      <c r="Z288" s="49" t="str">
        <f>IF(AND(B288&lt;=NKC!$N$8,B288&gt;=NKC!$M$8),"x","")</f>
        <v/>
      </c>
      <c r="AA288" s="715"/>
      <c r="AB288" s="493"/>
    </row>
    <row r="289" spans="1:28" s="199" customFormat="1" ht="15.75" customHeight="1">
      <c r="A289" s="716" t="str">
        <f>IF(B289&lt;&gt;"",IF(AND(B289&gt;=_TM1,B289&lt;=_TM2,OR(TH!L289="1111",TH!M289="1111")),TH!D289,""),"")</f>
        <v/>
      </c>
      <c r="B289" s="36">
        <f t="shared" si="15"/>
        <v>12</v>
      </c>
      <c r="C289" s="185">
        <f t="shared" si="16"/>
        <v>41274</v>
      </c>
      <c r="D289" s="185" t="s">
        <v>470</v>
      </c>
      <c r="E289" s="185">
        <v>41274</v>
      </c>
      <c r="F289" s="186" t="s">
        <v>528</v>
      </c>
      <c r="G289" s="724"/>
      <c r="H289" s="187" t="s">
        <v>599</v>
      </c>
      <c r="I289" s="243">
        <v>1000</v>
      </c>
      <c r="J289" s="243">
        <v>6701.9788854535855</v>
      </c>
      <c r="K289" s="501">
        <f t="shared" si="14"/>
        <v>6701979</v>
      </c>
      <c r="L289" s="502" t="s">
        <v>352</v>
      </c>
      <c r="M289" s="502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49" t="str">
        <f>IF(OR(TH!L289=TH!$V$7,M289=TH!$V$7),"x","")</f>
        <v/>
      </c>
      <c r="W289" s="49" t="str">
        <f>IF(AND(B289&gt;='IN-NX'!$P$3,B289&lt;='IN-NX'!$Q$3,'IN-NX'!$D$7=D289,OR(LEFT(L289,2)="15",AND(LEFT(M289,2)&lt;&gt;"15",LEFT(M289,2)&lt;&gt;"33"))),"x","")</f>
        <v/>
      </c>
      <c r="X289" s="49" t="str">
        <f>IF(AND(OR(LEFT(TH!L289,2)="15",LEFT(TH!M289,2)="15"),'152-CT'!$J$8=TH!F289),"x","")</f>
        <v/>
      </c>
      <c r="Y289" s="49" t="str">
        <f>IF(AND(OR(LEFT(TH!L289,2)="15",LEFT(TH!M289,2)="15"),TK!$E$7=TH!F289),"x","")</f>
        <v/>
      </c>
      <c r="Z289" s="49" t="str">
        <f>IF(AND(B289&lt;=NKC!$N$8,B289&gt;=NKC!$M$8),"x","")</f>
        <v/>
      </c>
      <c r="AA289" s="715"/>
      <c r="AB289" s="493"/>
    </row>
    <row r="290" spans="1:28" s="199" customFormat="1" ht="15.75" customHeight="1">
      <c r="A290" s="716" t="str">
        <f>IF(B290&lt;&gt;"",IF(AND(B290&gt;=_TM1,B290&lt;=_TM2,OR(TH!L290="1111",TH!M290="1111")),TH!D290,""),"")</f>
        <v/>
      </c>
      <c r="B290" s="36">
        <f t="shared" si="15"/>
        <v>12</v>
      </c>
      <c r="C290" s="185">
        <f t="shared" si="16"/>
        <v>41274</v>
      </c>
      <c r="D290" s="185" t="s">
        <v>470</v>
      </c>
      <c r="E290" s="185">
        <v>41274</v>
      </c>
      <c r="F290" s="186" t="s">
        <v>526</v>
      </c>
      <c r="G290" s="724"/>
      <c r="H290" s="187" t="s">
        <v>599</v>
      </c>
      <c r="I290" s="243">
        <v>1000</v>
      </c>
      <c r="J290" s="243">
        <v>12923.978885453585</v>
      </c>
      <c r="K290" s="501">
        <f t="shared" si="14"/>
        <v>12923979</v>
      </c>
      <c r="L290" s="502" t="s">
        <v>352</v>
      </c>
      <c r="M290" s="502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49" t="str">
        <f>IF(OR(TH!L290=TH!$V$7,M290=TH!$V$7),"x","")</f>
        <v/>
      </c>
      <c r="W290" s="49" t="str">
        <f>IF(AND(B290&gt;='IN-NX'!$P$3,B290&lt;='IN-NX'!$Q$3,'IN-NX'!$D$7=D290,OR(LEFT(L290,2)="15",AND(LEFT(M290,2)&lt;&gt;"15",LEFT(M290,2)&lt;&gt;"33"))),"x","")</f>
        <v/>
      </c>
      <c r="X290" s="49" t="str">
        <f>IF(AND(OR(LEFT(TH!L290,2)="15",LEFT(TH!M290,2)="15"),'152-CT'!$J$8=TH!F290),"x","")</f>
        <v/>
      </c>
      <c r="Y290" s="49" t="str">
        <f>IF(AND(OR(LEFT(TH!L290,2)="15",LEFT(TH!M290,2)="15"),TK!$E$7=TH!F290),"x","")</f>
        <v/>
      </c>
      <c r="Z290" s="49" t="str">
        <f>IF(AND(B290&lt;=NKC!$N$8,B290&gt;=NKC!$M$8),"x","")</f>
        <v/>
      </c>
      <c r="AA290" s="715"/>
      <c r="AB290" s="493"/>
    </row>
    <row r="291" spans="1:28" s="199" customFormat="1" ht="15.75" customHeight="1">
      <c r="A291" s="716" t="str">
        <f>IF(B291&lt;&gt;"",IF(AND(B291&gt;=_TM1,B291&lt;=_TM2,OR(TH!L291="1111",TH!M291="1111")),TH!D291,""),"")</f>
        <v/>
      </c>
      <c r="B291" s="36">
        <f t="shared" si="15"/>
        <v>12</v>
      </c>
      <c r="C291" s="185">
        <f t="shared" si="16"/>
        <v>41274</v>
      </c>
      <c r="D291" s="185" t="s">
        <v>470</v>
      </c>
      <c r="E291" s="185">
        <v>41274</v>
      </c>
      <c r="F291" s="186" t="s">
        <v>546</v>
      </c>
      <c r="G291" s="724"/>
      <c r="H291" s="187" t="s">
        <v>599</v>
      </c>
      <c r="I291" s="243">
        <v>1000</v>
      </c>
      <c r="J291" s="243">
        <v>6220.3508854535858</v>
      </c>
      <c r="K291" s="501">
        <f t="shared" si="14"/>
        <v>6220351</v>
      </c>
      <c r="L291" s="502" t="s">
        <v>352</v>
      </c>
      <c r="M291" s="502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49" t="str">
        <f>IF(OR(TH!L291=TH!$V$7,M291=TH!$V$7),"x","")</f>
        <v/>
      </c>
      <c r="W291" s="49" t="str">
        <f>IF(AND(B291&gt;='IN-NX'!$P$3,B291&lt;='IN-NX'!$Q$3,'IN-NX'!$D$7=D291,OR(LEFT(L291,2)="15",AND(LEFT(M291,2)&lt;&gt;"15",LEFT(M291,2)&lt;&gt;"33"))),"x","")</f>
        <v/>
      </c>
      <c r="X291" s="49" t="str">
        <f>IF(AND(OR(LEFT(TH!L291,2)="15",LEFT(TH!M291,2)="15"),'152-CT'!$J$8=TH!F291),"x","")</f>
        <v/>
      </c>
      <c r="Y291" s="49" t="str">
        <f>IF(AND(OR(LEFT(TH!L291,2)="15",LEFT(TH!M291,2)="15"),TK!$E$7=TH!F291),"x","")</f>
        <v/>
      </c>
      <c r="Z291" s="49" t="str">
        <f>IF(AND(B291&lt;=NKC!$N$8,B291&gt;=NKC!$M$8),"x","")</f>
        <v/>
      </c>
      <c r="AA291" s="715"/>
      <c r="AB291" s="493"/>
    </row>
    <row r="292" spans="1:28" s="199" customFormat="1" ht="15.75" customHeight="1">
      <c r="A292" s="716" t="str">
        <f>IF(B292&lt;&gt;"",IF(AND(B292&gt;=_TM1,B292&lt;=_TM2,OR(TH!L292="1111",TH!M292="1111")),TH!D292,""),"")</f>
        <v/>
      </c>
      <c r="B292" s="36">
        <f t="shared" si="15"/>
        <v>12</v>
      </c>
      <c r="C292" s="185">
        <f t="shared" si="16"/>
        <v>41274</v>
      </c>
      <c r="D292" s="185" t="s">
        <v>470</v>
      </c>
      <c r="E292" s="185">
        <v>41274</v>
      </c>
      <c r="F292" s="186" t="s">
        <v>543</v>
      </c>
      <c r="G292" s="724"/>
      <c r="H292" s="187" t="s">
        <v>599</v>
      </c>
      <c r="I292" s="243">
        <v>300</v>
      </c>
      <c r="J292" s="243">
        <v>5719.9788854535855</v>
      </c>
      <c r="K292" s="501">
        <f t="shared" si="14"/>
        <v>1715994</v>
      </c>
      <c r="L292" s="502" t="s">
        <v>352</v>
      </c>
      <c r="M292" s="502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49" t="str">
        <f>IF(OR(TH!L292=TH!$V$7,M292=TH!$V$7),"x","")</f>
        <v/>
      </c>
      <c r="W292" s="49" t="str">
        <f>IF(AND(B292&gt;='IN-NX'!$P$3,B292&lt;='IN-NX'!$Q$3,'IN-NX'!$D$7=D292,OR(LEFT(L292,2)="15",AND(LEFT(M292,2)&lt;&gt;"15",LEFT(M292,2)&lt;&gt;"33"))),"x","")</f>
        <v/>
      </c>
      <c r="X292" s="49" t="str">
        <f>IF(AND(OR(LEFT(TH!L292,2)="15",LEFT(TH!M292,2)="15"),'152-CT'!$J$8=TH!F292),"x","")</f>
        <v/>
      </c>
      <c r="Y292" s="49" t="str">
        <f>IF(AND(OR(LEFT(TH!L292,2)="15",LEFT(TH!M292,2)="15"),TK!$E$7=TH!F292),"x","")</f>
        <v/>
      </c>
      <c r="Z292" s="49" t="str">
        <f>IF(AND(B292&lt;=NKC!$N$8,B292&gt;=NKC!$M$8),"x","")</f>
        <v/>
      </c>
      <c r="AA292" s="715"/>
      <c r="AB292" s="493"/>
    </row>
    <row r="293" spans="1:28" s="199" customFormat="1" ht="15.75" customHeight="1">
      <c r="A293" s="716" t="str">
        <f>IF(B293&lt;&gt;"",IF(AND(B293&gt;=_TM1,B293&lt;=_TM2,OR(TH!L293="1111",TH!M293="1111")),TH!D293,""),"")</f>
        <v/>
      </c>
      <c r="B293" s="36">
        <f t="shared" si="15"/>
        <v>12</v>
      </c>
      <c r="C293" s="185">
        <f t="shared" si="16"/>
        <v>41274</v>
      </c>
      <c r="D293" s="185" t="s">
        <v>470</v>
      </c>
      <c r="E293" s="185">
        <v>41274</v>
      </c>
      <c r="F293" s="186" t="s">
        <v>530</v>
      </c>
      <c r="G293" s="724"/>
      <c r="H293" s="187" t="s">
        <v>599</v>
      </c>
      <c r="I293" s="243">
        <v>550</v>
      </c>
      <c r="J293" s="243">
        <v>4882.9788854535864</v>
      </c>
      <c r="K293" s="501">
        <f t="shared" si="14"/>
        <v>2685638</v>
      </c>
      <c r="L293" s="502" t="s">
        <v>352</v>
      </c>
      <c r="M293" s="502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49" t="str">
        <f>IF(OR(TH!L293=TH!$V$7,M293=TH!$V$7),"x","")</f>
        <v/>
      </c>
      <c r="W293" s="49" t="str">
        <f>IF(AND(B293&gt;='IN-NX'!$P$3,B293&lt;='IN-NX'!$Q$3,'IN-NX'!$D$7=D293,OR(LEFT(L293,2)="15",AND(LEFT(M293,2)&lt;&gt;"15",LEFT(M293,2)&lt;&gt;"33"))),"x","")</f>
        <v/>
      </c>
      <c r="X293" s="49" t="str">
        <f>IF(AND(OR(LEFT(TH!L293,2)="15",LEFT(TH!M293,2)="15"),'152-CT'!$J$8=TH!F293),"x","")</f>
        <v/>
      </c>
      <c r="Y293" s="49" t="str">
        <f>IF(AND(OR(LEFT(TH!L293,2)="15",LEFT(TH!M293,2)="15"),TK!$E$7=TH!F293),"x","")</f>
        <v/>
      </c>
      <c r="Z293" s="49" t="str">
        <f>IF(AND(B293&lt;=NKC!$N$8,B293&gt;=NKC!$M$8),"x","")</f>
        <v/>
      </c>
      <c r="AA293" s="715"/>
      <c r="AB293" s="493"/>
    </row>
    <row r="294" spans="1:28" s="199" customFormat="1" ht="15.75" customHeight="1">
      <c r="A294" s="716" t="str">
        <f>IF(B294&lt;&gt;"",IF(AND(B294&gt;=_TM1,B294&lt;=_TM2,OR(TH!L294="1111",TH!M294="1111")),TH!D294,""),"")</f>
        <v/>
      </c>
      <c r="B294" s="36">
        <f t="shared" si="15"/>
        <v>12</v>
      </c>
      <c r="C294" s="185">
        <f t="shared" si="16"/>
        <v>41274</v>
      </c>
      <c r="D294" s="185" t="s">
        <v>470</v>
      </c>
      <c r="E294" s="185">
        <v>41274</v>
      </c>
      <c r="F294" s="186" t="s">
        <v>505</v>
      </c>
      <c r="G294" s="724"/>
      <c r="H294" s="187" t="s">
        <v>599</v>
      </c>
      <c r="I294" s="243">
        <v>2250</v>
      </c>
      <c r="J294" s="243">
        <v>4882.9788854535855</v>
      </c>
      <c r="K294" s="501">
        <f t="shared" si="14"/>
        <v>10986702</v>
      </c>
      <c r="L294" s="502" t="s">
        <v>352</v>
      </c>
      <c r="M294" s="502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49" t="str">
        <f>IF(OR(TH!L294=TH!$V$7,M294=TH!$V$7),"x","")</f>
        <v/>
      </c>
      <c r="W294" s="49" t="str">
        <f>IF(AND(B294&gt;='IN-NX'!$P$3,B294&lt;='IN-NX'!$Q$3,'IN-NX'!$D$7=D294,OR(LEFT(L294,2)="15",AND(LEFT(M294,2)&lt;&gt;"15",LEFT(M294,2)&lt;&gt;"33"))),"x","")</f>
        <v/>
      </c>
      <c r="X294" s="49" t="str">
        <f>IF(AND(OR(LEFT(TH!L294,2)="15",LEFT(TH!M294,2)="15"),'152-CT'!$J$8=TH!F294),"x","")</f>
        <v/>
      </c>
      <c r="Y294" s="49" t="str">
        <f>IF(AND(OR(LEFT(TH!L294,2)="15",LEFT(TH!M294,2)="15"),TK!$E$7=TH!F294),"x","")</f>
        <v/>
      </c>
      <c r="Z294" s="49" t="str">
        <f>IF(AND(B294&lt;=NKC!$N$8,B294&gt;=NKC!$M$8),"x","")</f>
        <v/>
      </c>
      <c r="AA294" s="715"/>
      <c r="AB294" s="493"/>
    </row>
    <row r="295" spans="1:28" s="199" customFormat="1" ht="15.75" customHeight="1">
      <c r="A295" s="716" t="str">
        <f>IF(B295&lt;&gt;"",IF(AND(B295&gt;=_TM1,B295&lt;=_TM2,OR(TH!L295="1111",TH!M295="1111")),TH!D295,""),"")</f>
        <v/>
      </c>
      <c r="B295" s="36">
        <f t="shared" si="15"/>
        <v>12</v>
      </c>
      <c r="C295" s="185">
        <f t="shared" si="16"/>
        <v>41274</v>
      </c>
      <c r="D295" s="185" t="s">
        <v>470</v>
      </c>
      <c r="E295" s="185">
        <v>41274</v>
      </c>
      <c r="F295" s="186" t="s">
        <v>545</v>
      </c>
      <c r="G295" s="724"/>
      <c r="H295" s="187" t="s">
        <v>599</v>
      </c>
      <c r="I295" s="243">
        <v>500</v>
      </c>
      <c r="J295" s="243">
        <v>4882.9788854535855</v>
      </c>
      <c r="K295" s="501">
        <f t="shared" si="14"/>
        <v>2441489</v>
      </c>
      <c r="L295" s="502" t="s">
        <v>352</v>
      </c>
      <c r="M295" s="502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49" t="str">
        <f>IF(OR(TH!L295=TH!$V$7,M295=TH!$V$7),"x","")</f>
        <v/>
      </c>
      <c r="W295" s="49" t="str">
        <f>IF(AND(B295&gt;='IN-NX'!$P$3,B295&lt;='IN-NX'!$Q$3,'IN-NX'!$D$7=D295,OR(LEFT(L295,2)="15",AND(LEFT(M295,2)&lt;&gt;"15",LEFT(M295,2)&lt;&gt;"33"))),"x","")</f>
        <v/>
      </c>
      <c r="X295" s="49" t="str">
        <f>IF(AND(OR(LEFT(TH!L295,2)="15",LEFT(TH!M295,2)="15"),'152-CT'!$J$8=TH!F295),"x","")</f>
        <v/>
      </c>
      <c r="Y295" s="49" t="str">
        <f>IF(AND(OR(LEFT(TH!L295,2)="15",LEFT(TH!M295,2)="15"),TK!$E$7=TH!F295),"x","")</f>
        <v/>
      </c>
      <c r="Z295" s="49" t="str">
        <f>IF(AND(B295&lt;=NKC!$N$8,B295&gt;=NKC!$M$8),"x","")</f>
        <v/>
      </c>
      <c r="AA295" s="715"/>
      <c r="AB295" s="493"/>
    </row>
    <row r="296" spans="1:28" s="199" customFormat="1" ht="15.75" customHeight="1">
      <c r="A296" s="716" t="str">
        <f>IF(B296&lt;&gt;"",IF(AND(B296&gt;=_TM1,B296&lt;=_TM2,OR(TH!L296="1111",TH!M296="1111")),TH!D296,""),"")</f>
        <v/>
      </c>
      <c r="B296" s="36">
        <f t="shared" si="15"/>
        <v>12</v>
      </c>
      <c r="C296" s="185">
        <f t="shared" si="16"/>
        <v>41274</v>
      </c>
      <c r="D296" s="185" t="s">
        <v>470</v>
      </c>
      <c r="E296" s="185">
        <v>41274</v>
      </c>
      <c r="F296" s="186" t="s">
        <v>521</v>
      </c>
      <c r="G296" s="724"/>
      <c r="H296" s="187" t="s">
        <v>599</v>
      </c>
      <c r="I296" s="243">
        <v>2000</v>
      </c>
      <c r="J296" s="243">
        <v>6415.9788854535855</v>
      </c>
      <c r="K296" s="501">
        <f t="shared" si="14"/>
        <v>12831958</v>
      </c>
      <c r="L296" s="502" t="s">
        <v>352</v>
      </c>
      <c r="M296" s="502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49" t="str">
        <f>IF(OR(TH!L296=TH!$V$7,M296=TH!$V$7),"x","")</f>
        <v/>
      </c>
      <c r="W296" s="49" t="str">
        <f>IF(AND(B296&gt;='IN-NX'!$P$3,B296&lt;='IN-NX'!$Q$3,'IN-NX'!$D$7=D296,OR(LEFT(L296,2)="15",AND(LEFT(M296,2)&lt;&gt;"15",LEFT(M296,2)&lt;&gt;"33"))),"x","")</f>
        <v/>
      </c>
      <c r="X296" s="49" t="str">
        <f>IF(AND(OR(LEFT(TH!L296,2)="15",LEFT(TH!M296,2)="15"),'152-CT'!$J$8=TH!F296),"x","")</f>
        <v/>
      </c>
      <c r="Y296" s="49" t="str">
        <f>IF(AND(OR(LEFT(TH!L296,2)="15",LEFT(TH!M296,2)="15"),TK!$E$7=TH!F296),"x","")</f>
        <v/>
      </c>
      <c r="Z296" s="49" t="str">
        <f>IF(AND(B296&lt;=NKC!$N$8,B296&gt;=NKC!$M$8),"x","")</f>
        <v/>
      </c>
      <c r="AA296" s="715"/>
      <c r="AB296" s="493"/>
    </row>
    <row r="297" spans="1:28" s="199" customFormat="1" ht="15.75" customHeight="1">
      <c r="A297" s="716" t="str">
        <f>IF(B297&lt;&gt;"",IF(AND(B297&gt;=_TM1,B297&lt;=_TM2,OR(TH!L297="1111",TH!M297="1111")),TH!D297,""),"")</f>
        <v/>
      </c>
      <c r="B297" s="36">
        <f t="shared" si="15"/>
        <v>12</v>
      </c>
      <c r="C297" s="185">
        <f t="shared" si="16"/>
        <v>41274</v>
      </c>
      <c r="D297" s="185" t="s">
        <v>470</v>
      </c>
      <c r="E297" s="185">
        <v>41274</v>
      </c>
      <c r="F297" s="186" t="s">
        <v>544</v>
      </c>
      <c r="G297" s="724"/>
      <c r="H297" s="187" t="s">
        <v>599</v>
      </c>
      <c r="I297" s="243">
        <v>350</v>
      </c>
      <c r="J297" s="243">
        <v>5877.9788854535855</v>
      </c>
      <c r="K297" s="501">
        <f t="shared" si="14"/>
        <v>2057293</v>
      </c>
      <c r="L297" s="502" t="s">
        <v>352</v>
      </c>
      <c r="M297" s="502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49" t="str">
        <f>IF(OR(TH!L297=TH!$V$7,M297=TH!$V$7),"x","")</f>
        <v/>
      </c>
      <c r="W297" s="49" t="str">
        <f>IF(AND(B297&gt;='IN-NX'!$P$3,B297&lt;='IN-NX'!$Q$3,'IN-NX'!$D$7=D297,OR(LEFT(L297,2)="15",AND(LEFT(M297,2)&lt;&gt;"15",LEFT(M297,2)&lt;&gt;"33"))),"x","")</f>
        <v/>
      </c>
      <c r="X297" s="49" t="str">
        <f>IF(AND(OR(LEFT(TH!L297,2)="15",LEFT(TH!M297,2)="15"),'152-CT'!$J$8=TH!F297),"x","")</f>
        <v/>
      </c>
      <c r="Y297" s="49" t="str">
        <f>IF(AND(OR(LEFT(TH!L297,2)="15",LEFT(TH!M297,2)="15"),TK!$E$7=TH!F297),"x","")</f>
        <v/>
      </c>
      <c r="Z297" s="49" t="str">
        <f>IF(AND(B297&lt;=NKC!$N$8,B297&gt;=NKC!$M$8),"x","")</f>
        <v/>
      </c>
      <c r="AA297" s="715"/>
      <c r="AB297" s="493"/>
    </row>
    <row r="298" spans="1:28" s="199" customFormat="1" ht="15.75" customHeight="1">
      <c r="A298" s="716" t="str">
        <f>IF(B298&lt;&gt;"",IF(AND(B298&gt;=_TM1,B298&lt;=_TM2,OR(TH!L298="1111",TH!M298="1111")),TH!D298,""),"")</f>
        <v/>
      </c>
      <c r="B298" s="36">
        <f t="shared" si="15"/>
        <v>12</v>
      </c>
      <c r="C298" s="185">
        <f t="shared" si="16"/>
        <v>41274</v>
      </c>
      <c r="D298" s="185" t="s">
        <v>470</v>
      </c>
      <c r="E298" s="185">
        <v>41274</v>
      </c>
      <c r="F298" s="186" t="s">
        <v>554</v>
      </c>
      <c r="G298" s="724"/>
      <c r="H298" s="187" t="s">
        <v>599</v>
      </c>
      <c r="I298" s="243">
        <v>260</v>
      </c>
      <c r="J298" s="243">
        <v>19714.978885453587</v>
      </c>
      <c r="K298" s="501">
        <f t="shared" si="14"/>
        <v>5125895</v>
      </c>
      <c r="L298" s="502" t="s">
        <v>352</v>
      </c>
      <c r="M298" s="502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49" t="str">
        <f>IF(OR(TH!L298=TH!$V$7,M298=TH!$V$7),"x","")</f>
        <v/>
      </c>
      <c r="W298" s="49" t="str">
        <f>IF(AND(B298&gt;='IN-NX'!$P$3,B298&lt;='IN-NX'!$Q$3,'IN-NX'!$D$7=D298,OR(LEFT(L298,2)="15",AND(LEFT(M298,2)&lt;&gt;"15",LEFT(M298,2)&lt;&gt;"33"))),"x","")</f>
        <v/>
      </c>
      <c r="X298" s="49" t="str">
        <f>IF(AND(OR(LEFT(TH!L298,2)="15",LEFT(TH!M298,2)="15"),'152-CT'!$J$8=TH!F298),"x","")</f>
        <v/>
      </c>
      <c r="Y298" s="49" t="str">
        <f>IF(AND(OR(LEFT(TH!L298,2)="15",LEFT(TH!M298,2)="15"),TK!$E$7=TH!F298),"x","")</f>
        <v/>
      </c>
      <c r="Z298" s="49" t="str">
        <f>IF(AND(B298&lt;=NKC!$N$8,B298&gt;=NKC!$M$8),"x","")</f>
        <v/>
      </c>
      <c r="AA298" s="715"/>
      <c r="AB298" s="493"/>
    </row>
    <row r="299" spans="1:28" s="199" customFormat="1" ht="15.75" customHeight="1">
      <c r="A299" s="716" t="str">
        <f>IF(B299&lt;&gt;"",IF(AND(B299&gt;=_TM1,B299&lt;=_TM2,OR(TH!L299="1111",TH!M299="1111")),TH!D299,""),"")</f>
        <v/>
      </c>
      <c r="B299" s="36">
        <f t="shared" si="15"/>
        <v>12</v>
      </c>
      <c r="C299" s="185">
        <f t="shared" si="16"/>
        <v>41274</v>
      </c>
      <c r="D299" s="185" t="s">
        <v>470</v>
      </c>
      <c r="E299" s="185">
        <v>41274</v>
      </c>
      <c r="F299" s="186" t="s">
        <v>533</v>
      </c>
      <c r="G299" s="724"/>
      <c r="H299" s="187" t="s">
        <v>599</v>
      </c>
      <c r="I299" s="243">
        <v>500</v>
      </c>
      <c r="J299" s="243">
        <v>10890.978885453585</v>
      </c>
      <c r="K299" s="501">
        <f t="shared" si="14"/>
        <v>5445489</v>
      </c>
      <c r="L299" s="502" t="s">
        <v>352</v>
      </c>
      <c r="M299" s="502" t="s">
        <v>160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49" t="str">
        <f>IF(OR(TH!L299=TH!$V$7,M299=TH!$V$7),"x","")</f>
        <v/>
      </c>
      <c r="W299" s="49" t="str">
        <f>IF(AND(B299&gt;='IN-NX'!$P$3,B299&lt;='IN-NX'!$Q$3,'IN-NX'!$D$7=D299,OR(LEFT(L299,2)="15",AND(LEFT(M299,2)&lt;&gt;"15",LEFT(M299,2)&lt;&gt;"33"))),"x","")</f>
        <v/>
      </c>
      <c r="X299" s="49" t="str">
        <f>IF(AND(OR(LEFT(TH!L299,2)="15",LEFT(TH!M299,2)="15"),'152-CT'!$J$8=TH!F299),"x","")</f>
        <v/>
      </c>
      <c r="Y299" s="49" t="str">
        <f>IF(AND(OR(LEFT(TH!L299,2)="15",LEFT(TH!M299,2)="15"),TK!$E$7=TH!F299),"x","")</f>
        <v/>
      </c>
      <c r="Z299" s="49" t="str">
        <f>IF(AND(B299&lt;=NKC!$N$8,B299&gt;=NKC!$M$8),"x","")</f>
        <v/>
      </c>
      <c r="AA299" s="715"/>
      <c r="AB299" s="493"/>
    </row>
    <row r="300" spans="1:28" s="199" customFormat="1" ht="15.75" customHeight="1">
      <c r="A300" s="716" t="str">
        <f>IF(B300&lt;&gt;"",IF(AND(B300&gt;=_TM1,B300&lt;=_TM2,OR(TH!L300="1111",TH!M300="1111")),TH!D300,""),"")</f>
        <v/>
      </c>
      <c r="B300" s="36">
        <f t="shared" si="15"/>
        <v>12</v>
      </c>
      <c r="C300" s="185">
        <f t="shared" si="16"/>
        <v>41274</v>
      </c>
      <c r="D300" s="185" t="s">
        <v>602</v>
      </c>
      <c r="E300" s="185">
        <v>41274</v>
      </c>
      <c r="F300" s="186" t="s">
        <v>508</v>
      </c>
      <c r="G300" s="724"/>
      <c r="H300" s="187" t="s">
        <v>601</v>
      </c>
      <c r="I300" s="243">
        <v>22750</v>
      </c>
      <c r="J300" s="243">
        <v>1016.1613030360031</v>
      </c>
      <c r="K300" s="501">
        <f t="shared" si="14"/>
        <v>23117670</v>
      </c>
      <c r="L300" s="502" t="s">
        <v>162</v>
      </c>
      <c r="M300" s="502" t="s">
        <v>352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>632</v>
      </c>
      <c r="V300" s="49" t="str">
        <f>IF(OR(TH!L300=TH!$V$7,M300=TH!$V$7),"x","")</f>
        <v/>
      </c>
      <c r="W300" s="49" t="str">
        <f>IF(AND(B300&gt;='IN-NX'!$P$3,B300&lt;='IN-NX'!$Q$3,'IN-NX'!$D$7=D300,OR(LEFT(L300,2)="15",AND(LEFT(M300,2)&lt;&gt;"15",LEFT(M300,2)&lt;&gt;"33"))),"x","")</f>
        <v/>
      </c>
      <c r="X300" s="49" t="str">
        <f>IF(AND(OR(LEFT(TH!L300,2)="15",LEFT(TH!M300,2)="15"),'152-CT'!$J$8=TH!F300),"x","")</f>
        <v/>
      </c>
      <c r="Y300" s="49" t="str">
        <f>IF(AND(OR(LEFT(TH!L300,2)="15",LEFT(TH!M300,2)="15"),TK!$E$7=TH!F300),"x","")</f>
        <v/>
      </c>
      <c r="Z300" s="49" t="str">
        <f>IF(AND(B300&lt;=NKC!$N$8,B300&gt;=NKC!$M$8),"x","")</f>
        <v/>
      </c>
      <c r="AA300" s="715"/>
      <c r="AB300" s="493"/>
    </row>
    <row r="301" spans="1:28" s="199" customFormat="1" ht="15.75" customHeight="1">
      <c r="A301" s="716" t="str">
        <f>IF(B301&lt;&gt;"",IF(AND(B301&gt;=_TM1,B301&lt;=_TM2,OR(TH!L301="1111",TH!M301="1111")),TH!D301,""),"")</f>
        <v/>
      </c>
      <c r="B301" s="36">
        <f t="shared" si="15"/>
        <v>12</v>
      </c>
      <c r="C301" s="185">
        <f t="shared" si="16"/>
        <v>41274</v>
      </c>
      <c r="D301" s="185" t="s">
        <v>602</v>
      </c>
      <c r="E301" s="185">
        <v>41274</v>
      </c>
      <c r="F301" s="186" t="s">
        <v>557</v>
      </c>
      <c r="G301" s="724"/>
      <c r="H301" s="187" t="s">
        <v>601</v>
      </c>
      <c r="I301" s="243">
        <v>60</v>
      </c>
      <c r="J301" s="243">
        <v>19714.978885453584</v>
      </c>
      <c r="K301" s="501">
        <f t="shared" si="14"/>
        <v>1182899</v>
      </c>
      <c r="L301" s="502" t="s">
        <v>162</v>
      </c>
      <c r="M301" s="502" t="s">
        <v>352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>632</v>
      </c>
      <c r="V301" s="49" t="str">
        <f>IF(OR(TH!L301=TH!$V$7,M301=TH!$V$7),"x","")</f>
        <v/>
      </c>
      <c r="W301" s="49" t="str">
        <f>IF(AND(B301&gt;='IN-NX'!$P$3,B301&lt;='IN-NX'!$Q$3,'IN-NX'!$D$7=D301,OR(LEFT(L301,2)="15",AND(LEFT(M301,2)&lt;&gt;"15",LEFT(M301,2)&lt;&gt;"33"))),"x","")</f>
        <v/>
      </c>
      <c r="X301" s="49" t="str">
        <f>IF(AND(OR(LEFT(TH!L301,2)="15",LEFT(TH!M301,2)="15"),'152-CT'!$J$8=TH!F301),"x","")</f>
        <v>x</v>
      </c>
      <c r="Y301" s="49" t="str">
        <f>IF(AND(OR(LEFT(TH!L301,2)="15",LEFT(TH!M301,2)="15"),TK!$E$7=TH!F301),"x","")</f>
        <v/>
      </c>
      <c r="Z301" s="49" t="str">
        <f>IF(AND(B301&lt;=NKC!$N$8,B301&gt;=NKC!$M$8),"x","")</f>
        <v/>
      </c>
      <c r="AA301" s="715"/>
      <c r="AB301" s="493"/>
    </row>
    <row r="302" spans="1:28" s="199" customFormat="1" ht="15.75" customHeight="1">
      <c r="A302" s="716" t="str">
        <f>IF(B302&lt;&gt;"",IF(AND(B302&gt;=_TM1,B302&lt;=_TM2,OR(TH!L302="1111",TH!M302="1111")),TH!D302,""),"")</f>
        <v/>
      </c>
      <c r="B302" s="36">
        <f t="shared" si="15"/>
        <v>12</v>
      </c>
      <c r="C302" s="185">
        <f t="shared" si="16"/>
        <v>41274</v>
      </c>
      <c r="D302" s="185" t="s">
        <v>602</v>
      </c>
      <c r="E302" s="185">
        <v>41274</v>
      </c>
      <c r="F302" s="186" t="s">
        <v>516</v>
      </c>
      <c r="G302" s="724"/>
      <c r="H302" s="187" t="s">
        <v>601</v>
      </c>
      <c r="I302" s="243">
        <v>3303</v>
      </c>
      <c r="J302" s="243">
        <v>4854.9788854535855</v>
      </c>
      <c r="K302" s="501">
        <f t="shared" si="14"/>
        <v>16035995</v>
      </c>
      <c r="L302" s="502" t="s">
        <v>162</v>
      </c>
      <c r="M302" s="502" t="s">
        <v>352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>632</v>
      </c>
      <c r="V302" s="49" t="str">
        <f>IF(OR(TH!L302=TH!$V$7,M302=TH!$V$7),"x","")</f>
        <v/>
      </c>
      <c r="W302" s="49" t="str">
        <f>IF(AND(B302&gt;='IN-NX'!$P$3,B302&lt;='IN-NX'!$Q$3,'IN-NX'!$D$7=D302,OR(LEFT(L302,2)="15",AND(LEFT(M302,2)&lt;&gt;"15",LEFT(M302,2)&lt;&gt;"33"))),"x","")</f>
        <v/>
      </c>
      <c r="X302" s="49" t="str">
        <f>IF(AND(OR(LEFT(TH!L302,2)="15",LEFT(TH!M302,2)="15"),'152-CT'!$J$8=TH!F302),"x","")</f>
        <v/>
      </c>
      <c r="Y302" s="49" t="str">
        <f>IF(AND(OR(LEFT(TH!L302,2)="15",LEFT(TH!M302,2)="15"),TK!$E$7=TH!F302),"x","")</f>
        <v/>
      </c>
      <c r="Z302" s="49" t="str">
        <f>IF(AND(B302&lt;=NKC!$N$8,B302&gt;=NKC!$M$8),"x","")</f>
        <v/>
      </c>
      <c r="AA302" s="715"/>
      <c r="AB302" s="493"/>
    </row>
    <row r="303" spans="1:28" s="199" customFormat="1" ht="15.75" customHeight="1">
      <c r="A303" s="716" t="str">
        <f>IF(B303&lt;&gt;"",IF(AND(B303&gt;=_TM1,B303&lt;=_TM2,OR(TH!L303="1111",TH!M303="1111")),TH!D303,""),"")</f>
        <v/>
      </c>
      <c r="B303" s="36">
        <f t="shared" si="15"/>
        <v>12</v>
      </c>
      <c r="C303" s="185">
        <f t="shared" si="16"/>
        <v>41274</v>
      </c>
      <c r="D303" s="185" t="s">
        <v>602</v>
      </c>
      <c r="E303" s="185">
        <v>41274</v>
      </c>
      <c r="F303" s="186" t="s">
        <v>540</v>
      </c>
      <c r="G303" s="724"/>
      <c r="H303" s="187" t="s">
        <v>601</v>
      </c>
      <c r="I303" s="243">
        <v>800</v>
      </c>
      <c r="J303" s="243">
        <v>6370.9788854535864</v>
      </c>
      <c r="K303" s="501">
        <f t="shared" si="14"/>
        <v>5096783</v>
      </c>
      <c r="L303" s="502" t="s">
        <v>162</v>
      </c>
      <c r="M303" s="502" t="s">
        <v>352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>632</v>
      </c>
      <c r="V303" s="49" t="str">
        <f>IF(OR(TH!L303=TH!$V$7,M303=TH!$V$7),"x","")</f>
        <v/>
      </c>
      <c r="W303" s="49" t="str">
        <f>IF(AND(B303&gt;='IN-NX'!$P$3,B303&lt;='IN-NX'!$Q$3,'IN-NX'!$D$7=D303,OR(LEFT(L303,2)="15",AND(LEFT(M303,2)&lt;&gt;"15",LEFT(M303,2)&lt;&gt;"33"))),"x","")</f>
        <v/>
      </c>
      <c r="X303" s="49" t="str">
        <f>IF(AND(OR(LEFT(TH!L303,2)="15",LEFT(TH!M303,2)="15"),'152-CT'!$J$8=TH!F303),"x","")</f>
        <v/>
      </c>
      <c r="Y303" s="49" t="str">
        <f>IF(AND(OR(LEFT(TH!L303,2)="15",LEFT(TH!M303,2)="15"),TK!$E$7=TH!F303),"x","")</f>
        <v/>
      </c>
      <c r="Z303" s="49" t="str">
        <f>IF(AND(B303&lt;=NKC!$N$8,B303&gt;=NKC!$M$8),"x","")</f>
        <v/>
      </c>
      <c r="AA303" s="715"/>
      <c r="AB303" s="493"/>
    </row>
    <row r="304" spans="1:28" s="199" customFormat="1" ht="15.75" customHeight="1">
      <c r="A304" s="716" t="str">
        <f>IF(B304&lt;&gt;"",IF(AND(B304&gt;=_TM1,B304&lt;=_TM2,OR(TH!L304="1111",TH!M304="1111")),TH!D304,""),"")</f>
        <v/>
      </c>
      <c r="B304" s="36">
        <f t="shared" si="15"/>
        <v>12</v>
      </c>
      <c r="C304" s="185">
        <f t="shared" si="16"/>
        <v>41274</v>
      </c>
      <c r="D304" s="185" t="s">
        <v>602</v>
      </c>
      <c r="E304" s="185">
        <v>41274</v>
      </c>
      <c r="F304" s="186" t="s">
        <v>552</v>
      </c>
      <c r="G304" s="724"/>
      <c r="H304" s="187" t="s">
        <v>601</v>
      </c>
      <c r="I304" s="243">
        <v>100</v>
      </c>
      <c r="J304" s="243">
        <v>13624.978885453584</v>
      </c>
      <c r="K304" s="501">
        <f t="shared" si="14"/>
        <v>1362498</v>
      </c>
      <c r="L304" s="502" t="s">
        <v>162</v>
      </c>
      <c r="M304" s="502" t="s">
        <v>352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>632</v>
      </c>
      <c r="V304" s="49" t="str">
        <f>IF(OR(TH!L304=TH!$V$7,M304=TH!$V$7),"x","")</f>
        <v/>
      </c>
      <c r="W304" s="49" t="str">
        <f>IF(AND(B304&gt;='IN-NX'!$P$3,B304&lt;='IN-NX'!$Q$3,'IN-NX'!$D$7=D304,OR(LEFT(L304,2)="15",AND(LEFT(M304,2)&lt;&gt;"15",LEFT(M304,2)&lt;&gt;"33"))),"x","")</f>
        <v/>
      </c>
      <c r="X304" s="49" t="str">
        <f>IF(AND(OR(LEFT(TH!L304,2)="15",LEFT(TH!M304,2)="15"),'152-CT'!$J$8=TH!F304),"x","")</f>
        <v/>
      </c>
      <c r="Y304" s="49" t="str">
        <f>IF(AND(OR(LEFT(TH!L304,2)="15",LEFT(TH!M304,2)="15"),TK!$E$7=TH!F304),"x","")</f>
        <v>x</v>
      </c>
      <c r="Z304" s="49" t="str">
        <f>IF(AND(B304&lt;=NKC!$N$8,B304&gt;=NKC!$M$8),"x","")</f>
        <v/>
      </c>
      <c r="AA304" s="715"/>
      <c r="AB304" s="493"/>
    </row>
    <row r="305" spans="1:28" s="199" customFormat="1" ht="15.75" customHeight="1">
      <c r="A305" s="716" t="str">
        <f>IF(B305&lt;&gt;"",IF(AND(B305&gt;=_TM1,B305&lt;=_TM2,OR(TH!L305="1111",TH!M305="1111")),TH!D305,""),"")</f>
        <v/>
      </c>
      <c r="B305" s="36">
        <f t="shared" si="15"/>
        <v>12</v>
      </c>
      <c r="C305" s="185">
        <f t="shared" si="16"/>
        <v>41274</v>
      </c>
      <c r="D305" s="185" t="s">
        <v>602</v>
      </c>
      <c r="E305" s="185">
        <v>41274</v>
      </c>
      <c r="F305" s="186" t="s">
        <v>555</v>
      </c>
      <c r="G305" s="724"/>
      <c r="H305" s="187" t="s">
        <v>601</v>
      </c>
      <c r="I305" s="243">
        <v>40</v>
      </c>
      <c r="J305" s="243">
        <v>13624.978885453587</v>
      </c>
      <c r="K305" s="501">
        <f t="shared" si="14"/>
        <v>544999</v>
      </c>
      <c r="L305" s="502" t="s">
        <v>162</v>
      </c>
      <c r="M305" s="502" t="s">
        <v>352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>632</v>
      </c>
      <c r="V305" s="49" t="str">
        <f>IF(OR(TH!L305=TH!$V$7,M305=TH!$V$7),"x","")</f>
        <v/>
      </c>
      <c r="W305" s="49" t="str">
        <f>IF(AND(B305&gt;='IN-NX'!$P$3,B305&lt;='IN-NX'!$Q$3,'IN-NX'!$D$7=D305,OR(LEFT(L305,2)="15",AND(LEFT(M305,2)&lt;&gt;"15",LEFT(M305,2)&lt;&gt;"33"))),"x","")</f>
        <v/>
      </c>
      <c r="X305" s="49" t="str">
        <f>IF(AND(OR(LEFT(TH!L305,2)="15",LEFT(TH!M305,2)="15"),'152-CT'!$J$8=TH!F305),"x","")</f>
        <v/>
      </c>
      <c r="Y305" s="49" t="str">
        <f>IF(AND(OR(LEFT(TH!L305,2)="15",LEFT(TH!M305,2)="15"),TK!$E$7=TH!F305),"x","")</f>
        <v/>
      </c>
      <c r="Z305" s="49" t="str">
        <f>IF(AND(B305&lt;=NKC!$N$8,B305&gt;=NKC!$M$8),"x","")</f>
        <v/>
      </c>
      <c r="AA305" s="715"/>
      <c r="AB305" s="493"/>
    </row>
    <row r="306" spans="1:28" s="199" customFormat="1" ht="15.75" customHeight="1">
      <c r="A306" s="716" t="str">
        <f>IF(B306&lt;&gt;"",IF(AND(B306&gt;=_TM1,B306&lt;=_TM2,OR(TH!L306="1111",TH!M306="1111")),TH!D306,""),"")</f>
        <v/>
      </c>
      <c r="B306" s="36">
        <f t="shared" si="15"/>
        <v>12</v>
      </c>
      <c r="C306" s="185">
        <f t="shared" si="16"/>
        <v>41274</v>
      </c>
      <c r="D306" s="185" t="s">
        <v>602</v>
      </c>
      <c r="E306" s="185">
        <v>41274</v>
      </c>
      <c r="F306" s="186" t="s">
        <v>553</v>
      </c>
      <c r="G306" s="724"/>
      <c r="H306" s="187" t="s">
        <v>601</v>
      </c>
      <c r="I306" s="243">
        <v>180</v>
      </c>
      <c r="J306" s="243">
        <v>13624.978885453585</v>
      </c>
      <c r="K306" s="501">
        <f t="shared" si="14"/>
        <v>2452496</v>
      </c>
      <c r="L306" s="502" t="s">
        <v>162</v>
      </c>
      <c r="M306" s="502" t="s">
        <v>352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>632</v>
      </c>
      <c r="V306" s="49" t="str">
        <f>IF(OR(TH!L306=TH!$V$7,M306=TH!$V$7),"x","")</f>
        <v/>
      </c>
      <c r="W306" s="49" t="str">
        <f>IF(AND(B306&gt;='IN-NX'!$P$3,B306&lt;='IN-NX'!$Q$3,'IN-NX'!$D$7=D306,OR(LEFT(L306,2)="15",AND(LEFT(M306,2)&lt;&gt;"15",LEFT(M306,2)&lt;&gt;"33"))),"x","")</f>
        <v/>
      </c>
      <c r="X306" s="49" t="str">
        <f>IF(AND(OR(LEFT(TH!L306,2)="15",LEFT(TH!M306,2)="15"),'152-CT'!$J$8=TH!F306),"x","")</f>
        <v/>
      </c>
      <c r="Y306" s="49" t="str">
        <f>IF(AND(OR(LEFT(TH!L306,2)="15",LEFT(TH!M306,2)="15"),TK!$E$7=TH!F306),"x","")</f>
        <v/>
      </c>
      <c r="Z306" s="49" t="str">
        <f>IF(AND(B306&lt;=NKC!$N$8,B306&gt;=NKC!$M$8),"x","")</f>
        <v/>
      </c>
      <c r="AA306" s="715"/>
      <c r="AB306" s="493"/>
    </row>
    <row r="307" spans="1:28" s="199" customFormat="1" ht="15.75" customHeight="1">
      <c r="A307" s="716" t="str">
        <f>IF(B307&lt;&gt;"",IF(AND(B307&gt;=_TM1,B307&lt;=_TM2,OR(TH!L307="1111",TH!M307="1111")),TH!D307,""),"")</f>
        <v/>
      </c>
      <c r="B307" s="36">
        <f t="shared" si="15"/>
        <v>12</v>
      </c>
      <c r="C307" s="185">
        <f t="shared" si="16"/>
        <v>41274</v>
      </c>
      <c r="D307" s="185" t="s">
        <v>602</v>
      </c>
      <c r="E307" s="185">
        <v>41274</v>
      </c>
      <c r="F307" s="186" t="s">
        <v>550</v>
      </c>
      <c r="G307" s="724"/>
      <c r="H307" s="187" t="s">
        <v>601</v>
      </c>
      <c r="I307" s="243">
        <v>180</v>
      </c>
      <c r="J307" s="243">
        <v>13624.978885453585</v>
      </c>
      <c r="K307" s="501">
        <f t="shared" si="14"/>
        <v>2452496</v>
      </c>
      <c r="L307" s="502" t="s">
        <v>162</v>
      </c>
      <c r="M307" s="502" t="s">
        <v>352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>632</v>
      </c>
      <c r="V307" s="49" t="str">
        <f>IF(OR(TH!L307=TH!$V$7,M307=TH!$V$7),"x","")</f>
        <v/>
      </c>
      <c r="W307" s="49" t="str">
        <f>IF(AND(B307&gt;='IN-NX'!$P$3,B307&lt;='IN-NX'!$Q$3,'IN-NX'!$D$7=D307,OR(LEFT(L307,2)="15",AND(LEFT(M307,2)&lt;&gt;"15",LEFT(M307,2)&lt;&gt;"33"))),"x","")</f>
        <v/>
      </c>
      <c r="X307" s="49" t="str">
        <f>IF(AND(OR(LEFT(TH!L307,2)="15",LEFT(TH!M307,2)="15"),'152-CT'!$J$8=TH!F307),"x","")</f>
        <v/>
      </c>
      <c r="Y307" s="49" t="str">
        <f>IF(AND(OR(LEFT(TH!L307,2)="15",LEFT(TH!M307,2)="15"),TK!$E$7=TH!F307),"x","")</f>
        <v/>
      </c>
      <c r="Z307" s="49" t="str">
        <f>IF(AND(B307&lt;=NKC!$N$8,B307&gt;=NKC!$M$8),"x","")</f>
        <v/>
      </c>
      <c r="AA307" s="715"/>
      <c r="AB307" s="493"/>
    </row>
    <row r="308" spans="1:28" s="199" customFormat="1" ht="15.75" customHeight="1">
      <c r="A308" s="716" t="str">
        <f>IF(B308&lt;&gt;"",IF(AND(B308&gt;=_TM1,B308&lt;=_TM2,OR(TH!L308="1111",TH!M308="1111")),TH!D308,""),"")</f>
        <v/>
      </c>
      <c r="B308" s="36">
        <f t="shared" si="15"/>
        <v>12</v>
      </c>
      <c r="C308" s="185">
        <f t="shared" si="16"/>
        <v>41274</v>
      </c>
      <c r="D308" s="185" t="s">
        <v>602</v>
      </c>
      <c r="E308" s="185">
        <v>41274</v>
      </c>
      <c r="F308" s="186" t="s">
        <v>514</v>
      </c>
      <c r="G308" s="724"/>
      <c r="H308" s="187" t="s">
        <v>601</v>
      </c>
      <c r="I308" s="243">
        <v>1010</v>
      </c>
      <c r="J308" s="243">
        <v>6666.9788854535864</v>
      </c>
      <c r="K308" s="501">
        <f t="shared" si="14"/>
        <v>6733649</v>
      </c>
      <c r="L308" s="502" t="s">
        <v>162</v>
      </c>
      <c r="M308" s="502" t="s">
        <v>352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>632</v>
      </c>
      <c r="V308" s="49" t="str">
        <f>IF(OR(TH!L308=TH!$V$7,M308=TH!$V$7),"x","")</f>
        <v/>
      </c>
      <c r="W308" s="49" t="str">
        <f>IF(AND(B308&gt;='IN-NX'!$P$3,B308&lt;='IN-NX'!$Q$3,'IN-NX'!$D$7=D308,OR(LEFT(L308,2)="15",AND(LEFT(M308,2)&lt;&gt;"15",LEFT(M308,2)&lt;&gt;"33"))),"x","")</f>
        <v/>
      </c>
      <c r="X308" s="49" t="str">
        <f>IF(AND(OR(LEFT(TH!L308,2)="15",LEFT(TH!M308,2)="15"),'152-CT'!$J$8=TH!F308),"x","")</f>
        <v/>
      </c>
      <c r="Y308" s="49" t="str">
        <f>IF(AND(OR(LEFT(TH!L308,2)="15",LEFT(TH!M308,2)="15"),TK!$E$7=TH!F308),"x","")</f>
        <v/>
      </c>
      <c r="Z308" s="49" t="str">
        <f>IF(AND(B308&lt;=NKC!$N$8,B308&gt;=NKC!$M$8),"x","")</f>
        <v/>
      </c>
      <c r="AA308" s="715"/>
      <c r="AB308" s="493"/>
    </row>
    <row r="309" spans="1:28" s="199" customFormat="1" ht="15.75" customHeight="1">
      <c r="A309" s="716" t="str">
        <f>IF(B309&lt;&gt;"",IF(AND(B309&gt;=_TM1,B309&lt;=_TM2,OR(TH!L309="1111",TH!M309="1111")),TH!D309,""),"")</f>
        <v/>
      </c>
      <c r="B309" s="36">
        <f t="shared" si="15"/>
        <v>12</v>
      </c>
      <c r="C309" s="185">
        <f t="shared" si="16"/>
        <v>41274</v>
      </c>
      <c r="D309" s="185" t="s">
        <v>602</v>
      </c>
      <c r="E309" s="185">
        <v>41274</v>
      </c>
      <c r="F309" s="186" t="s">
        <v>512</v>
      </c>
      <c r="G309" s="724"/>
      <c r="H309" s="187" t="s">
        <v>601</v>
      </c>
      <c r="I309" s="243">
        <v>3104</v>
      </c>
      <c r="J309" s="243">
        <v>5946.1779833917299</v>
      </c>
      <c r="K309" s="501">
        <f t="shared" si="14"/>
        <v>18456936</v>
      </c>
      <c r="L309" s="502" t="s">
        <v>162</v>
      </c>
      <c r="M309" s="502" t="s">
        <v>352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>632</v>
      </c>
      <c r="V309" s="49" t="str">
        <f>IF(OR(TH!L309=TH!$V$7,M309=TH!$V$7),"x","")</f>
        <v/>
      </c>
      <c r="W309" s="49" t="str">
        <f>IF(AND(B309&gt;='IN-NX'!$P$3,B309&lt;='IN-NX'!$Q$3,'IN-NX'!$D$7=D309,OR(LEFT(L309,2)="15",AND(LEFT(M309,2)&lt;&gt;"15",LEFT(M309,2)&lt;&gt;"33"))),"x","")</f>
        <v/>
      </c>
      <c r="X309" s="49" t="str">
        <f>IF(AND(OR(LEFT(TH!L309,2)="15",LEFT(TH!M309,2)="15"),'152-CT'!$J$8=TH!F309),"x","")</f>
        <v/>
      </c>
      <c r="Y309" s="49" t="str">
        <f>IF(AND(OR(LEFT(TH!L309,2)="15",LEFT(TH!M309,2)="15"),TK!$E$7=TH!F309),"x","")</f>
        <v/>
      </c>
      <c r="Z309" s="49" t="str">
        <f>IF(AND(B309&lt;=NKC!$N$8,B309&gt;=NKC!$M$8),"x","")</f>
        <v/>
      </c>
      <c r="AA309" s="715"/>
      <c r="AB309" s="493"/>
    </row>
    <row r="310" spans="1:28" s="199" customFormat="1" ht="15.75" customHeight="1">
      <c r="A310" s="716" t="str">
        <f>IF(B310&lt;&gt;"",IF(AND(B310&gt;=_TM1,B310&lt;=_TM2,OR(TH!L310="1111",TH!M310="1111")),TH!D310,""),"")</f>
        <v/>
      </c>
      <c r="B310" s="36">
        <f t="shared" si="15"/>
        <v>12</v>
      </c>
      <c r="C310" s="185">
        <f t="shared" si="16"/>
        <v>41274</v>
      </c>
      <c r="D310" s="185" t="s">
        <v>602</v>
      </c>
      <c r="E310" s="185">
        <v>41274</v>
      </c>
      <c r="F310" s="186" t="s">
        <v>520</v>
      </c>
      <c r="G310" s="724"/>
      <c r="H310" s="187" t="s">
        <v>601</v>
      </c>
      <c r="I310" s="243">
        <v>2820</v>
      </c>
      <c r="J310" s="243">
        <v>6068.7235663046495</v>
      </c>
      <c r="K310" s="501">
        <f t="shared" ref="K310:K324" si="17">ROUND(I310*J310,0)</f>
        <v>17113800</v>
      </c>
      <c r="L310" s="502" t="s">
        <v>162</v>
      </c>
      <c r="M310" s="502" t="s">
        <v>352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>632</v>
      </c>
      <c r="V310" s="49" t="str">
        <f>IF(OR(TH!L310=TH!$V$7,M310=TH!$V$7),"x","")</f>
        <v/>
      </c>
      <c r="W310" s="49" t="str">
        <f>IF(AND(B310&gt;='IN-NX'!$P$3,B310&lt;='IN-NX'!$Q$3,'IN-NX'!$D$7=D310,OR(LEFT(L310,2)="15",AND(LEFT(M310,2)&lt;&gt;"15",LEFT(M310,2)&lt;&gt;"33"))),"x","")</f>
        <v/>
      </c>
      <c r="X310" s="49" t="str">
        <f>IF(AND(OR(LEFT(TH!L310,2)="15",LEFT(TH!M310,2)="15"),'152-CT'!$J$8=TH!F310),"x","")</f>
        <v/>
      </c>
      <c r="Y310" s="49" t="str">
        <f>IF(AND(OR(LEFT(TH!L310,2)="15",LEFT(TH!M310,2)="15"),TK!$E$7=TH!F310),"x","")</f>
        <v/>
      </c>
      <c r="Z310" s="49" t="str">
        <f>IF(AND(B310&lt;=NKC!$N$8,B310&gt;=NKC!$M$8),"x","")</f>
        <v/>
      </c>
      <c r="AA310" s="715"/>
      <c r="AB310" s="493"/>
    </row>
    <row r="311" spans="1:28" s="199" customFormat="1" ht="15.75" customHeight="1">
      <c r="A311" s="716" t="str">
        <f>IF(B311&lt;&gt;"",IF(AND(B311&gt;=_TM1,B311&lt;=_TM2,OR(TH!L311="1111",TH!M311="1111")),TH!D311,""),"")</f>
        <v/>
      </c>
      <c r="B311" s="36">
        <f t="shared" si="15"/>
        <v>12</v>
      </c>
      <c r="C311" s="185">
        <f t="shared" si="16"/>
        <v>41274</v>
      </c>
      <c r="D311" s="185" t="s">
        <v>602</v>
      </c>
      <c r="E311" s="185">
        <v>41274</v>
      </c>
      <c r="F311" s="186" t="s">
        <v>518</v>
      </c>
      <c r="G311" s="724"/>
      <c r="H311" s="187" t="s">
        <v>601</v>
      </c>
      <c r="I311" s="243">
        <v>4665</v>
      </c>
      <c r="J311" s="243">
        <v>5788.2054663753433</v>
      </c>
      <c r="K311" s="501">
        <f t="shared" si="17"/>
        <v>27001979</v>
      </c>
      <c r="L311" s="502" t="s">
        <v>162</v>
      </c>
      <c r="M311" s="502" t="s">
        <v>352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>632</v>
      </c>
      <c r="V311" s="49" t="str">
        <f>IF(OR(TH!L311=TH!$V$7,M311=TH!$V$7),"x","")</f>
        <v/>
      </c>
      <c r="W311" s="49" t="str">
        <f>IF(AND(B311&gt;='IN-NX'!$P$3,B311&lt;='IN-NX'!$Q$3,'IN-NX'!$D$7=D311,OR(LEFT(L311,2)="15",AND(LEFT(M311,2)&lt;&gt;"15",LEFT(M311,2)&lt;&gt;"33"))),"x","")</f>
        <v/>
      </c>
      <c r="X311" s="49" t="str">
        <f>IF(AND(OR(LEFT(TH!L311,2)="15",LEFT(TH!M311,2)="15"),'152-CT'!$J$8=TH!F311),"x","")</f>
        <v/>
      </c>
      <c r="Y311" s="49" t="str">
        <f>IF(AND(OR(LEFT(TH!L311,2)="15",LEFT(TH!M311,2)="15"),TK!$E$7=TH!F311),"x","")</f>
        <v/>
      </c>
      <c r="Z311" s="49" t="str">
        <f>IF(AND(B311&lt;=NKC!$N$8,B311&gt;=NKC!$M$8),"x","")</f>
        <v/>
      </c>
      <c r="AA311" s="715"/>
      <c r="AB311" s="493"/>
    </row>
    <row r="312" spans="1:28" s="199" customFormat="1" ht="15.75" customHeight="1">
      <c r="A312" s="716" t="str">
        <f>IF(B312&lt;&gt;"",IF(AND(B312&gt;=_TM1,B312&lt;=_TM2,OR(TH!L312="1111",TH!M312="1111")),TH!D312,""),"")</f>
        <v/>
      </c>
      <c r="B312" s="36">
        <f t="shared" si="15"/>
        <v>12</v>
      </c>
      <c r="C312" s="185">
        <f t="shared" si="16"/>
        <v>41274</v>
      </c>
      <c r="D312" s="185" t="s">
        <v>602</v>
      </c>
      <c r="E312" s="185">
        <v>41274</v>
      </c>
      <c r="F312" s="186" t="s">
        <v>510</v>
      </c>
      <c r="G312" s="724"/>
      <c r="H312" s="187" t="s">
        <v>601</v>
      </c>
      <c r="I312" s="243">
        <v>1147</v>
      </c>
      <c r="J312" s="243">
        <v>6133.7949273018858</v>
      </c>
      <c r="K312" s="501">
        <f t="shared" si="17"/>
        <v>7035463</v>
      </c>
      <c r="L312" s="502" t="s">
        <v>162</v>
      </c>
      <c r="M312" s="502" t="s">
        <v>352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>632</v>
      </c>
      <c r="V312" s="49" t="str">
        <f>IF(OR(TH!L312=TH!$V$7,M312=TH!$V$7),"x","")</f>
        <v/>
      </c>
      <c r="W312" s="49" t="str">
        <f>IF(AND(B312&gt;='IN-NX'!$P$3,B312&lt;='IN-NX'!$Q$3,'IN-NX'!$D$7=D312,OR(LEFT(L312,2)="15",AND(LEFT(M312,2)&lt;&gt;"15",LEFT(M312,2)&lt;&gt;"33"))),"x","")</f>
        <v/>
      </c>
      <c r="X312" s="49" t="str">
        <f>IF(AND(OR(LEFT(TH!L312,2)="15",LEFT(TH!M312,2)="15"),'152-CT'!$J$8=TH!F312),"x","")</f>
        <v/>
      </c>
      <c r="Y312" s="49" t="str">
        <f>IF(AND(OR(LEFT(TH!L312,2)="15",LEFT(TH!M312,2)="15"),TK!$E$7=TH!F312),"x","")</f>
        <v/>
      </c>
      <c r="Z312" s="49" t="str">
        <f>IF(AND(B312&lt;=NKC!$N$8,B312&gt;=NKC!$M$8),"x","")</f>
        <v/>
      </c>
      <c r="AA312" s="715"/>
      <c r="AB312" s="493"/>
    </row>
    <row r="313" spans="1:28" s="199" customFormat="1" ht="15.75" customHeight="1">
      <c r="A313" s="716" t="str">
        <f>IF(B313&lt;&gt;"",IF(AND(B313&gt;=_TM1,B313&lt;=_TM2,OR(TH!L313="1111",TH!M313="1111")),TH!D313,""),"")</f>
        <v/>
      </c>
      <c r="B313" s="36">
        <f t="shared" si="15"/>
        <v>12</v>
      </c>
      <c r="C313" s="185">
        <f t="shared" si="16"/>
        <v>41274</v>
      </c>
      <c r="D313" s="185" t="s">
        <v>602</v>
      </c>
      <c r="E313" s="185">
        <v>41274</v>
      </c>
      <c r="F313" s="186" t="s">
        <v>515</v>
      </c>
      <c r="G313" s="724"/>
      <c r="H313" s="187" t="s">
        <v>601</v>
      </c>
      <c r="I313" s="243">
        <v>3175</v>
      </c>
      <c r="J313" s="243">
        <v>5749.5987279732699</v>
      </c>
      <c r="K313" s="501">
        <f t="shared" si="17"/>
        <v>18254976</v>
      </c>
      <c r="L313" s="502" t="s">
        <v>162</v>
      </c>
      <c r="M313" s="502" t="s">
        <v>352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>632</v>
      </c>
      <c r="V313" s="49" t="str">
        <f>IF(OR(TH!L313=TH!$V$7,M313=TH!$V$7),"x","")</f>
        <v/>
      </c>
      <c r="W313" s="49" t="str">
        <f>IF(AND(B313&gt;='IN-NX'!$P$3,B313&lt;='IN-NX'!$Q$3,'IN-NX'!$D$7=D313,OR(LEFT(L313,2)="15",AND(LEFT(M313,2)&lt;&gt;"15",LEFT(M313,2)&lt;&gt;"33"))),"x","")</f>
        <v/>
      </c>
      <c r="X313" s="49" t="str">
        <f>IF(AND(OR(LEFT(TH!L313,2)="15",LEFT(TH!M313,2)="15"),'152-CT'!$J$8=TH!F313),"x","")</f>
        <v/>
      </c>
      <c r="Y313" s="49" t="str">
        <f>IF(AND(OR(LEFT(TH!L313,2)="15",LEFT(TH!M313,2)="15"),TK!$E$7=TH!F313),"x","")</f>
        <v/>
      </c>
      <c r="Z313" s="49" t="str">
        <f>IF(AND(B313&lt;=NKC!$N$8,B313&gt;=NKC!$M$8),"x","")</f>
        <v/>
      </c>
      <c r="AA313" s="715"/>
      <c r="AB313" s="493"/>
    </row>
    <row r="314" spans="1:28" s="199" customFormat="1" ht="15.75" customHeight="1">
      <c r="A314" s="716" t="str">
        <f>IF(B314&lt;&gt;"",IF(AND(B314&gt;=_TM1,B314&lt;=_TM2,OR(TH!L314="1111",TH!M314="1111")),TH!D314,""),"")</f>
        <v/>
      </c>
      <c r="B314" s="36">
        <f t="shared" si="15"/>
        <v>12</v>
      </c>
      <c r="C314" s="185">
        <f t="shared" si="16"/>
        <v>41274</v>
      </c>
      <c r="D314" s="185" t="s">
        <v>602</v>
      </c>
      <c r="E314" s="185">
        <v>41274</v>
      </c>
      <c r="F314" s="186" t="s">
        <v>528</v>
      </c>
      <c r="G314" s="724"/>
      <c r="H314" s="187" t="s">
        <v>601</v>
      </c>
      <c r="I314" s="243">
        <v>1000</v>
      </c>
      <c r="J314" s="243">
        <v>6701.9788854535855</v>
      </c>
      <c r="K314" s="501">
        <f t="shared" si="17"/>
        <v>6701979</v>
      </c>
      <c r="L314" s="502" t="s">
        <v>162</v>
      </c>
      <c r="M314" s="502" t="s">
        <v>352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>632</v>
      </c>
      <c r="V314" s="49" t="str">
        <f>IF(OR(TH!L314=TH!$V$7,M314=TH!$V$7),"x","")</f>
        <v/>
      </c>
      <c r="W314" s="49" t="str">
        <f>IF(AND(B314&gt;='IN-NX'!$P$3,B314&lt;='IN-NX'!$Q$3,'IN-NX'!$D$7=D314,OR(LEFT(L314,2)="15",AND(LEFT(M314,2)&lt;&gt;"15",LEFT(M314,2)&lt;&gt;"33"))),"x","")</f>
        <v/>
      </c>
      <c r="X314" s="49" t="str">
        <f>IF(AND(OR(LEFT(TH!L314,2)="15",LEFT(TH!M314,2)="15"),'152-CT'!$J$8=TH!F314),"x","")</f>
        <v/>
      </c>
      <c r="Y314" s="49" t="str">
        <f>IF(AND(OR(LEFT(TH!L314,2)="15",LEFT(TH!M314,2)="15"),TK!$E$7=TH!F314),"x","")</f>
        <v/>
      </c>
      <c r="Z314" s="49" t="str">
        <f>IF(AND(B314&lt;=NKC!$N$8,B314&gt;=NKC!$M$8),"x","")</f>
        <v/>
      </c>
      <c r="AA314" s="715"/>
      <c r="AB314" s="493"/>
    </row>
    <row r="315" spans="1:28" s="199" customFormat="1" ht="15.75" customHeight="1">
      <c r="A315" s="716" t="str">
        <f>IF(B315&lt;&gt;"",IF(AND(B315&gt;=_TM1,B315&lt;=_TM2,OR(TH!L315="1111",TH!M315="1111")),TH!D315,""),"")</f>
        <v/>
      </c>
      <c r="B315" s="36">
        <f t="shared" si="15"/>
        <v>12</v>
      </c>
      <c r="C315" s="185">
        <f t="shared" si="16"/>
        <v>41274</v>
      </c>
      <c r="D315" s="185" t="s">
        <v>602</v>
      </c>
      <c r="E315" s="185">
        <v>41274</v>
      </c>
      <c r="F315" s="186" t="s">
        <v>526</v>
      </c>
      <c r="G315" s="724"/>
      <c r="H315" s="187" t="s">
        <v>601</v>
      </c>
      <c r="I315" s="243">
        <v>1000</v>
      </c>
      <c r="J315" s="243">
        <v>12923.978885453585</v>
      </c>
      <c r="K315" s="501">
        <f t="shared" si="17"/>
        <v>12923979</v>
      </c>
      <c r="L315" s="502" t="s">
        <v>162</v>
      </c>
      <c r="M315" s="502" t="s">
        <v>352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>632</v>
      </c>
      <c r="V315" s="49" t="str">
        <f>IF(OR(TH!L315=TH!$V$7,M315=TH!$V$7),"x","")</f>
        <v/>
      </c>
      <c r="W315" s="49" t="str">
        <f>IF(AND(B315&gt;='IN-NX'!$P$3,B315&lt;='IN-NX'!$Q$3,'IN-NX'!$D$7=D315,OR(LEFT(L315,2)="15",AND(LEFT(M315,2)&lt;&gt;"15",LEFT(M315,2)&lt;&gt;"33"))),"x","")</f>
        <v/>
      </c>
      <c r="X315" s="49" t="str">
        <f>IF(AND(OR(LEFT(TH!L315,2)="15",LEFT(TH!M315,2)="15"),'152-CT'!$J$8=TH!F315),"x","")</f>
        <v/>
      </c>
      <c r="Y315" s="49" t="str">
        <f>IF(AND(OR(LEFT(TH!L315,2)="15",LEFT(TH!M315,2)="15"),TK!$E$7=TH!F315),"x","")</f>
        <v/>
      </c>
      <c r="Z315" s="49" t="str">
        <f>IF(AND(B315&lt;=NKC!$N$8,B315&gt;=NKC!$M$8),"x","")</f>
        <v/>
      </c>
      <c r="AA315" s="715"/>
      <c r="AB315" s="493"/>
    </row>
    <row r="316" spans="1:28" s="199" customFormat="1" ht="15.75" customHeight="1">
      <c r="A316" s="716" t="str">
        <f>IF(B316&lt;&gt;"",IF(AND(B316&gt;=_TM1,B316&lt;=_TM2,OR(TH!L316="1111",TH!M316="1111")),TH!D316,""),"")</f>
        <v/>
      </c>
      <c r="B316" s="36">
        <f t="shared" si="15"/>
        <v>12</v>
      </c>
      <c r="C316" s="185">
        <f t="shared" si="16"/>
        <v>41274</v>
      </c>
      <c r="D316" s="185" t="s">
        <v>602</v>
      </c>
      <c r="E316" s="185">
        <v>41274</v>
      </c>
      <c r="F316" s="186" t="s">
        <v>546</v>
      </c>
      <c r="G316" s="724"/>
      <c r="H316" s="187" t="s">
        <v>601</v>
      </c>
      <c r="I316" s="243">
        <v>1000</v>
      </c>
      <c r="J316" s="243">
        <v>6220.3508854535858</v>
      </c>
      <c r="K316" s="501">
        <f t="shared" si="17"/>
        <v>6220351</v>
      </c>
      <c r="L316" s="502" t="s">
        <v>162</v>
      </c>
      <c r="M316" s="502" t="s">
        <v>352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>632</v>
      </c>
      <c r="V316" s="49" t="str">
        <f>IF(OR(TH!L316=TH!$V$7,M316=TH!$V$7),"x","")</f>
        <v/>
      </c>
      <c r="W316" s="49" t="str">
        <f>IF(AND(B316&gt;='IN-NX'!$P$3,B316&lt;='IN-NX'!$Q$3,'IN-NX'!$D$7=D316,OR(LEFT(L316,2)="15",AND(LEFT(M316,2)&lt;&gt;"15",LEFT(M316,2)&lt;&gt;"33"))),"x","")</f>
        <v/>
      </c>
      <c r="X316" s="49" t="str">
        <f>IF(AND(OR(LEFT(TH!L316,2)="15",LEFT(TH!M316,2)="15"),'152-CT'!$J$8=TH!F316),"x","")</f>
        <v/>
      </c>
      <c r="Y316" s="49" t="str">
        <f>IF(AND(OR(LEFT(TH!L316,2)="15",LEFT(TH!M316,2)="15"),TK!$E$7=TH!F316),"x","")</f>
        <v/>
      </c>
      <c r="Z316" s="49" t="str">
        <f>IF(AND(B316&lt;=NKC!$N$8,B316&gt;=NKC!$M$8),"x","")</f>
        <v/>
      </c>
      <c r="AA316" s="715"/>
      <c r="AB316" s="493"/>
    </row>
    <row r="317" spans="1:28" s="199" customFormat="1" ht="15.75" customHeight="1">
      <c r="A317" s="716" t="str">
        <f>IF(B317&lt;&gt;"",IF(AND(B317&gt;=_TM1,B317&lt;=_TM2,OR(TH!L317="1111",TH!M317="1111")),TH!D317,""),"")</f>
        <v/>
      </c>
      <c r="B317" s="36">
        <f t="shared" si="15"/>
        <v>12</v>
      </c>
      <c r="C317" s="185">
        <f t="shared" si="16"/>
        <v>41274</v>
      </c>
      <c r="D317" s="185" t="s">
        <v>602</v>
      </c>
      <c r="E317" s="185">
        <v>41274</v>
      </c>
      <c r="F317" s="186" t="s">
        <v>543</v>
      </c>
      <c r="G317" s="724"/>
      <c r="H317" s="187" t="s">
        <v>601</v>
      </c>
      <c r="I317" s="243">
        <v>300</v>
      </c>
      <c r="J317" s="243">
        <v>5719.9788854535855</v>
      </c>
      <c r="K317" s="501">
        <f t="shared" si="17"/>
        <v>1715994</v>
      </c>
      <c r="L317" s="502" t="s">
        <v>162</v>
      </c>
      <c r="M317" s="502" t="s">
        <v>352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>632</v>
      </c>
      <c r="V317" s="49" t="str">
        <f>IF(OR(TH!L317=TH!$V$7,M317=TH!$V$7),"x","")</f>
        <v/>
      </c>
      <c r="W317" s="49" t="str">
        <f>IF(AND(B317&gt;='IN-NX'!$P$3,B317&lt;='IN-NX'!$Q$3,'IN-NX'!$D$7=D317,OR(LEFT(L317,2)="15",AND(LEFT(M317,2)&lt;&gt;"15",LEFT(M317,2)&lt;&gt;"33"))),"x","")</f>
        <v/>
      </c>
      <c r="X317" s="49" t="str">
        <f>IF(AND(OR(LEFT(TH!L317,2)="15",LEFT(TH!M317,2)="15"),'152-CT'!$J$8=TH!F317),"x","")</f>
        <v/>
      </c>
      <c r="Y317" s="49" t="str">
        <f>IF(AND(OR(LEFT(TH!L317,2)="15",LEFT(TH!M317,2)="15"),TK!$E$7=TH!F317),"x","")</f>
        <v/>
      </c>
      <c r="Z317" s="49" t="str">
        <f>IF(AND(B317&lt;=NKC!$N$8,B317&gt;=NKC!$M$8),"x","")</f>
        <v/>
      </c>
      <c r="AA317" s="715"/>
      <c r="AB317" s="493"/>
    </row>
    <row r="318" spans="1:28" s="199" customFormat="1" ht="15.75" customHeight="1">
      <c r="A318" s="716" t="str">
        <f>IF(B318&lt;&gt;"",IF(AND(B318&gt;=_TM1,B318&lt;=_TM2,OR(TH!L318="1111",TH!M318="1111")),TH!D318,""),"")</f>
        <v/>
      </c>
      <c r="B318" s="36">
        <f t="shared" si="15"/>
        <v>12</v>
      </c>
      <c r="C318" s="185">
        <f t="shared" si="16"/>
        <v>41274</v>
      </c>
      <c r="D318" s="185" t="s">
        <v>602</v>
      </c>
      <c r="E318" s="185">
        <v>41274</v>
      </c>
      <c r="F318" s="186" t="s">
        <v>530</v>
      </c>
      <c r="G318" s="724"/>
      <c r="H318" s="187" t="s">
        <v>601</v>
      </c>
      <c r="I318" s="243">
        <v>550</v>
      </c>
      <c r="J318" s="243">
        <v>4882.9788854535864</v>
      </c>
      <c r="K318" s="501">
        <f t="shared" si="17"/>
        <v>2685638</v>
      </c>
      <c r="L318" s="502" t="s">
        <v>162</v>
      </c>
      <c r="M318" s="502" t="s">
        <v>352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>632</v>
      </c>
      <c r="V318" s="49" t="str">
        <f>IF(OR(TH!L318=TH!$V$7,M318=TH!$V$7),"x","")</f>
        <v/>
      </c>
      <c r="W318" s="49" t="str">
        <f>IF(AND(B318&gt;='IN-NX'!$P$3,B318&lt;='IN-NX'!$Q$3,'IN-NX'!$D$7=D318,OR(LEFT(L318,2)="15",AND(LEFT(M318,2)&lt;&gt;"15",LEFT(M318,2)&lt;&gt;"33"))),"x","")</f>
        <v/>
      </c>
      <c r="X318" s="49" t="str">
        <f>IF(AND(OR(LEFT(TH!L318,2)="15",LEFT(TH!M318,2)="15"),'152-CT'!$J$8=TH!F318),"x","")</f>
        <v/>
      </c>
      <c r="Y318" s="49" t="str">
        <f>IF(AND(OR(LEFT(TH!L318,2)="15",LEFT(TH!M318,2)="15"),TK!$E$7=TH!F318),"x","")</f>
        <v/>
      </c>
      <c r="Z318" s="49" t="str">
        <f>IF(AND(B318&lt;=NKC!$N$8,B318&gt;=NKC!$M$8),"x","")</f>
        <v/>
      </c>
      <c r="AA318" s="715"/>
      <c r="AB318" s="493"/>
    </row>
    <row r="319" spans="1:28" s="199" customFormat="1" ht="15.75" customHeight="1">
      <c r="A319" s="716" t="str">
        <f>IF(B319&lt;&gt;"",IF(AND(B319&gt;=_TM1,B319&lt;=_TM2,OR(TH!L319="1111",TH!M319="1111")),TH!D319,""),"")</f>
        <v/>
      </c>
      <c r="B319" s="36">
        <f t="shared" si="15"/>
        <v>12</v>
      </c>
      <c r="C319" s="185">
        <f t="shared" si="16"/>
        <v>41274</v>
      </c>
      <c r="D319" s="185" t="s">
        <v>602</v>
      </c>
      <c r="E319" s="185">
        <v>41274</v>
      </c>
      <c r="F319" s="186" t="s">
        <v>505</v>
      </c>
      <c r="G319" s="724"/>
      <c r="H319" s="187" t="s">
        <v>601</v>
      </c>
      <c r="I319" s="243">
        <v>2250</v>
      </c>
      <c r="J319" s="243">
        <v>4882.9788854535855</v>
      </c>
      <c r="K319" s="501">
        <f t="shared" si="17"/>
        <v>10986702</v>
      </c>
      <c r="L319" s="502" t="s">
        <v>162</v>
      </c>
      <c r="M319" s="502" t="s">
        <v>352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>632</v>
      </c>
      <c r="V319" s="49" t="str">
        <f>IF(OR(TH!L319=TH!$V$7,M319=TH!$V$7),"x","")</f>
        <v/>
      </c>
      <c r="W319" s="49" t="str">
        <f>IF(AND(B319&gt;='IN-NX'!$P$3,B319&lt;='IN-NX'!$Q$3,'IN-NX'!$D$7=D319,OR(LEFT(L319,2)="15",AND(LEFT(M319,2)&lt;&gt;"15",LEFT(M319,2)&lt;&gt;"33"))),"x","")</f>
        <v/>
      </c>
      <c r="X319" s="49" t="str">
        <f>IF(AND(OR(LEFT(TH!L319,2)="15",LEFT(TH!M319,2)="15"),'152-CT'!$J$8=TH!F319),"x","")</f>
        <v/>
      </c>
      <c r="Y319" s="49" t="str">
        <f>IF(AND(OR(LEFT(TH!L319,2)="15",LEFT(TH!M319,2)="15"),TK!$E$7=TH!F319),"x","")</f>
        <v/>
      </c>
      <c r="Z319" s="49" t="str">
        <f>IF(AND(B319&lt;=NKC!$N$8,B319&gt;=NKC!$M$8),"x","")</f>
        <v/>
      </c>
      <c r="AA319" s="715"/>
      <c r="AB319" s="493"/>
    </row>
    <row r="320" spans="1:28" s="199" customFormat="1" ht="15.75" customHeight="1">
      <c r="A320" s="716" t="str">
        <f>IF(B320&lt;&gt;"",IF(AND(B320&gt;=_TM1,B320&lt;=_TM2,OR(TH!L320="1111",TH!M320="1111")),TH!D320,""),"")</f>
        <v/>
      </c>
      <c r="B320" s="36">
        <f t="shared" si="15"/>
        <v>12</v>
      </c>
      <c r="C320" s="185">
        <f t="shared" si="16"/>
        <v>41274</v>
      </c>
      <c r="D320" s="185" t="s">
        <v>602</v>
      </c>
      <c r="E320" s="185">
        <v>41274</v>
      </c>
      <c r="F320" s="186" t="s">
        <v>545</v>
      </c>
      <c r="G320" s="724"/>
      <c r="H320" s="187" t="s">
        <v>601</v>
      </c>
      <c r="I320" s="243">
        <v>500</v>
      </c>
      <c r="J320" s="243">
        <v>4882.9788854535855</v>
      </c>
      <c r="K320" s="501">
        <f t="shared" si="17"/>
        <v>2441489</v>
      </c>
      <c r="L320" s="502" t="s">
        <v>162</v>
      </c>
      <c r="M320" s="502" t="s">
        <v>352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>632</v>
      </c>
      <c r="V320" s="49" t="str">
        <f>IF(OR(TH!L320=TH!$V$7,M320=TH!$V$7),"x","")</f>
        <v/>
      </c>
      <c r="W320" s="49" t="str">
        <f>IF(AND(B320&gt;='IN-NX'!$P$3,B320&lt;='IN-NX'!$Q$3,'IN-NX'!$D$7=D320,OR(LEFT(L320,2)="15",AND(LEFT(M320,2)&lt;&gt;"15",LEFT(M320,2)&lt;&gt;"33"))),"x","")</f>
        <v/>
      </c>
      <c r="X320" s="49" t="str">
        <f>IF(AND(OR(LEFT(TH!L320,2)="15",LEFT(TH!M320,2)="15"),'152-CT'!$J$8=TH!F320),"x","")</f>
        <v/>
      </c>
      <c r="Y320" s="49" t="str">
        <f>IF(AND(OR(LEFT(TH!L320,2)="15",LEFT(TH!M320,2)="15"),TK!$E$7=TH!F320),"x","")</f>
        <v/>
      </c>
      <c r="Z320" s="49" t="str">
        <f>IF(AND(B320&lt;=NKC!$N$8,B320&gt;=NKC!$M$8),"x","")</f>
        <v/>
      </c>
      <c r="AA320" s="715"/>
      <c r="AB320" s="493"/>
    </row>
    <row r="321" spans="1:28" s="199" customFormat="1" ht="15.75" customHeight="1">
      <c r="A321" s="716" t="str">
        <f>IF(B321&lt;&gt;"",IF(AND(B321&gt;=_TM1,B321&lt;=_TM2,OR(TH!L321="1111",TH!M321="1111")),TH!D321,""),"")</f>
        <v/>
      </c>
      <c r="B321" s="36">
        <f t="shared" si="15"/>
        <v>12</v>
      </c>
      <c r="C321" s="185">
        <f t="shared" si="16"/>
        <v>41274</v>
      </c>
      <c r="D321" s="185" t="s">
        <v>602</v>
      </c>
      <c r="E321" s="185">
        <v>41274</v>
      </c>
      <c r="F321" s="186" t="s">
        <v>521</v>
      </c>
      <c r="G321" s="724"/>
      <c r="H321" s="187" t="s">
        <v>601</v>
      </c>
      <c r="I321" s="243">
        <v>2000</v>
      </c>
      <c r="J321" s="243">
        <v>6415.9788854535855</v>
      </c>
      <c r="K321" s="501">
        <f t="shared" si="17"/>
        <v>12831958</v>
      </c>
      <c r="L321" s="502" t="s">
        <v>162</v>
      </c>
      <c r="M321" s="502" t="s">
        <v>352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>632</v>
      </c>
      <c r="V321" s="49" t="str">
        <f>IF(OR(TH!L321=TH!$V$7,M321=TH!$V$7),"x","")</f>
        <v/>
      </c>
      <c r="W321" s="49" t="str">
        <f>IF(AND(B321&gt;='IN-NX'!$P$3,B321&lt;='IN-NX'!$Q$3,'IN-NX'!$D$7=D321,OR(LEFT(L321,2)="15",AND(LEFT(M321,2)&lt;&gt;"15",LEFT(M321,2)&lt;&gt;"33"))),"x","")</f>
        <v/>
      </c>
      <c r="X321" s="49" t="str">
        <f>IF(AND(OR(LEFT(TH!L321,2)="15",LEFT(TH!M321,2)="15"),'152-CT'!$J$8=TH!F321),"x","")</f>
        <v/>
      </c>
      <c r="Y321" s="49" t="str">
        <f>IF(AND(OR(LEFT(TH!L321,2)="15",LEFT(TH!M321,2)="15"),TK!$E$7=TH!F321),"x","")</f>
        <v/>
      </c>
      <c r="Z321" s="49" t="str">
        <f>IF(AND(B321&lt;=NKC!$N$8,B321&gt;=NKC!$M$8),"x","")</f>
        <v/>
      </c>
      <c r="AA321" s="715"/>
      <c r="AB321" s="493"/>
    </row>
    <row r="322" spans="1:28" s="199" customFormat="1" ht="15.75" customHeight="1">
      <c r="A322" s="716" t="str">
        <f>IF(B322&lt;&gt;"",IF(AND(B322&gt;=_TM1,B322&lt;=_TM2,OR(TH!L322="1111",TH!M322="1111")),TH!D322,""),"")</f>
        <v/>
      </c>
      <c r="B322" s="36">
        <f t="shared" si="15"/>
        <v>12</v>
      </c>
      <c r="C322" s="185">
        <f t="shared" si="16"/>
        <v>41274</v>
      </c>
      <c r="D322" s="185" t="s">
        <v>602</v>
      </c>
      <c r="E322" s="185">
        <v>41274</v>
      </c>
      <c r="F322" s="186" t="s">
        <v>544</v>
      </c>
      <c r="G322" s="724"/>
      <c r="H322" s="187" t="s">
        <v>601</v>
      </c>
      <c r="I322" s="243">
        <v>350</v>
      </c>
      <c r="J322" s="243">
        <v>5877.9788854535855</v>
      </c>
      <c r="K322" s="501">
        <f t="shared" si="17"/>
        <v>2057293</v>
      </c>
      <c r="L322" s="502" t="s">
        <v>162</v>
      </c>
      <c r="M322" s="502" t="s">
        <v>352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>632</v>
      </c>
      <c r="V322" s="49" t="str">
        <f>IF(OR(TH!L322=TH!$V$7,M322=TH!$V$7),"x","")</f>
        <v/>
      </c>
      <c r="W322" s="49" t="str">
        <f>IF(AND(B322&gt;='IN-NX'!$P$3,B322&lt;='IN-NX'!$Q$3,'IN-NX'!$D$7=D322,OR(LEFT(L322,2)="15",AND(LEFT(M322,2)&lt;&gt;"15",LEFT(M322,2)&lt;&gt;"33"))),"x","")</f>
        <v/>
      </c>
      <c r="X322" s="49" t="str">
        <f>IF(AND(OR(LEFT(TH!L322,2)="15",LEFT(TH!M322,2)="15"),'152-CT'!$J$8=TH!F322),"x","")</f>
        <v/>
      </c>
      <c r="Y322" s="49" t="str">
        <f>IF(AND(OR(LEFT(TH!L322,2)="15",LEFT(TH!M322,2)="15"),TK!$E$7=TH!F322),"x","")</f>
        <v/>
      </c>
      <c r="Z322" s="49" t="str">
        <f>IF(AND(B322&lt;=NKC!$N$8,B322&gt;=NKC!$M$8),"x","")</f>
        <v/>
      </c>
      <c r="AA322" s="715"/>
      <c r="AB322" s="493"/>
    </row>
    <row r="323" spans="1:28" s="199" customFormat="1" ht="15.75" customHeight="1">
      <c r="A323" s="716" t="str">
        <f>IF(B323&lt;&gt;"",IF(AND(B323&gt;=_TM1,B323&lt;=_TM2,OR(TH!L323="1111",TH!M323="1111")),TH!D323,""),"")</f>
        <v/>
      </c>
      <c r="B323" s="36">
        <f t="shared" si="15"/>
        <v>12</v>
      </c>
      <c r="C323" s="185">
        <f t="shared" si="16"/>
        <v>41274</v>
      </c>
      <c r="D323" s="185" t="s">
        <v>602</v>
      </c>
      <c r="E323" s="185">
        <v>41274</v>
      </c>
      <c r="F323" s="186" t="s">
        <v>554</v>
      </c>
      <c r="G323" s="724"/>
      <c r="H323" s="187" t="s">
        <v>601</v>
      </c>
      <c r="I323" s="243">
        <v>260</v>
      </c>
      <c r="J323" s="243">
        <v>19714.978885453587</v>
      </c>
      <c r="K323" s="501">
        <f t="shared" si="17"/>
        <v>5125895</v>
      </c>
      <c r="L323" s="502" t="s">
        <v>162</v>
      </c>
      <c r="M323" s="502" t="s">
        <v>352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>632</v>
      </c>
      <c r="V323" s="49" t="str">
        <f>IF(OR(TH!L323=TH!$V$7,M323=TH!$V$7),"x","")</f>
        <v/>
      </c>
      <c r="W323" s="49" t="str">
        <f>IF(AND(B323&gt;='IN-NX'!$P$3,B323&lt;='IN-NX'!$Q$3,'IN-NX'!$D$7=D323,OR(LEFT(L323,2)="15",AND(LEFT(M323,2)&lt;&gt;"15",LEFT(M323,2)&lt;&gt;"33"))),"x","")</f>
        <v/>
      </c>
      <c r="X323" s="49" t="str">
        <f>IF(AND(OR(LEFT(TH!L323,2)="15",LEFT(TH!M323,2)="15"),'152-CT'!$J$8=TH!F323),"x","")</f>
        <v/>
      </c>
      <c r="Y323" s="49" t="str">
        <f>IF(AND(OR(LEFT(TH!L323,2)="15",LEFT(TH!M323,2)="15"),TK!$E$7=TH!F323),"x","")</f>
        <v/>
      </c>
      <c r="Z323" s="49" t="str">
        <f>IF(AND(B323&lt;=NKC!$N$8,B323&gt;=NKC!$M$8),"x","")</f>
        <v/>
      </c>
      <c r="AA323" s="715"/>
      <c r="AB323" s="493"/>
    </row>
    <row r="324" spans="1:28" s="199" customFormat="1" ht="15.75" customHeight="1">
      <c r="A324" s="716" t="str">
        <f>IF(B324&lt;&gt;"",IF(AND(B324&gt;=_TM1,B324&lt;=_TM2,OR(TH!L324="1111",TH!M324="1111")),TH!D324,""),"")</f>
        <v/>
      </c>
      <c r="B324" s="36">
        <f t="shared" si="15"/>
        <v>12</v>
      </c>
      <c r="C324" s="185">
        <f t="shared" si="16"/>
        <v>41274</v>
      </c>
      <c r="D324" s="185" t="s">
        <v>602</v>
      </c>
      <c r="E324" s="185">
        <v>41274</v>
      </c>
      <c r="F324" s="186" t="s">
        <v>533</v>
      </c>
      <c r="G324" s="724"/>
      <c r="H324" s="187" t="s">
        <v>601</v>
      </c>
      <c r="I324" s="243">
        <v>500</v>
      </c>
      <c r="J324" s="243">
        <v>10890.978885453585</v>
      </c>
      <c r="K324" s="501">
        <f t="shared" si="17"/>
        <v>5445489</v>
      </c>
      <c r="L324" s="502" t="s">
        <v>162</v>
      </c>
      <c r="M324" s="502" t="s">
        <v>352</v>
      </c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>632</v>
      </c>
      <c r="V324" s="49" t="str">
        <f>IF(OR(TH!L324=TH!$V$7,M324=TH!$V$7),"x","")</f>
        <v/>
      </c>
      <c r="W324" s="49" t="str">
        <f>IF(AND(B324&gt;='IN-NX'!$P$3,B324&lt;='IN-NX'!$Q$3,'IN-NX'!$D$7=D324,OR(LEFT(L324,2)="15",AND(LEFT(M324,2)&lt;&gt;"15",LEFT(M324,2)&lt;&gt;"33"))),"x","")</f>
        <v/>
      </c>
      <c r="X324" s="49" t="str">
        <f>IF(AND(OR(LEFT(TH!L324,2)="15",LEFT(TH!M324,2)="15"),'152-CT'!$J$8=TH!F324),"x","")</f>
        <v/>
      </c>
      <c r="Y324" s="49" t="str">
        <f>IF(AND(OR(LEFT(TH!L324,2)="15",LEFT(TH!M324,2)="15"),TK!$E$7=TH!F324),"x","")</f>
        <v/>
      </c>
      <c r="Z324" s="49" t="str">
        <f>IF(AND(B324&lt;=NKC!$N$8,B324&gt;=NKC!$M$8),"x","")</f>
        <v/>
      </c>
      <c r="AA324" s="715"/>
      <c r="AB324" s="493"/>
    </row>
    <row r="325" spans="1:28" s="199" customFormat="1" ht="15.75" customHeight="1">
      <c r="A325" s="716" t="str">
        <f>IF(B325&lt;&gt;"",IF(AND(B325&gt;=_TM1,B325&lt;=_TM2,OR(TH!L325="1111",TH!M325="1111")),TH!D325,""),"")</f>
        <v/>
      </c>
      <c r="B325" s="36" t="str">
        <f t="shared" ref="B325:B329" si="18">IF(C325&lt;&gt;"",MONTH(C325),"")</f>
        <v/>
      </c>
      <c r="C325" s="185"/>
      <c r="D325" s="185"/>
      <c r="E325" s="185"/>
      <c r="F325" s="186"/>
      <c r="G325" s="724"/>
      <c r="H325" s="187"/>
      <c r="I325" s="243"/>
      <c r="J325" s="243"/>
      <c r="K325" s="501"/>
      <c r="L325" s="502"/>
      <c r="M325" s="502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49" t="str">
        <f>IF(OR(TH!L325=TH!$V$7,M325=TH!$V$7),"x","")</f>
        <v/>
      </c>
      <c r="W325" s="49" t="str">
        <f>IF(AND(B325&gt;='IN-NX'!$P$3,B325&lt;='IN-NX'!$Q$3,'IN-NX'!$D$7=D325,OR(LEFT(L325,2)="15",AND(LEFT(M325,2)&lt;&gt;"15",LEFT(M325,2)&lt;&gt;"33"))),"x","")</f>
        <v/>
      </c>
      <c r="X325" s="49" t="str">
        <f>IF(AND(OR(LEFT(TH!L325,2)="15",LEFT(TH!M325,2)="15"),'152-CT'!$J$8=TH!F325),"x","")</f>
        <v/>
      </c>
      <c r="Y325" s="49" t="str">
        <f>IF(AND(OR(LEFT(TH!L325,2)="15",LEFT(TH!M325,2)="15"),TK!$E$7=TH!F325),"x","")</f>
        <v/>
      </c>
      <c r="Z325" s="49" t="str">
        <f>IF(AND(B325&lt;=NKC!$N$8,B325&gt;=NKC!$M$8),"x","")</f>
        <v/>
      </c>
      <c r="AA325" s="715"/>
      <c r="AB325" s="493"/>
    </row>
    <row r="326" spans="1:28" s="199" customFormat="1" ht="15.75" customHeight="1">
      <c r="A326" s="716" t="str">
        <f>IF(B326&lt;&gt;"",IF(AND(B326&gt;=_TM1,B326&lt;=_TM2,OR(TH!L326="1111",TH!M326="1111")),TH!D326,""),"")</f>
        <v/>
      </c>
      <c r="B326" s="36" t="str">
        <f t="shared" ref="B326:B327" si="19">IF(C326&lt;&gt;"",MONTH(C326),"")</f>
        <v/>
      </c>
      <c r="C326" s="185"/>
      <c r="D326" s="185"/>
      <c r="E326" s="185"/>
      <c r="F326" s="186"/>
      <c r="G326" s="724"/>
      <c r="H326" s="187"/>
      <c r="I326" s="243"/>
      <c r="J326" s="243"/>
      <c r="K326" s="501"/>
      <c r="L326" s="502"/>
      <c r="M326" s="502"/>
      <c r="N326" s="49" t="str">
        <f>IF(AND('331-CT'!$E$7=TH!H326,OR(L326="331",M326="331")),"331",IF(AND(OR(L326="131",M326="131"),H326='131-CT'!$E$7),"131",""))</f>
        <v/>
      </c>
      <c r="O326" s="49" t="str">
        <f>IF(AND($B326&gt;='111'!$N$11,$B326&lt;='111'!$O$11,OR($L326=$O$7,$M326=$O$7)),"x","")</f>
        <v/>
      </c>
      <c r="P326" s="49" t="str">
        <f>IF(AND($L326=$O$7,$B326&lt;'111'!$N$11),"x","")</f>
        <v/>
      </c>
      <c r="Q326" s="49" t="str">
        <f>IF(AND($M326=$O$7,$B326&lt;'111'!$N$11),"x","")</f>
        <v/>
      </c>
      <c r="R326" s="49" t="str">
        <f>IF(ISERROR(FIND('112'!$M$9,G326,1)),"",IF((AND(FIND('112'!$M$9,G326,1)&gt;=1,$B326&gt;='112'!$N$8,$B326&lt;='112'!$O$8,OR($L326='112'!$I$6,$M326='112'!$I$6))),"x",""))</f>
        <v/>
      </c>
      <c r="S326" s="49" t="str">
        <f>IF(ISERROR(FIND('112'!$M$9,G326,1)),"",IF((AND(LEFT(G326,2)=LEFT('112'!$M$9,2),B326&lt;'112'!$N$8,$L326='112'!$I$6)),"x",""))</f>
        <v/>
      </c>
      <c r="T326" s="49" t="str">
        <f>IF(ISERROR(FIND('112'!$M$9,G326,1)),"",IF((AND(RIGHT(G326,2)=RIGHT('112'!$M$9,2),B326&lt;'112'!$N$8,$M326='112'!$I$6)),"x",""))</f>
        <v/>
      </c>
      <c r="U326" s="4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V326" s="49" t="str">
        <f>IF(OR(TH!L326=TH!$V$7,M326=TH!$V$7),"x","")</f>
        <v/>
      </c>
      <c r="W326" s="49" t="str">
        <f>IF(AND(B326&gt;='IN-NX'!$P$3,B326&lt;='IN-NX'!$Q$3,'IN-NX'!$D$7=D326,OR(LEFT(L326,2)="15",AND(LEFT(M326,2)&lt;&gt;"15",LEFT(M326,2)&lt;&gt;"33"))),"x","")</f>
        <v/>
      </c>
      <c r="X326" s="49" t="str">
        <f>IF(AND(OR(LEFT(TH!L326,2)="15",LEFT(TH!M326,2)="15"),'152-CT'!$J$8=TH!F326),"x","")</f>
        <v/>
      </c>
      <c r="Y326" s="49" t="str">
        <f>IF(AND(OR(LEFT(TH!L326,2)="15",LEFT(TH!M326,2)="15"),TK!$E$7=TH!F326),"x","")</f>
        <v/>
      </c>
      <c r="Z326" s="49" t="str">
        <f>IF(AND(B326&lt;=NKC!$N$8,B326&gt;=NKC!$M$8),"x","")</f>
        <v/>
      </c>
      <c r="AA326" s="715"/>
      <c r="AB326" s="493"/>
    </row>
    <row r="327" spans="1:28" s="199" customFormat="1" ht="15.75" customHeight="1">
      <c r="A327" s="716" t="str">
        <f>IF(B327&lt;&gt;"",IF(AND(B327&gt;=_TM1,B327&lt;=_TM2,OR(TH!L327="1111",TH!M327="1111")),TH!D327,""),"")</f>
        <v/>
      </c>
      <c r="B327" s="36" t="str">
        <f t="shared" si="19"/>
        <v/>
      </c>
      <c r="C327" s="185"/>
      <c r="D327" s="185"/>
      <c r="E327" s="185"/>
      <c r="F327" s="186"/>
      <c r="G327" s="724"/>
      <c r="H327" s="187"/>
      <c r="I327" s="243"/>
      <c r="J327" s="243"/>
      <c r="K327" s="501"/>
      <c r="L327" s="502"/>
      <c r="M327" s="502"/>
      <c r="N327" s="49" t="str">
        <f>IF(AND('331-CT'!$E$7=TH!H327,OR(L327="331",M327="331")),"331",IF(AND(OR(L327="131",M327="131"),H327='131-CT'!$E$7),"131",""))</f>
        <v/>
      </c>
      <c r="O327" s="49" t="str">
        <f>IF(AND($B327&gt;='111'!$N$11,$B327&lt;='111'!$O$11,OR($L327=$O$7,$M327=$O$7)),"x","")</f>
        <v/>
      </c>
      <c r="P327" s="49" t="str">
        <f>IF(AND($L327=$O$7,$B327&lt;'111'!$N$11),"x","")</f>
        <v/>
      </c>
      <c r="Q327" s="49" t="str">
        <f>IF(AND($M327=$O$7,$B327&lt;'111'!$N$11),"x","")</f>
        <v/>
      </c>
      <c r="R327" s="49" t="str">
        <f>IF(ISERROR(FIND('112'!$M$9,G327,1)),"",IF((AND(FIND('112'!$M$9,G327,1)&gt;=1,$B327&gt;='112'!$N$8,$B327&lt;='112'!$O$8,OR($L327='112'!$I$6,$M327='112'!$I$6))),"x",""))</f>
        <v/>
      </c>
      <c r="S327" s="49" t="str">
        <f>IF(ISERROR(FIND('112'!$M$9,G327,1)),"",IF((AND(LEFT(G327,2)=LEFT('112'!$M$9,2),B327&lt;'112'!$N$8,$L327='112'!$I$6)),"x",""))</f>
        <v/>
      </c>
      <c r="T327" s="49" t="str">
        <f>IF(ISERROR(FIND('112'!$M$9,G327,1)),"",IF((AND(RIGHT(G327,2)=RIGHT('112'!$M$9,2),B327&lt;'112'!$N$8,$M327='112'!$I$6)),"x",""))</f>
        <v/>
      </c>
      <c r="U327" s="4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V327" s="49" t="str">
        <f>IF(OR(TH!L327=TH!$V$7,M327=TH!$V$7),"x","")</f>
        <v/>
      </c>
      <c r="W327" s="49" t="str">
        <f>IF(AND(B327&gt;='IN-NX'!$P$3,B327&lt;='IN-NX'!$Q$3,'IN-NX'!$D$7=D327,OR(LEFT(L327,2)="15",AND(LEFT(M327,2)&lt;&gt;"15",LEFT(M327,2)&lt;&gt;"33"))),"x","")</f>
        <v/>
      </c>
      <c r="X327" s="49" t="str">
        <f>IF(AND(OR(LEFT(TH!L327,2)="15",LEFT(TH!M327,2)="15"),'152-CT'!$J$8=TH!F327),"x","")</f>
        <v/>
      </c>
      <c r="Y327" s="49" t="str">
        <f>IF(AND(OR(LEFT(TH!L327,2)="15",LEFT(TH!M327,2)="15"),TK!$E$7=TH!F327),"x","")</f>
        <v/>
      </c>
      <c r="Z327" s="49" t="str">
        <f>IF(AND(B327&lt;=NKC!$N$8,B327&gt;=NKC!$M$8),"x","")</f>
        <v/>
      </c>
      <c r="AA327" s="715"/>
      <c r="AB327" s="493"/>
    </row>
    <row r="328" spans="1:28" s="199" customFormat="1" ht="15.75" customHeight="1">
      <c r="A328" s="716" t="str">
        <f>IF(B328&lt;&gt;"",IF(AND(B328&gt;=_TM1,B328&lt;=_TM2,OR(TH!L328="1111",TH!M328="1111")),TH!D328,""),"")</f>
        <v/>
      </c>
      <c r="B328" s="36" t="str">
        <f t="shared" si="18"/>
        <v/>
      </c>
      <c r="C328" s="185"/>
      <c r="D328" s="185"/>
      <c r="E328" s="185"/>
      <c r="F328" s="186"/>
      <c r="G328" s="724"/>
      <c r="H328" s="187"/>
      <c r="I328" s="243"/>
      <c r="J328" s="243"/>
      <c r="K328" s="501"/>
      <c r="L328" s="502"/>
      <c r="M328" s="502"/>
      <c r="N328" s="49" t="str">
        <f>IF(AND('331-CT'!$E$7=TH!H328,OR(L328="331",M328="331")),"331",IF(AND(OR(L328="131",M328="131"),H328='131-CT'!$E$7),"131",""))</f>
        <v/>
      </c>
      <c r="O328" s="49" t="str">
        <f>IF(AND($B328&gt;='111'!$N$11,$B328&lt;='111'!$O$11,OR($L328=$O$7,$M328=$O$7)),"x","")</f>
        <v/>
      </c>
      <c r="P328" s="49" t="str">
        <f>IF(AND($L328=$O$7,$B328&lt;'111'!$N$11),"x","")</f>
        <v/>
      </c>
      <c r="Q328" s="49" t="str">
        <f>IF(AND($M328=$O$7,$B328&lt;'111'!$N$11),"x","")</f>
        <v/>
      </c>
      <c r="R328" s="49" t="str">
        <f>IF(ISERROR(FIND('112'!$M$9,G328,1)),"",IF((AND(FIND('112'!$M$9,G328,1)&gt;=1,$B328&gt;='112'!$N$8,$B328&lt;='112'!$O$8,OR($L328='112'!$I$6,$M328='112'!$I$6))),"x",""))</f>
        <v/>
      </c>
      <c r="S328" s="49" t="str">
        <f>IF(ISERROR(FIND('112'!$M$9,G328,1)),"",IF((AND(LEFT(G328,2)=LEFT('112'!$M$9,2),B328&lt;'112'!$N$8,$L328='112'!$I$6)),"x",""))</f>
        <v/>
      </c>
      <c r="T328" s="49" t="str">
        <f>IF(ISERROR(FIND('112'!$M$9,G328,1)),"",IF((AND(RIGHT(G328,2)=RIGHT('112'!$M$9,2),B328&lt;'112'!$N$8,$M328='112'!$I$6)),"x",""))</f>
        <v/>
      </c>
      <c r="U328" s="4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V328" s="49" t="str">
        <f>IF(OR(TH!L328=TH!$V$7,M328=TH!$V$7),"x","")</f>
        <v/>
      </c>
      <c r="W328" s="49" t="str">
        <f>IF(AND(B328&gt;='IN-NX'!$P$3,B328&lt;='IN-NX'!$Q$3,'IN-NX'!$D$7=D328,OR(LEFT(L328,2)="15",AND(LEFT(M328,2)&lt;&gt;"15",LEFT(M328,2)&lt;&gt;"33"))),"x","")</f>
        <v/>
      </c>
      <c r="X328" s="49" t="str">
        <f>IF(AND(OR(LEFT(TH!L328,2)="15",LEFT(TH!M328,2)="15"),'152-CT'!$J$8=TH!F328),"x","")</f>
        <v/>
      </c>
      <c r="Y328" s="49" t="str">
        <f>IF(AND(OR(LEFT(TH!L328,2)="15",LEFT(TH!M328,2)="15"),TK!$E$7=TH!F328),"x","")</f>
        <v/>
      </c>
      <c r="Z328" s="49" t="str">
        <f>IF(AND(B328&lt;=NKC!$N$8,B328&gt;=NKC!$M$8),"x","")</f>
        <v/>
      </c>
      <c r="AA328" s="715"/>
      <c r="AB328" s="493"/>
    </row>
    <row r="329" spans="1:28" s="199" customFormat="1" ht="15.75" customHeight="1">
      <c r="A329" s="716" t="str">
        <f>IF(B329&lt;&gt;"",IF(AND(B329&gt;=_TM1,B329&lt;=_TM2,OR(TH!L329="1111",TH!M329="1111")),TH!D329,""),"")</f>
        <v/>
      </c>
      <c r="B329" s="36" t="str">
        <f t="shared" si="18"/>
        <v/>
      </c>
      <c r="C329" s="185"/>
      <c r="D329" s="185"/>
      <c r="E329" s="185"/>
      <c r="F329" s="186"/>
      <c r="G329" s="724"/>
      <c r="H329" s="187"/>
      <c r="I329" s="243"/>
      <c r="J329" s="243"/>
      <c r="K329" s="501"/>
      <c r="L329" s="502"/>
      <c r="M329" s="502"/>
      <c r="N329" s="49" t="str">
        <f>IF(AND('331-CT'!$E$7=TH!H329,OR(L329="331",M329="331")),"331",IF(AND(OR(L329="131",M329="131"),H329='131-CT'!$E$7),"131",""))</f>
        <v/>
      </c>
      <c r="O329" s="49" t="str">
        <f>IF(AND($B329&gt;='111'!$N$11,$B329&lt;='111'!$O$11,OR($L329=$O$7,$M329=$O$7)),"x","")</f>
        <v/>
      </c>
      <c r="P329" s="49" t="str">
        <f>IF(AND($L329=$O$7,$B329&lt;'111'!$N$11),"x","")</f>
        <v/>
      </c>
      <c r="Q329" s="49" t="str">
        <f>IF(AND($M329=$O$7,$B329&lt;'111'!$N$11),"x","")</f>
        <v/>
      </c>
      <c r="R329" s="49" t="str">
        <f>IF(ISERROR(FIND('112'!$M$9,G329,1)),"",IF((AND(FIND('112'!$M$9,G329,1)&gt;=1,$B329&gt;='112'!$N$8,$B329&lt;='112'!$O$8,OR($L329='112'!$I$6,$M329='112'!$I$6))),"x",""))</f>
        <v/>
      </c>
      <c r="S329" s="49" t="str">
        <f>IF(ISERROR(FIND('112'!$M$9,G329,1)),"",IF((AND(LEFT(G329,2)=LEFT('112'!$M$9,2),B329&lt;'112'!$N$8,$L329='112'!$I$6)),"x",""))</f>
        <v/>
      </c>
      <c r="T329" s="49" t="str">
        <f>IF(ISERROR(FIND('112'!$M$9,G329,1)),"",IF((AND(RIGHT(G329,2)=RIGHT('112'!$M$9,2),B329&lt;'112'!$N$8,$M329='112'!$I$6)),"x",""))</f>
        <v/>
      </c>
      <c r="U329" s="4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V329" s="49" t="str">
        <f>IF(OR(TH!L329=TH!$V$7,M329=TH!$V$7),"x","")</f>
        <v/>
      </c>
      <c r="W329" s="49" t="str">
        <f>IF(AND(B329&gt;='IN-NX'!$P$3,B329&lt;='IN-NX'!$Q$3,'IN-NX'!$D$7=D329,OR(LEFT(L329,2)="15",AND(LEFT(M329,2)&lt;&gt;"15",LEFT(M329,2)&lt;&gt;"33"))),"x","")</f>
        <v/>
      </c>
      <c r="X329" s="49" t="str">
        <f>IF(AND(OR(LEFT(TH!L329,2)="15",LEFT(TH!M329,2)="15"),'152-CT'!$J$8=TH!F329),"x","")</f>
        <v/>
      </c>
      <c r="Y329" s="49" t="str">
        <f>IF(AND(OR(LEFT(TH!L329,2)="15",LEFT(TH!M329,2)="15"),TK!$E$7=TH!F329),"x","")</f>
        <v/>
      </c>
      <c r="Z329" s="49" t="str">
        <f>IF(AND(B329&lt;=NKC!$N$8,B329&gt;=NKC!$M$8),"x","")</f>
        <v/>
      </c>
      <c r="AA329" s="715"/>
      <c r="AB329" s="493"/>
    </row>
    <row r="330" spans="1:28" s="199" customFormat="1">
      <c r="A330" s="194"/>
      <c r="G330" s="725"/>
      <c r="H330" s="682"/>
      <c r="I330" s="682"/>
      <c r="J330" s="682"/>
    </row>
    <row r="331" spans="1:28" s="199" customFormat="1">
      <c r="A331" s="194"/>
      <c r="G331" s="725"/>
      <c r="H331" s="682"/>
      <c r="I331" s="682"/>
      <c r="J331" s="682"/>
      <c r="K331" s="726">
        <f>SUBTOTAL(9,K10:K329)</f>
        <v>4881678507</v>
      </c>
    </row>
  </sheetData>
  <autoFilter ref="A9:AD329"/>
  <sortState ref="A74:AD335">
    <sortCondition ref="C74:C335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1" customWidth="1"/>
    <col min="2" max="2" width="9.28515625" style="521" customWidth="1"/>
    <col min="3" max="3" width="10" style="521" customWidth="1"/>
    <col min="4" max="4" width="41.42578125" style="521" customWidth="1"/>
    <col min="5" max="5" width="6" style="521" customWidth="1"/>
    <col min="6" max="6" width="7.85546875" style="521" customWidth="1"/>
    <col min="7" max="7" width="8.5703125" style="521" customWidth="1"/>
    <col min="8" max="8" width="13.85546875" style="521" customWidth="1"/>
    <col min="9" max="9" width="14.140625" style="521" customWidth="1"/>
    <col min="10" max="11" width="9.140625" style="521"/>
    <col min="12" max="12" width="3.5703125" style="521" customWidth="1"/>
    <col min="13" max="256" width="9.140625" style="521"/>
    <col min="257" max="257" width="13" style="521" customWidth="1"/>
    <col min="258" max="258" width="9.140625" style="521"/>
    <col min="259" max="259" width="13" style="521" customWidth="1"/>
    <col min="260" max="260" width="29.7109375" style="521" customWidth="1"/>
    <col min="261" max="261" width="7.7109375" style="521" customWidth="1"/>
    <col min="262" max="262" width="6" style="521" customWidth="1"/>
    <col min="263" max="263" width="11.5703125" style="521" customWidth="1"/>
    <col min="264" max="264" width="13.42578125" style="521" customWidth="1"/>
    <col min="265" max="265" width="13.85546875" style="521" customWidth="1"/>
    <col min="266" max="512" width="9.140625" style="521"/>
    <col min="513" max="513" width="13" style="521" customWidth="1"/>
    <col min="514" max="514" width="9.140625" style="521"/>
    <col min="515" max="515" width="13" style="521" customWidth="1"/>
    <col min="516" max="516" width="29.7109375" style="521" customWidth="1"/>
    <col min="517" max="517" width="7.7109375" style="521" customWidth="1"/>
    <col min="518" max="518" width="6" style="521" customWidth="1"/>
    <col min="519" max="519" width="11.5703125" style="521" customWidth="1"/>
    <col min="520" max="520" width="13.42578125" style="521" customWidth="1"/>
    <col min="521" max="521" width="13.85546875" style="521" customWidth="1"/>
    <col min="522" max="768" width="9.140625" style="521"/>
    <col min="769" max="769" width="13" style="521" customWidth="1"/>
    <col min="770" max="770" width="9.140625" style="521"/>
    <col min="771" max="771" width="13" style="521" customWidth="1"/>
    <col min="772" max="772" width="29.7109375" style="521" customWidth="1"/>
    <col min="773" max="773" width="7.7109375" style="521" customWidth="1"/>
    <col min="774" max="774" width="6" style="521" customWidth="1"/>
    <col min="775" max="775" width="11.5703125" style="521" customWidth="1"/>
    <col min="776" max="776" width="13.42578125" style="521" customWidth="1"/>
    <col min="777" max="777" width="13.85546875" style="521" customWidth="1"/>
    <col min="778" max="1024" width="9.140625" style="521"/>
    <col min="1025" max="1025" width="13" style="521" customWidth="1"/>
    <col min="1026" max="1026" width="9.140625" style="521"/>
    <col min="1027" max="1027" width="13" style="521" customWidth="1"/>
    <col min="1028" max="1028" width="29.7109375" style="521" customWidth="1"/>
    <col min="1029" max="1029" width="7.7109375" style="521" customWidth="1"/>
    <col min="1030" max="1030" width="6" style="521" customWidth="1"/>
    <col min="1031" max="1031" width="11.5703125" style="521" customWidth="1"/>
    <col min="1032" max="1032" width="13.42578125" style="521" customWidth="1"/>
    <col min="1033" max="1033" width="13.85546875" style="521" customWidth="1"/>
    <col min="1034" max="1280" width="9.140625" style="521"/>
    <col min="1281" max="1281" width="13" style="521" customWidth="1"/>
    <col min="1282" max="1282" width="9.140625" style="521"/>
    <col min="1283" max="1283" width="13" style="521" customWidth="1"/>
    <col min="1284" max="1284" width="29.7109375" style="521" customWidth="1"/>
    <col min="1285" max="1285" width="7.7109375" style="521" customWidth="1"/>
    <col min="1286" max="1286" width="6" style="521" customWidth="1"/>
    <col min="1287" max="1287" width="11.5703125" style="521" customWidth="1"/>
    <col min="1288" max="1288" width="13.42578125" style="521" customWidth="1"/>
    <col min="1289" max="1289" width="13.85546875" style="521" customWidth="1"/>
    <col min="1290" max="1536" width="9.140625" style="521"/>
    <col min="1537" max="1537" width="13" style="521" customWidth="1"/>
    <col min="1538" max="1538" width="9.140625" style="521"/>
    <col min="1539" max="1539" width="13" style="521" customWidth="1"/>
    <col min="1540" max="1540" width="29.7109375" style="521" customWidth="1"/>
    <col min="1541" max="1541" width="7.7109375" style="521" customWidth="1"/>
    <col min="1542" max="1542" width="6" style="521" customWidth="1"/>
    <col min="1543" max="1543" width="11.5703125" style="521" customWidth="1"/>
    <col min="1544" max="1544" width="13.42578125" style="521" customWidth="1"/>
    <col min="1545" max="1545" width="13.85546875" style="521" customWidth="1"/>
    <col min="1546" max="1792" width="9.140625" style="521"/>
    <col min="1793" max="1793" width="13" style="521" customWidth="1"/>
    <col min="1794" max="1794" width="9.140625" style="521"/>
    <col min="1795" max="1795" width="13" style="521" customWidth="1"/>
    <col min="1796" max="1796" width="29.7109375" style="521" customWidth="1"/>
    <col min="1797" max="1797" width="7.7109375" style="521" customWidth="1"/>
    <col min="1798" max="1798" width="6" style="521" customWidth="1"/>
    <col min="1799" max="1799" width="11.5703125" style="521" customWidth="1"/>
    <col min="1800" max="1800" width="13.42578125" style="521" customWidth="1"/>
    <col min="1801" max="1801" width="13.85546875" style="521" customWidth="1"/>
    <col min="1802" max="2048" width="9.140625" style="521"/>
    <col min="2049" max="2049" width="13" style="521" customWidth="1"/>
    <col min="2050" max="2050" width="9.140625" style="521"/>
    <col min="2051" max="2051" width="13" style="521" customWidth="1"/>
    <col min="2052" max="2052" width="29.7109375" style="521" customWidth="1"/>
    <col min="2053" max="2053" width="7.7109375" style="521" customWidth="1"/>
    <col min="2054" max="2054" width="6" style="521" customWidth="1"/>
    <col min="2055" max="2055" width="11.5703125" style="521" customWidth="1"/>
    <col min="2056" max="2056" width="13.42578125" style="521" customWidth="1"/>
    <col min="2057" max="2057" width="13.85546875" style="521" customWidth="1"/>
    <col min="2058" max="2304" width="9.140625" style="521"/>
    <col min="2305" max="2305" width="13" style="521" customWidth="1"/>
    <col min="2306" max="2306" width="9.140625" style="521"/>
    <col min="2307" max="2307" width="13" style="521" customWidth="1"/>
    <col min="2308" max="2308" width="29.7109375" style="521" customWidth="1"/>
    <col min="2309" max="2309" width="7.7109375" style="521" customWidth="1"/>
    <col min="2310" max="2310" width="6" style="521" customWidth="1"/>
    <col min="2311" max="2311" width="11.5703125" style="521" customWidth="1"/>
    <col min="2312" max="2312" width="13.42578125" style="521" customWidth="1"/>
    <col min="2313" max="2313" width="13.85546875" style="521" customWidth="1"/>
    <col min="2314" max="2560" width="9.140625" style="521"/>
    <col min="2561" max="2561" width="13" style="521" customWidth="1"/>
    <col min="2562" max="2562" width="9.140625" style="521"/>
    <col min="2563" max="2563" width="13" style="521" customWidth="1"/>
    <col min="2564" max="2564" width="29.7109375" style="521" customWidth="1"/>
    <col min="2565" max="2565" width="7.7109375" style="521" customWidth="1"/>
    <col min="2566" max="2566" width="6" style="521" customWidth="1"/>
    <col min="2567" max="2567" width="11.5703125" style="521" customWidth="1"/>
    <col min="2568" max="2568" width="13.42578125" style="521" customWidth="1"/>
    <col min="2569" max="2569" width="13.85546875" style="521" customWidth="1"/>
    <col min="2570" max="2816" width="9.140625" style="521"/>
    <col min="2817" max="2817" width="13" style="521" customWidth="1"/>
    <col min="2818" max="2818" width="9.140625" style="521"/>
    <col min="2819" max="2819" width="13" style="521" customWidth="1"/>
    <col min="2820" max="2820" width="29.7109375" style="521" customWidth="1"/>
    <col min="2821" max="2821" width="7.7109375" style="521" customWidth="1"/>
    <col min="2822" max="2822" width="6" style="521" customWidth="1"/>
    <col min="2823" max="2823" width="11.5703125" style="521" customWidth="1"/>
    <col min="2824" max="2824" width="13.42578125" style="521" customWidth="1"/>
    <col min="2825" max="2825" width="13.85546875" style="521" customWidth="1"/>
    <col min="2826" max="3072" width="9.140625" style="521"/>
    <col min="3073" max="3073" width="13" style="521" customWidth="1"/>
    <col min="3074" max="3074" width="9.140625" style="521"/>
    <col min="3075" max="3075" width="13" style="521" customWidth="1"/>
    <col min="3076" max="3076" width="29.7109375" style="521" customWidth="1"/>
    <col min="3077" max="3077" width="7.7109375" style="521" customWidth="1"/>
    <col min="3078" max="3078" width="6" style="521" customWidth="1"/>
    <col min="3079" max="3079" width="11.5703125" style="521" customWidth="1"/>
    <col min="3080" max="3080" width="13.42578125" style="521" customWidth="1"/>
    <col min="3081" max="3081" width="13.85546875" style="521" customWidth="1"/>
    <col min="3082" max="3328" width="9.140625" style="521"/>
    <col min="3329" max="3329" width="13" style="521" customWidth="1"/>
    <col min="3330" max="3330" width="9.140625" style="521"/>
    <col min="3331" max="3331" width="13" style="521" customWidth="1"/>
    <col min="3332" max="3332" width="29.7109375" style="521" customWidth="1"/>
    <col min="3333" max="3333" width="7.7109375" style="521" customWidth="1"/>
    <col min="3334" max="3334" width="6" style="521" customWidth="1"/>
    <col min="3335" max="3335" width="11.5703125" style="521" customWidth="1"/>
    <col min="3336" max="3336" width="13.42578125" style="521" customWidth="1"/>
    <col min="3337" max="3337" width="13.85546875" style="521" customWidth="1"/>
    <col min="3338" max="3584" width="9.140625" style="521"/>
    <col min="3585" max="3585" width="13" style="521" customWidth="1"/>
    <col min="3586" max="3586" width="9.140625" style="521"/>
    <col min="3587" max="3587" width="13" style="521" customWidth="1"/>
    <col min="3588" max="3588" width="29.7109375" style="521" customWidth="1"/>
    <col min="3589" max="3589" width="7.7109375" style="521" customWidth="1"/>
    <col min="3590" max="3590" width="6" style="521" customWidth="1"/>
    <col min="3591" max="3591" width="11.5703125" style="521" customWidth="1"/>
    <col min="3592" max="3592" width="13.42578125" style="521" customWidth="1"/>
    <col min="3593" max="3593" width="13.85546875" style="521" customWidth="1"/>
    <col min="3594" max="3840" width="9.140625" style="521"/>
    <col min="3841" max="3841" width="13" style="521" customWidth="1"/>
    <col min="3842" max="3842" width="9.140625" style="521"/>
    <col min="3843" max="3843" width="13" style="521" customWidth="1"/>
    <col min="3844" max="3844" width="29.7109375" style="521" customWidth="1"/>
    <col min="3845" max="3845" width="7.7109375" style="521" customWidth="1"/>
    <col min="3846" max="3846" width="6" style="521" customWidth="1"/>
    <col min="3847" max="3847" width="11.5703125" style="521" customWidth="1"/>
    <col min="3848" max="3848" width="13.42578125" style="521" customWidth="1"/>
    <col min="3849" max="3849" width="13.85546875" style="521" customWidth="1"/>
    <col min="3850" max="4096" width="9.140625" style="521"/>
    <col min="4097" max="4097" width="13" style="521" customWidth="1"/>
    <col min="4098" max="4098" width="9.140625" style="521"/>
    <col min="4099" max="4099" width="13" style="521" customWidth="1"/>
    <col min="4100" max="4100" width="29.7109375" style="521" customWidth="1"/>
    <col min="4101" max="4101" width="7.7109375" style="521" customWidth="1"/>
    <col min="4102" max="4102" width="6" style="521" customWidth="1"/>
    <col min="4103" max="4103" width="11.5703125" style="521" customWidth="1"/>
    <col min="4104" max="4104" width="13.42578125" style="521" customWidth="1"/>
    <col min="4105" max="4105" width="13.85546875" style="521" customWidth="1"/>
    <col min="4106" max="4352" width="9.140625" style="521"/>
    <col min="4353" max="4353" width="13" style="521" customWidth="1"/>
    <col min="4354" max="4354" width="9.140625" style="521"/>
    <col min="4355" max="4355" width="13" style="521" customWidth="1"/>
    <col min="4356" max="4356" width="29.7109375" style="521" customWidth="1"/>
    <col min="4357" max="4357" width="7.7109375" style="521" customWidth="1"/>
    <col min="4358" max="4358" width="6" style="521" customWidth="1"/>
    <col min="4359" max="4359" width="11.5703125" style="521" customWidth="1"/>
    <col min="4360" max="4360" width="13.42578125" style="521" customWidth="1"/>
    <col min="4361" max="4361" width="13.85546875" style="521" customWidth="1"/>
    <col min="4362" max="4608" width="9.140625" style="521"/>
    <col min="4609" max="4609" width="13" style="521" customWidth="1"/>
    <col min="4610" max="4610" width="9.140625" style="521"/>
    <col min="4611" max="4611" width="13" style="521" customWidth="1"/>
    <col min="4612" max="4612" width="29.7109375" style="521" customWidth="1"/>
    <col min="4613" max="4613" width="7.7109375" style="521" customWidth="1"/>
    <col min="4614" max="4614" width="6" style="521" customWidth="1"/>
    <col min="4615" max="4615" width="11.5703125" style="521" customWidth="1"/>
    <col min="4616" max="4616" width="13.42578125" style="521" customWidth="1"/>
    <col min="4617" max="4617" width="13.85546875" style="521" customWidth="1"/>
    <col min="4618" max="4864" width="9.140625" style="521"/>
    <col min="4865" max="4865" width="13" style="521" customWidth="1"/>
    <col min="4866" max="4866" width="9.140625" style="521"/>
    <col min="4867" max="4867" width="13" style="521" customWidth="1"/>
    <col min="4868" max="4868" width="29.7109375" style="521" customWidth="1"/>
    <col min="4869" max="4869" width="7.7109375" style="521" customWidth="1"/>
    <col min="4870" max="4870" width="6" style="521" customWidth="1"/>
    <col min="4871" max="4871" width="11.5703125" style="521" customWidth="1"/>
    <col min="4872" max="4872" width="13.42578125" style="521" customWidth="1"/>
    <col min="4873" max="4873" width="13.85546875" style="521" customWidth="1"/>
    <col min="4874" max="5120" width="9.140625" style="521"/>
    <col min="5121" max="5121" width="13" style="521" customWidth="1"/>
    <col min="5122" max="5122" width="9.140625" style="521"/>
    <col min="5123" max="5123" width="13" style="521" customWidth="1"/>
    <col min="5124" max="5124" width="29.7109375" style="521" customWidth="1"/>
    <col min="5125" max="5125" width="7.7109375" style="521" customWidth="1"/>
    <col min="5126" max="5126" width="6" style="521" customWidth="1"/>
    <col min="5127" max="5127" width="11.5703125" style="521" customWidth="1"/>
    <col min="5128" max="5128" width="13.42578125" style="521" customWidth="1"/>
    <col min="5129" max="5129" width="13.85546875" style="521" customWidth="1"/>
    <col min="5130" max="5376" width="9.140625" style="521"/>
    <col min="5377" max="5377" width="13" style="521" customWidth="1"/>
    <col min="5378" max="5378" width="9.140625" style="521"/>
    <col min="5379" max="5379" width="13" style="521" customWidth="1"/>
    <col min="5380" max="5380" width="29.7109375" style="521" customWidth="1"/>
    <col min="5381" max="5381" width="7.7109375" style="521" customWidth="1"/>
    <col min="5382" max="5382" width="6" style="521" customWidth="1"/>
    <col min="5383" max="5383" width="11.5703125" style="521" customWidth="1"/>
    <col min="5384" max="5384" width="13.42578125" style="521" customWidth="1"/>
    <col min="5385" max="5385" width="13.85546875" style="521" customWidth="1"/>
    <col min="5386" max="5632" width="9.140625" style="521"/>
    <col min="5633" max="5633" width="13" style="521" customWidth="1"/>
    <col min="5634" max="5634" width="9.140625" style="521"/>
    <col min="5635" max="5635" width="13" style="521" customWidth="1"/>
    <col min="5636" max="5636" width="29.7109375" style="521" customWidth="1"/>
    <col min="5637" max="5637" width="7.7109375" style="521" customWidth="1"/>
    <col min="5638" max="5638" width="6" style="521" customWidth="1"/>
    <col min="5639" max="5639" width="11.5703125" style="521" customWidth="1"/>
    <col min="5640" max="5640" width="13.42578125" style="521" customWidth="1"/>
    <col min="5641" max="5641" width="13.85546875" style="521" customWidth="1"/>
    <col min="5642" max="5888" width="9.140625" style="521"/>
    <col min="5889" max="5889" width="13" style="521" customWidth="1"/>
    <col min="5890" max="5890" width="9.140625" style="521"/>
    <col min="5891" max="5891" width="13" style="521" customWidth="1"/>
    <col min="5892" max="5892" width="29.7109375" style="521" customWidth="1"/>
    <col min="5893" max="5893" width="7.7109375" style="521" customWidth="1"/>
    <col min="5894" max="5894" width="6" style="521" customWidth="1"/>
    <col min="5895" max="5895" width="11.5703125" style="521" customWidth="1"/>
    <col min="5896" max="5896" width="13.42578125" style="521" customWidth="1"/>
    <col min="5897" max="5897" width="13.85546875" style="521" customWidth="1"/>
    <col min="5898" max="6144" width="9.140625" style="521"/>
    <col min="6145" max="6145" width="13" style="521" customWidth="1"/>
    <col min="6146" max="6146" width="9.140625" style="521"/>
    <col min="6147" max="6147" width="13" style="521" customWidth="1"/>
    <col min="6148" max="6148" width="29.7109375" style="521" customWidth="1"/>
    <col min="6149" max="6149" width="7.7109375" style="521" customWidth="1"/>
    <col min="6150" max="6150" width="6" style="521" customWidth="1"/>
    <col min="6151" max="6151" width="11.5703125" style="521" customWidth="1"/>
    <col min="6152" max="6152" width="13.42578125" style="521" customWidth="1"/>
    <col min="6153" max="6153" width="13.85546875" style="521" customWidth="1"/>
    <col min="6154" max="6400" width="9.140625" style="521"/>
    <col min="6401" max="6401" width="13" style="521" customWidth="1"/>
    <col min="6402" max="6402" width="9.140625" style="521"/>
    <col min="6403" max="6403" width="13" style="521" customWidth="1"/>
    <col min="6404" max="6404" width="29.7109375" style="521" customWidth="1"/>
    <col min="6405" max="6405" width="7.7109375" style="521" customWidth="1"/>
    <col min="6406" max="6406" width="6" style="521" customWidth="1"/>
    <col min="6407" max="6407" width="11.5703125" style="521" customWidth="1"/>
    <col min="6408" max="6408" width="13.42578125" style="521" customWidth="1"/>
    <col min="6409" max="6409" width="13.85546875" style="521" customWidth="1"/>
    <col min="6410" max="6656" width="9.140625" style="521"/>
    <col min="6657" max="6657" width="13" style="521" customWidth="1"/>
    <col min="6658" max="6658" width="9.140625" style="521"/>
    <col min="6659" max="6659" width="13" style="521" customWidth="1"/>
    <col min="6660" max="6660" width="29.7109375" style="521" customWidth="1"/>
    <col min="6661" max="6661" width="7.7109375" style="521" customWidth="1"/>
    <col min="6662" max="6662" width="6" style="521" customWidth="1"/>
    <col min="6663" max="6663" width="11.5703125" style="521" customWidth="1"/>
    <col min="6664" max="6664" width="13.42578125" style="521" customWidth="1"/>
    <col min="6665" max="6665" width="13.85546875" style="521" customWidth="1"/>
    <col min="6666" max="6912" width="9.140625" style="521"/>
    <col min="6913" max="6913" width="13" style="521" customWidth="1"/>
    <col min="6914" max="6914" width="9.140625" style="521"/>
    <col min="6915" max="6915" width="13" style="521" customWidth="1"/>
    <col min="6916" max="6916" width="29.7109375" style="521" customWidth="1"/>
    <col min="6917" max="6917" width="7.7109375" style="521" customWidth="1"/>
    <col min="6918" max="6918" width="6" style="521" customWidth="1"/>
    <col min="6919" max="6919" width="11.5703125" style="521" customWidth="1"/>
    <col min="6920" max="6920" width="13.42578125" style="521" customWidth="1"/>
    <col min="6921" max="6921" width="13.85546875" style="521" customWidth="1"/>
    <col min="6922" max="7168" width="9.140625" style="521"/>
    <col min="7169" max="7169" width="13" style="521" customWidth="1"/>
    <col min="7170" max="7170" width="9.140625" style="521"/>
    <col min="7171" max="7171" width="13" style="521" customWidth="1"/>
    <col min="7172" max="7172" width="29.7109375" style="521" customWidth="1"/>
    <col min="7173" max="7173" width="7.7109375" style="521" customWidth="1"/>
    <col min="7174" max="7174" width="6" style="521" customWidth="1"/>
    <col min="7175" max="7175" width="11.5703125" style="521" customWidth="1"/>
    <col min="7176" max="7176" width="13.42578125" style="521" customWidth="1"/>
    <col min="7177" max="7177" width="13.85546875" style="521" customWidth="1"/>
    <col min="7178" max="7424" width="9.140625" style="521"/>
    <col min="7425" max="7425" width="13" style="521" customWidth="1"/>
    <col min="7426" max="7426" width="9.140625" style="521"/>
    <col min="7427" max="7427" width="13" style="521" customWidth="1"/>
    <col min="7428" max="7428" width="29.7109375" style="521" customWidth="1"/>
    <col min="7429" max="7429" width="7.7109375" style="521" customWidth="1"/>
    <col min="7430" max="7430" width="6" style="521" customWidth="1"/>
    <col min="7431" max="7431" width="11.5703125" style="521" customWidth="1"/>
    <col min="7432" max="7432" width="13.42578125" style="521" customWidth="1"/>
    <col min="7433" max="7433" width="13.85546875" style="521" customWidth="1"/>
    <col min="7434" max="7680" width="9.140625" style="521"/>
    <col min="7681" max="7681" width="13" style="521" customWidth="1"/>
    <col min="7682" max="7682" width="9.140625" style="521"/>
    <col min="7683" max="7683" width="13" style="521" customWidth="1"/>
    <col min="7684" max="7684" width="29.7109375" style="521" customWidth="1"/>
    <col min="7685" max="7685" width="7.7109375" style="521" customWidth="1"/>
    <col min="7686" max="7686" width="6" style="521" customWidth="1"/>
    <col min="7687" max="7687" width="11.5703125" style="521" customWidth="1"/>
    <col min="7688" max="7688" width="13.42578125" style="521" customWidth="1"/>
    <col min="7689" max="7689" width="13.85546875" style="521" customWidth="1"/>
    <col min="7690" max="7936" width="9.140625" style="521"/>
    <col min="7937" max="7937" width="13" style="521" customWidth="1"/>
    <col min="7938" max="7938" width="9.140625" style="521"/>
    <col min="7939" max="7939" width="13" style="521" customWidth="1"/>
    <col min="7940" max="7940" width="29.7109375" style="521" customWidth="1"/>
    <col min="7941" max="7941" width="7.7109375" style="521" customWidth="1"/>
    <col min="7942" max="7942" width="6" style="521" customWidth="1"/>
    <col min="7943" max="7943" width="11.5703125" style="521" customWidth="1"/>
    <col min="7944" max="7944" width="13.42578125" style="521" customWidth="1"/>
    <col min="7945" max="7945" width="13.85546875" style="521" customWidth="1"/>
    <col min="7946" max="8192" width="9.140625" style="521"/>
    <col min="8193" max="8193" width="13" style="521" customWidth="1"/>
    <col min="8194" max="8194" width="9.140625" style="521"/>
    <col min="8195" max="8195" width="13" style="521" customWidth="1"/>
    <col min="8196" max="8196" width="29.7109375" style="521" customWidth="1"/>
    <col min="8197" max="8197" width="7.7109375" style="521" customWidth="1"/>
    <col min="8198" max="8198" width="6" style="521" customWidth="1"/>
    <col min="8199" max="8199" width="11.5703125" style="521" customWidth="1"/>
    <col min="8200" max="8200" width="13.42578125" style="521" customWidth="1"/>
    <col min="8201" max="8201" width="13.85546875" style="521" customWidth="1"/>
    <col min="8202" max="8448" width="9.140625" style="521"/>
    <col min="8449" max="8449" width="13" style="521" customWidth="1"/>
    <col min="8450" max="8450" width="9.140625" style="521"/>
    <col min="8451" max="8451" width="13" style="521" customWidth="1"/>
    <col min="8452" max="8452" width="29.7109375" style="521" customWidth="1"/>
    <col min="8453" max="8453" width="7.7109375" style="521" customWidth="1"/>
    <col min="8454" max="8454" width="6" style="521" customWidth="1"/>
    <col min="8455" max="8455" width="11.5703125" style="521" customWidth="1"/>
    <col min="8456" max="8456" width="13.42578125" style="521" customWidth="1"/>
    <col min="8457" max="8457" width="13.85546875" style="521" customWidth="1"/>
    <col min="8458" max="8704" width="9.140625" style="521"/>
    <col min="8705" max="8705" width="13" style="521" customWidth="1"/>
    <col min="8706" max="8706" width="9.140625" style="521"/>
    <col min="8707" max="8707" width="13" style="521" customWidth="1"/>
    <col min="8708" max="8708" width="29.7109375" style="521" customWidth="1"/>
    <col min="8709" max="8709" width="7.7109375" style="521" customWidth="1"/>
    <col min="8710" max="8710" width="6" style="521" customWidth="1"/>
    <col min="8711" max="8711" width="11.5703125" style="521" customWidth="1"/>
    <col min="8712" max="8712" width="13.42578125" style="521" customWidth="1"/>
    <col min="8713" max="8713" width="13.85546875" style="521" customWidth="1"/>
    <col min="8714" max="8960" width="9.140625" style="521"/>
    <col min="8961" max="8961" width="13" style="521" customWidth="1"/>
    <col min="8962" max="8962" width="9.140625" style="521"/>
    <col min="8963" max="8963" width="13" style="521" customWidth="1"/>
    <col min="8964" max="8964" width="29.7109375" style="521" customWidth="1"/>
    <col min="8965" max="8965" width="7.7109375" style="521" customWidth="1"/>
    <col min="8966" max="8966" width="6" style="521" customWidth="1"/>
    <col min="8967" max="8967" width="11.5703125" style="521" customWidth="1"/>
    <col min="8968" max="8968" width="13.42578125" style="521" customWidth="1"/>
    <col min="8969" max="8969" width="13.85546875" style="521" customWidth="1"/>
    <col min="8970" max="9216" width="9.140625" style="521"/>
    <col min="9217" max="9217" width="13" style="521" customWidth="1"/>
    <col min="9218" max="9218" width="9.140625" style="521"/>
    <col min="9219" max="9219" width="13" style="521" customWidth="1"/>
    <col min="9220" max="9220" width="29.7109375" style="521" customWidth="1"/>
    <col min="9221" max="9221" width="7.7109375" style="521" customWidth="1"/>
    <col min="9222" max="9222" width="6" style="521" customWidth="1"/>
    <col min="9223" max="9223" width="11.5703125" style="521" customWidth="1"/>
    <col min="9224" max="9224" width="13.42578125" style="521" customWidth="1"/>
    <col min="9225" max="9225" width="13.85546875" style="521" customWidth="1"/>
    <col min="9226" max="9472" width="9.140625" style="521"/>
    <col min="9473" max="9473" width="13" style="521" customWidth="1"/>
    <col min="9474" max="9474" width="9.140625" style="521"/>
    <col min="9475" max="9475" width="13" style="521" customWidth="1"/>
    <col min="9476" max="9476" width="29.7109375" style="521" customWidth="1"/>
    <col min="9477" max="9477" width="7.7109375" style="521" customWidth="1"/>
    <col min="9478" max="9478" width="6" style="521" customWidth="1"/>
    <col min="9479" max="9479" width="11.5703125" style="521" customWidth="1"/>
    <col min="9480" max="9480" width="13.42578125" style="521" customWidth="1"/>
    <col min="9481" max="9481" width="13.85546875" style="521" customWidth="1"/>
    <col min="9482" max="9728" width="9.140625" style="521"/>
    <col min="9729" max="9729" width="13" style="521" customWidth="1"/>
    <col min="9730" max="9730" width="9.140625" style="521"/>
    <col min="9731" max="9731" width="13" style="521" customWidth="1"/>
    <col min="9732" max="9732" width="29.7109375" style="521" customWidth="1"/>
    <col min="9733" max="9733" width="7.7109375" style="521" customWidth="1"/>
    <col min="9734" max="9734" width="6" style="521" customWidth="1"/>
    <col min="9735" max="9735" width="11.5703125" style="521" customWidth="1"/>
    <col min="9736" max="9736" width="13.42578125" style="521" customWidth="1"/>
    <col min="9737" max="9737" width="13.85546875" style="521" customWidth="1"/>
    <col min="9738" max="9984" width="9.140625" style="521"/>
    <col min="9985" max="9985" width="13" style="521" customWidth="1"/>
    <col min="9986" max="9986" width="9.140625" style="521"/>
    <col min="9987" max="9987" width="13" style="521" customWidth="1"/>
    <col min="9988" max="9988" width="29.7109375" style="521" customWidth="1"/>
    <col min="9989" max="9989" width="7.7109375" style="521" customWidth="1"/>
    <col min="9990" max="9990" width="6" style="521" customWidth="1"/>
    <col min="9991" max="9991" width="11.5703125" style="521" customWidth="1"/>
    <col min="9992" max="9992" width="13.42578125" style="521" customWidth="1"/>
    <col min="9993" max="9993" width="13.85546875" style="521" customWidth="1"/>
    <col min="9994" max="10240" width="9.140625" style="521"/>
    <col min="10241" max="10241" width="13" style="521" customWidth="1"/>
    <col min="10242" max="10242" width="9.140625" style="521"/>
    <col min="10243" max="10243" width="13" style="521" customWidth="1"/>
    <col min="10244" max="10244" width="29.7109375" style="521" customWidth="1"/>
    <col min="10245" max="10245" width="7.7109375" style="521" customWidth="1"/>
    <col min="10246" max="10246" width="6" style="521" customWidth="1"/>
    <col min="10247" max="10247" width="11.5703125" style="521" customWidth="1"/>
    <col min="10248" max="10248" width="13.42578125" style="521" customWidth="1"/>
    <col min="10249" max="10249" width="13.85546875" style="521" customWidth="1"/>
    <col min="10250" max="10496" width="9.140625" style="521"/>
    <col min="10497" max="10497" width="13" style="521" customWidth="1"/>
    <col min="10498" max="10498" width="9.140625" style="521"/>
    <col min="10499" max="10499" width="13" style="521" customWidth="1"/>
    <col min="10500" max="10500" width="29.7109375" style="521" customWidth="1"/>
    <col min="10501" max="10501" width="7.7109375" style="521" customWidth="1"/>
    <col min="10502" max="10502" width="6" style="521" customWidth="1"/>
    <col min="10503" max="10503" width="11.5703125" style="521" customWidth="1"/>
    <col min="10504" max="10504" width="13.42578125" style="521" customWidth="1"/>
    <col min="10505" max="10505" width="13.85546875" style="521" customWidth="1"/>
    <col min="10506" max="10752" width="9.140625" style="521"/>
    <col min="10753" max="10753" width="13" style="521" customWidth="1"/>
    <col min="10754" max="10754" width="9.140625" style="521"/>
    <col min="10755" max="10755" width="13" style="521" customWidth="1"/>
    <col min="10756" max="10756" width="29.7109375" style="521" customWidth="1"/>
    <col min="10757" max="10757" width="7.7109375" style="521" customWidth="1"/>
    <col min="10758" max="10758" width="6" style="521" customWidth="1"/>
    <col min="10759" max="10759" width="11.5703125" style="521" customWidth="1"/>
    <col min="10760" max="10760" width="13.42578125" style="521" customWidth="1"/>
    <col min="10761" max="10761" width="13.85546875" style="521" customWidth="1"/>
    <col min="10762" max="11008" width="9.140625" style="521"/>
    <col min="11009" max="11009" width="13" style="521" customWidth="1"/>
    <col min="11010" max="11010" width="9.140625" style="521"/>
    <col min="11011" max="11011" width="13" style="521" customWidth="1"/>
    <col min="11012" max="11012" width="29.7109375" style="521" customWidth="1"/>
    <col min="11013" max="11013" width="7.7109375" style="521" customWidth="1"/>
    <col min="11014" max="11014" width="6" style="521" customWidth="1"/>
    <col min="11015" max="11015" width="11.5703125" style="521" customWidth="1"/>
    <col min="11016" max="11016" width="13.42578125" style="521" customWidth="1"/>
    <col min="11017" max="11017" width="13.85546875" style="521" customWidth="1"/>
    <col min="11018" max="11264" width="9.140625" style="521"/>
    <col min="11265" max="11265" width="13" style="521" customWidth="1"/>
    <col min="11266" max="11266" width="9.140625" style="521"/>
    <col min="11267" max="11267" width="13" style="521" customWidth="1"/>
    <col min="11268" max="11268" width="29.7109375" style="521" customWidth="1"/>
    <col min="11269" max="11269" width="7.7109375" style="521" customWidth="1"/>
    <col min="11270" max="11270" width="6" style="521" customWidth="1"/>
    <col min="11271" max="11271" width="11.5703125" style="521" customWidth="1"/>
    <col min="11272" max="11272" width="13.42578125" style="521" customWidth="1"/>
    <col min="11273" max="11273" width="13.85546875" style="521" customWidth="1"/>
    <col min="11274" max="11520" width="9.140625" style="521"/>
    <col min="11521" max="11521" width="13" style="521" customWidth="1"/>
    <col min="11522" max="11522" width="9.140625" style="521"/>
    <col min="11523" max="11523" width="13" style="521" customWidth="1"/>
    <col min="11524" max="11524" width="29.7109375" style="521" customWidth="1"/>
    <col min="11525" max="11525" width="7.7109375" style="521" customWidth="1"/>
    <col min="11526" max="11526" width="6" style="521" customWidth="1"/>
    <col min="11527" max="11527" width="11.5703125" style="521" customWidth="1"/>
    <col min="11528" max="11528" width="13.42578125" style="521" customWidth="1"/>
    <col min="11529" max="11529" width="13.85546875" style="521" customWidth="1"/>
    <col min="11530" max="11776" width="9.140625" style="521"/>
    <col min="11777" max="11777" width="13" style="521" customWidth="1"/>
    <col min="11778" max="11778" width="9.140625" style="521"/>
    <col min="11779" max="11779" width="13" style="521" customWidth="1"/>
    <col min="11780" max="11780" width="29.7109375" style="521" customWidth="1"/>
    <col min="11781" max="11781" width="7.7109375" style="521" customWidth="1"/>
    <col min="11782" max="11782" width="6" style="521" customWidth="1"/>
    <col min="11783" max="11783" width="11.5703125" style="521" customWidth="1"/>
    <col min="11784" max="11784" width="13.42578125" style="521" customWidth="1"/>
    <col min="11785" max="11785" width="13.85546875" style="521" customWidth="1"/>
    <col min="11786" max="12032" width="9.140625" style="521"/>
    <col min="12033" max="12033" width="13" style="521" customWidth="1"/>
    <col min="12034" max="12034" width="9.140625" style="521"/>
    <col min="12035" max="12035" width="13" style="521" customWidth="1"/>
    <col min="12036" max="12036" width="29.7109375" style="521" customWidth="1"/>
    <col min="12037" max="12037" width="7.7109375" style="521" customWidth="1"/>
    <col min="12038" max="12038" width="6" style="521" customWidth="1"/>
    <col min="12039" max="12039" width="11.5703125" style="521" customWidth="1"/>
    <col min="12040" max="12040" width="13.42578125" style="521" customWidth="1"/>
    <col min="12041" max="12041" width="13.85546875" style="521" customWidth="1"/>
    <col min="12042" max="12288" width="9.140625" style="521"/>
    <col min="12289" max="12289" width="13" style="521" customWidth="1"/>
    <col min="12290" max="12290" width="9.140625" style="521"/>
    <col min="12291" max="12291" width="13" style="521" customWidth="1"/>
    <col min="12292" max="12292" width="29.7109375" style="521" customWidth="1"/>
    <col min="12293" max="12293" width="7.7109375" style="521" customWidth="1"/>
    <col min="12294" max="12294" width="6" style="521" customWidth="1"/>
    <col min="12295" max="12295" width="11.5703125" style="521" customWidth="1"/>
    <col min="12296" max="12296" width="13.42578125" style="521" customWidth="1"/>
    <col min="12297" max="12297" width="13.85546875" style="521" customWidth="1"/>
    <col min="12298" max="12544" width="9.140625" style="521"/>
    <col min="12545" max="12545" width="13" style="521" customWidth="1"/>
    <col min="12546" max="12546" width="9.140625" style="521"/>
    <col min="12547" max="12547" width="13" style="521" customWidth="1"/>
    <col min="12548" max="12548" width="29.7109375" style="521" customWidth="1"/>
    <col min="12549" max="12549" width="7.7109375" style="521" customWidth="1"/>
    <col min="12550" max="12550" width="6" style="521" customWidth="1"/>
    <col min="12551" max="12551" width="11.5703125" style="521" customWidth="1"/>
    <col min="12552" max="12552" width="13.42578125" style="521" customWidth="1"/>
    <col min="12553" max="12553" width="13.85546875" style="521" customWidth="1"/>
    <col min="12554" max="12800" width="9.140625" style="521"/>
    <col min="12801" max="12801" width="13" style="521" customWidth="1"/>
    <col min="12802" max="12802" width="9.140625" style="521"/>
    <col min="12803" max="12803" width="13" style="521" customWidth="1"/>
    <col min="12804" max="12804" width="29.7109375" style="521" customWidth="1"/>
    <col min="12805" max="12805" width="7.7109375" style="521" customWidth="1"/>
    <col min="12806" max="12806" width="6" style="521" customWidth="1"/>
    <col min="12807" max="12807" width="11.5703125" style="521" customWidth="1"/>
    <col min="12808" max="12808" width="13.42578125" style="521" customWidth="1"/>
    <col min="12809" max="12809" width="13.85546875" style="521" customWidth="1"/>
    <col min="12810" max="13056" width="9.140625" style="521"/>
    <col min="13057" max="13057" width="13" style="521" customWidth="1"/>
    <col min="13058" max="13058" width="9.140625" style="521"/>
    <col min="13059" max="13059" width="13" style="521" customWidth="1"/>
    <col min="13060" max="13060" width="29.7109375" style="521" customWidth="1"/>
    <col min="13061" max="13061" width="7.7109375" style="521" customWidth="1"/>
    <col min="13062" max="13062" width="6" style="521" customWidth="1"/>
    <col min="13063" max="13063" width="11.5703125" style="521" customWidth="1"/>
    <col min="13064" max="13064" width="13.42578125" style="521" customWidth="1"/>
    <col min="13065" max="13065" width="13.85546875" style="521" customWidth="1"/>
    <col min="13066" max="13312" width="9.140625" style="521"/>
    <col min="13313" max="13313" width="13" style="521" customWidth="1"/>
    <col min="13314" max="13314" width="9.140625" style="521"/>
    <col min="13315" max="13315" width="13" style="521" customWidth="1"/>
    <col min="13316" max="13316" width="29.7109375" style="521" customWidth="1"/>
    <col min="13317" max="13317" width="7.7109375" style="521" customWidth="1"/>
    <col min="13318" max="13318" width="6" style="521" customWidth="1"/>
    <col min="13319" max="13319" width="11.5703125" style="521" customWidth="1"/>
    <col min="13320" max="13320" width="13.42578125" style="521" customWidth="1"/>
    <col min="13321" max="13321" width="13.85546875" style="521" customWidth="1"/>
    <col min="13322" max="13568" width="9.140625" style="521"/>
    <col min="13569" max="13569" width="13" style="521" customWidth="1"/>
    <col min="13570" max="13570" width="9.140625" style="521"/>
    <col min="13571" max="13571" width="13" style="521" customWidth="1"/>
    <col min="13572" max="13572" width="29.7109375" style="521" customWidth="1"/>
    <col min="13573" max="13573" width="7.7109375" style="521" customWidth="1"/>
    <col min="13574" max="13574" width="6" style="521" customWidth="1"/>
    <col min="13575" max="13575" width="11.5703125" style="521" customWidth="1"/>
    <col min="13576" max="13576" width="13.42578125" style="521" customWidth="1"/>
    <col min="13577" max="13577" width="13.85546875" style="521" customWidth="1"/>
    <col min="13578" max="13824" width="9.140625" style="521"/>
    <col min="13825" max="13825" width="13" style="521" customWidth="1"/>
    <col min="13826" max="13826" width="9.140625" style="521"/>
    <col min="13827" max="13827" width="13" style="521" customWidth="1"/>
    <col min="13828" max="13828" width="29.7109375" style="521" customWidth="1"/>
    <col min="13829" max="13829" width="7.7109375" style="521" customWidth="1"/>
    <col min="13830" max="13830" width="6" style="521" customWidth="1"/>
    <col min="13831" max="13831" width="11.5703125" style="521" customWidth="1"/>
    <col min="13832" max="13832" width="13.42578125" style="521" customWidth="1"/>
    <col min="13833" max="13833" width="13.85546875" style="521" customWidth="1"/>
    <col min="13834" max="14080" width="9.140625" style="521"/>
    <col min="14081" max="14081" width="13" style="521" customWidth="1"/>
    <col min="14082" max="14082" width="9.140625" style="521"/>
    <col min="14083" max="14083" width="13" style="521" customWidth="1"/>
    <col min="14084" max="14084" width="29.7109375" style="521" customWidth="1"/>
    <col min="14085" max="14085" width="7.7109375" style="521" customWidth="1"/>
    <col min="14086" max="14086" width="6" style="521" customWidth="1"/>
    <col min="14087" max="14087" width="11.5703125" style="521" customWidth="1"/>
    <col min="14088" max="14088" width="13.42578125" style="521" customWidth="1"/>
    <col min="14089" max="14089" width="13.85546875" style="521" customWidth="1"/>
    <col min="14090" max="14336" width="9.140625" style="521"/>
    <col min="14337" max="14337" width="13" style="521" customWidth="1"/>
    <col min="14338" max="14338" width="9.140625" style="521"/>
    <col min="14339" max="14339" width="13" style="521" customWidth="1"/>
    <col min="14340" max="14340" width="29.7109375" style="521" customWidth="1"/>
    <col min="14341" max="14341" width="7.7109375" style="521" customWidth="1"/>
    <col min="14342" max="14342" width="6" style="521" customWidth="1"/>
    <col min="14343" max="14343" width="11.5703125" style="521" customWidth="1"/>
    <col min="14344" max="14344" width="13.42578125" style="521" customWidth="1"/>
    <col min="14345" max="14345" width="13.85546875" style="521" customWidth="1"/>
    <col min="14346" max="14592" width="9.140625" style="521"/>
    <col min="14593" max="14593" width="13" style="521" customWidth="1"/>
    <col min="14594" max="14594" width="9.140625" style="521"/>
    <col min="14595" max="14595" width="13" style="521" customWidth="1"/>
    <col min="14596" max="14596" width="29.7109375" style="521" customWidth="1"/>
    <col min="14597" max="14597" width="7.7109375" style="521" customWidth="1"/>
    <col min="14598" max="14598" width="6" style="521" customWidth="1"/>
    <col min="14599" max="14599" width="11.5703125" style="521" customWidth="1"/>
    <col min="14600" max="14600" width="13.42578125" style="521" customWidth="1"/>
    <col min="14601" max="14601" width="13.85546875" style="521" customWidth="1"/>
    <col min="14602" max="14848" width="9.140625" style="521"/>
    <col min="14849" max="14849" width="13" style="521" customWidth="1"/>
    <col min="14850" max="14850" width="9.140625" style="521"/>
    <col min="14851" max="14851" width="13" style="521" customWidth="1"/>
    <col min="14852" max="14852" width="29.7109375" style="521" customWidth="1"/>
    <col min="14853" max="14853" width="7.7109375" style="521" customWidth="1"/>
    <col min="14854" max="14854" width="6" style="521" customWidth="1"/>
    <col min="14855" max="14855" width="11.5703125" style="521" customWidth="1"/>
    <col min="14856" max="14856" width="13.42578125" style="521" customWidth="1"/>
    <col min="14857" max="14857" width="13.85546875" style="521" customWidth="1"/>
    <col min="14858" max="15104" width="9.140625" style="521"/>
    <col min="15105" max="15105" width="13" style="521" customWidth="1"/>
    <col min="15106" max="15106" width="9.140625" style="521"/>
    <col min="15107" max="15107" width="13" style="521" customWidth="1"/>
    <col min="15108" max="15108" width="29.7109375" style="521" customWidth="1"/>
    <col min="15109" max="15109" width="7.7109375" style="521" customWidth="1"/>
    <col min="15110" max="15110" width="6" style="521" customWidth="1"/>
    <col min="15111" max="15111" width="11.5703125" style="521" customWidth="1"/>
    <col min="15112" max="15112" width="13.42578125" style="521" customWidth="1"/>
    <col min="15113" max="15113" width="13.85546875" style="521" customWidth="1"/>
    <col min="15114" max="15360" width="9.140625" style="521"/>
    <col min="15361" max="15361" width="13" style="521" customWidth="1"/>
    <col min="15362" max="15362" width="9.140625" style="521"/>
    <col min="15363" max="15363" width="13" style="521" customWidth="1"/>
    <col min="15364" max="15364" width="29.7109375" style="521" customWidth="1"/>
    <col min="15365" max="15365" width="7.7109375" style="521" customWidth="1"/>
    <col min="15366" max="15366" width="6" style="521" customWidth="1"/>
    <col min="15367" max="15367" width="11.5703125" style="521" customWidth="1"/>
    <col min="15368" max="15368" width="13.42578125" style="521" customWidth="1"/>
    <col min="15369" max="15369" width="13.85546875" style="521" customWidth="1"/>
    <col min="15370" max="15616" width="9.140625" style="521"/>
    <col min="15617" max="15617" width="13" style="521" customWidth="1"/>
    <col min="15618" max="15618" width="9.140625" style="521"/>
    <col min="15619" max="15619" width="13" style="521" customWidth="1"/>
    <col min="15620" max="15620" width="29.7109375" style="521" customWidth="1"/>
    <col min="15621" max="15621" width="7.7109375" style="521" customWidth="1"/>
    <col min="15622" max="15622" width="6" style="521" customWidth="1"/>
    <col min="15623" max="15623" width="11.5703125" style="521" customWidth="1"/>
    <col min="15624" max="15624" width="13.42578125" style="521" customWidth="1"/>
    <col min="15625" max="15625" width="13.85546875" style="521" customWidth="1"/>
    <col min="15626" max="15872" width="9.140625" style="521"/>
    <col min="15873" max="15873" width="13" style="521" customWidth="1"/>
    <col min="15874" max="15874" width="9.140625" style="521"/>
    <col min="15875" max="15875" width="13" style="521" customWidth="1"/>
    <col min="15876" max="15876" width="29.7109375" style="521" customWidth="1"/>
    <col min="15877" max="15877" width="7.7109375" style="521" customWidth="1"/>
    <col min="15878" max="15878" width="6" style="521" customWidth="1"/>
    <col min="15879" max="15879" width="11.5703125" style="521" customWidth="1"/>
    <col min="15880" max="15880" width="13.42578125" style="521" customWidth="1"/>
    <col min="15881" max="15881" width="13.85546875" style="521" customWidth="1"/>
    <col min="15882" max="16128" width="9.140625" style="521"/>
    <col min="16129" max="16129" width="13" style="521" customWidth="1"/>
    <col min="16130" max="16130" width="9.140625" style="521"/>
    <col min="16131" max="16131" width="13" style="521" customWidth="1"/>
    <col min="16132" max="16132" width="29.7109375" style="521" customWidth="1"/>
    <col min="16133" max="16133" width="7.7109375" style="521" customWidth="1"/>
    <col min="16134" max="16134" width="6" style="521" customWidth="1"/>
    <col min="16135" max="16135" width="11.5703125" style="521" customWidth="1"/>
    <col min="16136" max="16136" width="13.42578125" style="521" customWidth="1"/>
    <col min="16137" max="16137" width="13.85546875" style="521" customWidth="1"/>
    <col min="16138" max="16384" width="9.140625" style="521"/>
  </cols>
  <sheetData>
    <row r="1" spans="1:14">
      <c r="A1" s="520" t="str">
        <f>TH!A1</f>
        <v>Đơn vị: CÔNG TY TNHH MỘT THÀNH VIÊN KHỞI NGUYÊN AN</v>
      </c>
      <c r="F1" s="955" t="s">
        <v>276</v>
      </c>
      <c r="G1" s="955"/>
      <c r="H1" s="955"/>
      <c r="I1" s="955"/>
    </row>
    <row r="2" spans="1:14">
      <c r="A2" s="521" t="str">
        <f>TH!A2</f>
        <v>Địa chỉ: Thửa đất số 144, tờ bản đồ số 12TĐH.1, tổ 1, khu phố Đông Tác, Phường Tân Đông Hiệp, Thị Xã Dĩ An, Tỉnh Bình Dương, Việt Nam</v>
      </c>
      <c r="F2" s="954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54"/>
      <c r="H2" s="954"/>
      <c r="I2" s="954"/>
    </row>
    <row r="3" spans="1:14">
      <c r="F3" s="954"/>
      <c r="G3" s="954"/>
      <c r="H3" s="954"/>
      <c r="I3" s="954"/>
    </row>
    <row r="4" spans="1:14">
      <c r="H4" s="522"/>
      <c r="I4" s="522"/>
    </row>
    <row r="5" spans="1:14" ht="26.25" customHeight="1">
      <c r="B5" s="523"/>
      <c r="C5" s="523"/>
      <c r="D5" s="524" t="s">
        <v>277</v>
      </c>
      <c r="E5" s="523"/>
      <c r="F5" s="523"/>
      <c r="G5" s="523"/>
      <c r="H5" s="523"/>
      <c r="I5" s="523"/>
      <c r="J5" s="523"/>
      <c r="K5" s="523"/>
    </row>
    <row r="6" spans="1:14">
      <c r="B6" s="525"/>
      <c r="C6" s="525"/>
      <c r="D6" s="526" t="str">
        <f ca="1">$K$9&amp;"   -   Năm:  " &amp;YEAR(A11)</f>
        <v>Quý III   -   Năm:  2012</v>
      </c>
      <c r="E6" s="525"/>
      <c r="F6" s="525"/>
      <c r="G6" s="525"/>
      <c r="H6" s="525"/>
      <c r="I6" s="525"/>
      <c r="J6" s="525"/>
      <c r="K6" s="525"/>
    </row>
    <row r="7" spans="1:14">
      <c r="A7" s="527"/>
      <c r="B7" s="527"/>
      <c r="C7" s="527"/>
      <c r="D7" s="527"/>
      <c r="E7" s="527"/>
      <c r="F7" s="527"/>
      <c r="G7" s="527"/>
      <c r="H7" s="958" t="s">
        <v>123</v>
      </c>
      <c r="I7" s="958"/>
      <c r="J7" s="527"/>
      <c r="K7" s="527"/>
      <c r="M7" s="957" t="s">
        <v>269</v>
      </c>
      <c r="N7" s="957"/>
    </row>
    <row r="8" spans="1:14" s="691" customFormat="1" ht="23.25" customHeight="1" thickBot="1">
      <c r="A8" s="959" t="s">
        <v>278</v>
      </c>
      <c r="B8" s="961" t="s">
        <v>1</v>
      </c>
      <c r="C8" s="962"/>
      <c r="D8" s="963" t="s">
        <v>0</v>
      </c>
      <c r="E8" s="959" t="s">
        <v>279</v>
      </c>
      <c r="F8" s="956" t="s">
        <v>94</v>
      </c>
      <c r="G8" s="956"/>
      <c r="H8" s="961" t="s">
        <v>21</v>
      </c>
      <c r="I8" s="962"/>
      <c r="J8" s="690"/>
      <c r="K8" s="690"/>
      <c r="M8" s="692">
        <f>IF(K9="Quý I",1,IF(K9="Quý II",4,IF(K9="Quý III",7,IF(K9="Quý IV",10,""))))</f>
        <v>7</v>
      </c>
      <c r="N8" s="692">
        <f>IF(K9="Quý I",3,IF(K9="Quý II",6,IF(K9="Quý III",9,IF(K9="Quý IV",12,""))))</f>
        <v>9</v>
      </c>
    </row>
    <row r="9" spans="1:14" s="691" customFormat="1" ht="28.5" customHeight="1" thickBot="1">
      <c r="A9" s="960"/>
      <c r="B9" s="693" t="s">
        <v>15</v>
      </c>
      <c r="C9" s="693" t="s">
        <v>32</v>
      </c>
      <c r="D9" s="964"/>
      <c r="E9" s="960"/>
      <c r="F9" s="694" t="s">
        <v>22</v>
      </c>
      <c r="G9" s="694" t="s">
        <v>23</v>
      </c>
      <c r="H9" s="693" t="s">
        <v>280</v>
      </c>
      <c r="I9" s="693" t="s">
        <v>23</v>
      </c>
      <c r="K9" s="621" t="s">
        <v>331</v>
      </c>
    </row>
    <row r="10" spans="1:14" s="691" customFormat="1" ht="21" customHeight="1">
      <c r="A10" s="695"/>
      <c r="B10" s="695"/>
      <c r="C10" s="695"/>
      <c r="D10" s="696" t="s">
        <v>283</v>
      </c>
      <c r="E10" s="697"/>
      <c r="F10" s="695"/>
      <c r="G10" s="695"/>
      <c r="H10" s="698">
        <f>SUMIF(_M,"&lt;"&amp;$M$8,TH)</f>
        <v>0</v>
      </c>
      <c r="I10" s="698">
        <f>SUMIF(_M,"&lt;"&amp;$M$8,TH)</f>
        <v>0</v>
      </c>
    </row>
    <row r="11" spans="1:14" s="691" customFormat="1" ht="21" customHeight="1">
      <c r="A11" s="699">
        <f ca="1">IF(ROWS($1:1)&gt;COUNT(Dong6),"",OFFSET(TH!C$1,SMALL(Dong6,ROWS($1:1)),))</f>
        <v>41122</v>
      </c>
      <c r="B11" s="700" t="str">
        <f ca="1">IF(ROWS($1:1)&gt;COUNT(Dong6),"",OFFSET(TH!D$1,SMALL(Dong6,ROWS($1:1)),))</f>
        <v>T01</v>
      </c>
      <c r="C11" s="699">
        <f ca="1">IF(ROWS($1:1)&gt;COUNT(Dong6),"",OFFSET(TH!E$1,SMALL(Dong6,ROWS($1:1)),))</f>
        <v>41122</v>
      </c>
      <c r="D11" s="701" t="str">
        <f ca="1">IF(ROWS($1:1)&gt;COUNT(Dong6),"",OFFSET(TH!F$1,SMALL(Dong6,ROWS($1:1)),))</f>
        <v>Thu vốn góp</v>
      </c>
      <c r="E11" s="700">
        <f t="shared" ref="E11:E40" ca="1" si="0">IF(D11&lt;&gt;"",ROW()-10,"")</f>
        <v>1</v>
      </c>
      <c r="F11" s="702" t="str">
        <f ca="1">IF(ROWS($1:1)&gt;COUNT(Dong6),"",OFFSET(TH!L$1,SMALL(Dong6,ROWS($1:1)),))</f>
        <v>1111</v>
      </c>
      <c r="G11" s="702" t="str">
        <f ca="1">IF(ROWS($1:1)&gt;COUNT(Dong6),"",OFFSET(TH!M$1,SMALL(Dong6,ROWS($1:1)),))</f>
        <v>4111</v>
      </c>
      <c r="H11" s="606">
        <f ca="1">IF(ROWS($1:1)&gt;COUNT(Dong6),"",OFFSET(TH!K$1,SMALL(Dong6,ROWS($1:1)),))</f>
        <v>2500000000</v>
      </c>
      <c r="I11" s="606">
        <f ca="1">IF(ROWS($1:1)&gt;COUNT(Dong6),"",OFFSET(TH!K$1,SMALL(Dong6,ROWS($1:1)),))</f>
        <v>2500000000</v>
      </c>
    </row>
    <row r="12" spans="1:14" s="691" customFormat="1" ht="21" customHeight="1">
      <c r="A12" s="699">
        <f ca="1">IF(ROWS($1:2)&gt;COUNT(Dong6),"",OFFSET(TH!C$1,SMALL(Dong6,ROWS($1:2)),))</f>
        <v>41131</v>
      </c>
      <c r="B12" s="700" t="str">
        <f ca="1">IF(ROWS($1:2)&gt;COUNT(Dong6),"",OFFSET(TH!D$1,SMALL(Dong6,ROWS($1:2)),))</f>
        <v>C01</v>
      </c>
      <c r="C12" s="699">
        <f ca="1">IF(ROWS($1:2)&gt;COUNT(Dong6),"",OFFSET(TH!E$1,SMALL(Dong6,ROWS($1:2)),))</f>
        <v>41131</v>
      </c>
      <c r="D12" s="701" t="str">
        <f ca="1">IF(ROWS($1:2)&gt;COUNT(Dong6),"",OFFSET(TH!F$1,SMALL(Dong6,ROWS($1:2)),))</f>
        <v>Nộp tiền mặt vào tài khoản</v>
      </c>
      <c r="E12" s="700">
        <f t="shared" ca="1" si="0"/>
        <v>2</v>
      </c>
      <c r="F12" s="702" t="str">
        <f ca="1">IF(ROWS($1:2)&gt;COUNT(Dong6),"",OFFSET(TH!L$1,SMALL(Dong6,ROWS($1:2)),))</f>
        <v>1121</v>
      </c>
      <c r="G12" s="702" t="str">
        <f ca="1">IF(ROWS($1:2)&gt;COUNT(Dong6),"",OFFSET(TH!M$1,SMALL(Dong6,ROWS($1:2)),))</f>
        <v>1111</v>
      </c>
      <c r="H12" s="606">
        <f ca="1">IF(ROWS($1:2)&gt;COUNT(Dong6),"",OFFSET(TH!K$1,SMALL(Dong6,ROWS($1:2)),))</f>
        <v>1000000</v>
      </c>
      <c r="I12" s="606">
        <f ca="1">IF(ROWS($1:2)&gt;COUNT(Dong6),"",OFFSET(TH!K$1,SMALL(Dong6,ROWS($1:2)),))</f>
        <v>1000000</v>
      </c>
    </row>
    <row r="13" spans="1:14" s="691" customFormat="1" ht="21" customHeight="1">
      <c r="A13" s="699">
        <f ca="1">IF(ROWS($1:3)&gt;COUNT(Dong6),"",OFFSET(TH!C$1,SMALL(Dong6,ROWS($1:3)),))</f>
        <v>41136</v>
      </c>
      <c r="B13" s="700" t="str">
        <f ca="1">IF(ROWS($1:3)&gt;COUNT(Dong6),"",OFFSET(TH!D$1,SMALL(Dong6,ROWS($1:3)),))</f>
        <v>C02</v>
      </c>
      <c r="C13" s="699">
        <f ca="1">IF(ROWS($1:3)&gt;COUNT(Dong6),"",OFFSET(TH!E$1,SMALL(Dong6,ROWS($1:3)),))</f>
        <v>41136</v>
      </c>
      <c r="D13" s="701" t="str">
        <f ca="1">IF(ROWS($1:3)&gt;COUNT(Dong6),"",OFFSET(TH!F$1,SMALL(Dong6,ROWS($1:3)),))</f>
        <v>Dây mạ kẽm</v>
      </c>
      <c r="E13" s="700">
        <f t="shared" ca="1" si="0"/>
        <v>3</v>
      </c>
      <c r="F13" s="702" t="str">
        <f ca="1">IF(ROWS($1:3)&gt;COUNT(Dong6),"",OFFSET(TH!L$1,SMALL(Dong6,ROWS($1:3)),))</f>
        <v>154</v>
      </c>
      <c r="G13" s="702" t="str">
        <f ca="1">IF(ROWS($1:3)&gt;COUNT(Dong6),"",OFFSET(TH!M$1,SMALL(Dong6,ROWS($1:3)),))</f>
        <v>1111</v>
      </c>
      <c r="H13" s="606">
        <f ca="1">IF(ROWS($1:3)&gt;COUNT(Dong6),"",OFFSET(TH!K$1,SMALL(Dong6,ROWS($1:3)),))</f>
        <v>2580000</v>
      </c>
      <c r="I13" s="606">
        <f ca="1">IF(ROWS($1:3)&gt;COUNT(Dong6),"",OFFSET(TH!K$1,SMALL(Dong6,ROWS($1:3)),))</f>
        <v>2580000</v>
      </c>
    </row>
    <row r="14" spans="1:14" s="691" customFormat="1" ht="21" customHeight="1">
      <c r="A14" s="699">
        <f ca="1">IF(ROWS($1:4)&gt;COUNT(Dong6),"",OFFSET(TH!C$1,SMALL(Dong6,ROWS($1:4)),))</f>
        <v>41136</v>
      </c>
      <c r="B14" s="700" t="str">
        <f ca="1">IF(ROWS($1:4)&gt;COUNT(Dong6),"",OFFSET(TH!D$1,SMALL(Dong6,ROWS($1:4)),))</f>
        <v>C02</v>
      </c>
      <c r="C14" s="699">
        <f ca="1">IF(ROWS($1:4)&gt;COUNT(Dong6),"",OFFSET(TH!E$1,SMALL(Dong6,ROWS($1:4)),))</f>
        <v>41136</v>
      </c>
      <c r="D14" s="701" t="str">
        <f ca="1">IF(ROWS($1:4)&gt;COUNT(Dong6),"",OFFSET(TH!F$1,SMALL(Dong6,ROWS($1:4)),))</f>
        <v>VAT Dây mạ kẽm</v>
      </c>
      <c r="E14" s="700">
        <f t="shared" ca="1" si="0"/>
        <v>4</v>
      </c>
      <c r="F14" s="702" t="str">
        <f ca="1">IF(ROWS($1:4)&gt;COUNT(Dong6),"",OFFSET(TH!L$1,SMALL(Dong6,ROWS($1:4)),))</f>
        <v>1331</v>
      </c>
      <c r="G14" s="702" t="str">
        <f ca="1">IF(ROWS($1:4)&gt;COUNT(Dong6),"",OFFSET(TH!M$1,SMALL(Dong6,ROWS($1:4)),))</f>
        <v>1111</v>
      </c>
      <c r="H14" s="606">
        <f ca="1">IF(ROWS($1:4)&gt;COUNT(Dong6),"",OFFSET(TH!K$1,SMALL(Dong6,ROWS($1:4)),))</f>
        <v>258000</v>
      </c>
      <c r="I14" s="606">
        <f ca="1">IF(ROWS($1:4)&gt;COUNT(Dong6),"",OFFSET(TH!K$1,SMALL(Dong6,ROWS($1:4)),))</f>
        <v>258000</v>
      </c>
    </row>
    <row r="15" spans="1:14" s="691" customFormat="1" ht="21" customHeight="1">
      <c r="A15" s="699">
        <f ca="1">IF(ROWS($1:5)&gt;COUNT(Dong6),"",OFFSET(TH!C$1,SMALL(Dong6,ROWS($1:5)),))</f>
        <v>41142</v>
      </c>
      <c r="B15" s="700" t="str">
        <f ca="1">IF(ROWS($1:5)&gt;COUNT(Dong6),"",OFFSET(TH!D$1,SMALL(Dong6,ROWS($1:5)),))</f>
        <v>C03</v>
      </c>
      <c r="C15" s="699">
        <f ca="1">IF(ROWS($1:5)&gt;COUNT(Dong6),"",OFFSET(TH!E$1,SMALL(Dong6,ROWS($1:5)),))</f>
        <v>41142</v>
      </c>
      <c r="D15" s="701" t="str">
        <f ca="1">IF(ROWS($1:5)&gt;COUNT(Dong6),"",OFFSET(TH!F$1,SMALL(Dong6,ROWS($1:5)),))</f>
        <v>Tiền đặt in hóa đơn</v>
      </c>
      <c r="E15" s="700">
        <f t="shared" ca="1" si="0"/>
        <v>5</v>
      </c>
      <c r="F15" s="702" t="str">
        <f ca="1">IF(ROWS($1:5)&gt;COUNT(Dong6),"",OFFSET(TH!L$1,SMALL(Dong6,ROWS($1:5)),))</f>
        <v>642</v>
      </c>
      <c r="G15" s="702" t="str">
        <f ca="1">IF(ROWS($1:5)&gt;COUNT(Dong6),"",OFFSET(TH!M$1,SMALL(Dong6,ROWS($1:5)),))</f>
        <v>1111</v>
      </c>
      <c r="H15" s="606">
        <f ca="1">IF(ROWS($1:5)&gt;COUNT(Dong6),"",OFFSET(TH!K$1,SMALL(Dong6,ROWS($1:5)),))</f>
        <v>3400000</v>
      </c>
      <c r="I15" s="606">
        <f ca="1">IF(ROWS($1:5)&gt;COUNT(Dong6),"",OFFSET(TH!K$1,SMALL(Dong6,ROWS($1:5)),))</f>
        <v>3400000</v>
      </c>
    </row>
    <row r="16" spans="1:14" s="691" customFormat="1" ht="21" customHeight="1">
      <c r="A16" s="699">
        <f ca="1">IF(ROWS($1:6)&gt;COUNT(Dong6),"",OFFSET(TH!C$1,SMALL(Dong6,ROWS($1:6)),))</f>
        <v>41142</v>
      </c>
      <c r="B16" s="700" t="str">
        <f ca="1">IF(ROWS($1:6)&gt;COUNT(Dong6),"",OFFSET(TH!D$1,SMALL(Dong6,ROWS($1:6)),))</f>
        <v>C03</v>
      </c>
      <c r="C16" s="699">
        <f ca="1">IF(ROWS($1:6)&gt;COUNT(Dong6),"",OFFSET(TH!E$1,SMALL(Dong6,ROWS($1:6)),))</f>
        <v>41142</v>
      </c>
      <c r="D16" s="701" t="str">
        <f ca="1">IF(ROWS($1:6)&gt;COUNT(Dong6),"",OFFSET(TH!F$1,SMALL(Dong6,ROWS($1:6)),))</f>
        <v>VAT Tiền đặt in hóa đơn</v>
      </c>
      <c r="E16" s="700">
        <f t="shared" ca="1" si="0"/>
        <v>6</v>
      </c>
      <c r="F16" s="702" t="str">
        <f ca="1">IF(ROWS($1:6)&gt;COUNT(Dong6),"",OFFSET(TH!L$1,SMALL(Dong6,ROWS($1:6)),))</f>
        <v>1331</v>
      </c>
      <c r="G16" s="702" t="str">
        <f ca="1">IF(ROWS($1:6)&gt;COUNT(Dong6),"",OFFSET(TH!M$1,SMALL(Dong6,ROWS($1:6)),))</f>
        <v>1111</v>
      </c>
      <c r="H16" s="606">
        <f ca="1">IF(ROWS($1:6)&gt;COUNT(Dong6),"",OFFSET(TH!K$1,SMALL(Dong6,ROWS($1:6)),))</f>
        <v>340000</v>
      </c>
      <c r="I16" s="606">
        <f ca="1">IF(ROWS($1:6)&gt;COUNT(Dong6),"",OFFSET(TH!K$1,SMALL(Dong6,ROWS($1:6)),))</f>
        <v>340000</v>
      </c>
    </row>
    <row r="17" spans="1:9" s="691" customFormat="1" ht="21" customHeight="1">
      <c r="A17" s="699">
        <f ca="1">IF(ROWS($1:7)&gt;COUNT(Dong6),"",OFFSET(TH!C$1,SMALL(Dong6,ROWS($1:7)),))</f>
        <v>41146</v>
      </c>
      <c r="B17" s="700" t="str">
        <f ca="1">IF(ROWS($1:7)&gt;COUNT(Dong6),"",OFFSET(TH!D$1,SMALL(Dong6,ROWS($1:7)),))</f>
        <v>GBN</v>
      </c>
      <c r="C17" s="699">
        <f ca="1">IF(ROWS($1:7)&gt;COUNT(Dong6),"",OFFSET(TH!E$1,SMALL(Dong6,ROWS($1:7)),))</f>
        <v>41146</v>
      </c>
      <c r="D17" s="701" t="str">
        <f ca="1">IF(ROWS($1:7)&gt;COUNT(Dong6),"",OFFSET(TH!F$1,SMALL(Dong6,ROWS($1:7)),))</f>
        <v>Thu phí quản lý tài khoản</v>
      </c>
      <c r="E17" s="700">
        <f t="shared" ca="1" si="0"/>
        <v>7</v>
      </c>
      <c r="F17" s="702" t="str">
        <f ca="1">IF(ROWS($1:7)&gt;COUNT(Dong6),"",OFFSET(TH!L$1,SMALL(Dong6,ROWS($1:7)),))</f>
        <v>642</v>
      </c>
      <c r="G17" s="702" t="str">
        <f ca="1">IF(ROWS($1:7)&gt;COUNT(Dong6),"",OFFSET(TH!M$1,SMALL(Dong6,ROWS($1:7)),))</f>
        <v>1121</v>
      </c>
      <c r="H17" s="606">
        <f ca="1">IF(ROWS($1:7)&gt;COUNT(Dong6),"",OFFSET(TH!K$1,SMALL(Dong6,ROWS($1:7)),))</f>
        <v>11000</v>
      </c>
      <c r="I17" s="606">
        <f ca="1">IF(ROWS($1:7)&gt;COUNT(Dong6),"",OFFSET(TH!K$1,SMALL(Dong6,ROWS($1:7)),))</f>
        <v>11000</v>
      </c>
    </row>
    <row r="18" spans="1:9" s="691" customFormat="1" ht="21" customHeight="1">
      <c r="A18" s="699">
        <f ca="1">IF(ROWS($1:8)&gt;COUNT(Dong6),"",OFFSET(TH!C$1,SMALL(Dong6,ROWS($1:8)),))</f>
        <v>41153</v>
      </c>
      <c r="B18" s="700" t="str">
        <f ca="1">IF(ROWS($1:8)&gt;COUNT(Dong6),"",OFFSET(TH!D$1,SMALL(Dong6,ROWS($1:8)),))</f>
        <v>N01</v>
      </c>
      <c r="C18" s="699">
        <f ca="1">IF(ROWS($1:8)&gt;COUNT(Dong6),"",OFFSET(TH!E$1,SMALL(Dong6,ROWS($1:8)),))</f>
        <v>41153</v>
      </c>
      <c r="D18" s="701" t="str">
        <f ca="1">IF(ROWS($1:8)&gt;COUNT(Dong6),"",OFFSET(TH!F$1,SMALL(Dong6,ROWS($1:8)),))</f>
        <v>Giấy tấm 1N +2X (110x162)</v>
      </c>
      <c r="E18" s="700">
        <f t="shared" ca="1" si="0"/>
        <v>8</v>
      </c>
      <c r="F18" s="702" t="str">
        <f ca="1">IF(ROWS($1:8)&gt;COUNT(Dong6),"",OFFSET(TH!L$1,SMALL(Dong6,ROWS($1:8)),))</f>
        <v>156</v>
      </c>
      <c r="G18" s="702" t="str">
        <f ca="1">IF(ROWS($1:8)&gt;COUNT(Dong6),"",OFFSET(TH!M$1,SMALL(Dong6,ROWS($1:8)),))</f>
        <v>331</v>
      </c>
      <c r="H18" s="606">
        <f ca="1">IF(ROWS($1:8)&gt;COUNT(Dong6),"",OFFSET(TH!K$1,SMALL(Dong6,ROWS($1:8)),))</f>
        <v>6628800</v>
      </c>
      <c r="I18" s="606">
        <f ca="1">IF(ROWS($1:8)&gt;COUNT(Dong6),"",OFFSET(TH!K$1,SMALL(Dong6,ROWS($1:8)),))</f>
        <v>6628800</v>
      </c>
    </row>
    <row r="19" spans="1:9" s="691" customFormat="1" ht="21" customHeight="1">
      <c r="A19" s="699">
        <f ca="1">IF(ROWS($1:9)&gt;COUNT(Dong6),"",OFFSET(TH!C$1,SMALL(Dong6,ROWS($1:9)),))</f>
        <v>41153</v>
      </c>
      <c r="B19" s="700" t="str">
        <f ca="1">IF(ROWS($1:9)&gt;COUNT(Dong6),"",OFFSET(TH!D$1,SMALL(Dong6,ROWS($1:9)),))</f>
        <v>N01</v>
      </c>
      <c r="C19" s="699">
        <f ca="1">IF(ROWS($1:9)&gt;COUNT(Dong6),"",OFFSET(TH!E$1,SMALL(Dong6,ROWS($1:9)),))</f>
        <v>41153</v>
      </c>
      <c r="D19" s="701" t="str">
        <f ca="1">IF(ROWS($1:9)&gt;COUNT(Dong6),"",OFFSET(TH!F$1,SMALL(Dong6,ROWS($1:9)),))</f>
        <v>Giấy tấm 1N +2X (110x159)</v>
      </c>
      <c r="E19" s="700">
        <f t="shared" ca="1" si="0"/>
        <v>9</v>
      </c>
      <c r="F19" s="702" t="str">
        <f ca="1">IF(ROWS($1:9)&gt;COUNT(Dong6),"",OFFSET(TH!L$1,SMALL(Dong6,ROWS($1:9)),))</f>
        <v>156</v>
      </c>
      <c r="G19" s="702" t="str">
        <f ca="1">IF(ROWS($1:9)&gt;COUNT(Dong6),"",OFFSET(TH!M$1,SMALL(Dong6,ROWS($1:9)),))</f>
        <v>331</v>
      </c>
      <c r="H19" s="606">
        <f ca="1">IF(ROWS($1:9)&gt;COUNT(Dong6),"",OFFSET(TH!K$1,SMALL(Dong6,ROWS($1:9)),))</f>
        <v>6506400</v>
      </c>
      <c r="I19" s="606">
        <f ca="1">IF(ROWS($1:9)&gt;COUNT(Dong6),"",OFFSET(TH!K$1,SMALL(Dong6,ROWS($1:9)),))</f>
        <v>6506400</v>
      </c>
    </row>
    <row r="20" spans="1:9" s="691" customFormat="1" ht="21" customHeight="1">
      <c r="A20" s="699">
        <f ca="1">IF(ROWS($1:10)&gt;COUNT(Dong6),"",OFFSET(TH!C$1,SMALL(Dong6,ROWS($1:10)),))</f>
        <v>41153</v>
      </c>
      <c r="B20" s="700" t="str">
        <f ca="1">IF(ROWS($1:10)&gt;COUNT(Dong6),"",OFFSET(TH!D$1,SMALL(Dong6,ROWS($1:10)),))</f>
        <v>N01</v>
      </c>
      <c r="C20" s="699">
        <f ca="1">IF(ROWS($1:10)&gt;COUNT(Dong6),"",OFFSET(TH!E$1,SMALL(Dong6,ROWS($1:10)),))</f>
        <v>41153</v>
      </c>
      <c r="D20" s="701" t="str">
        <f ca="1">IF(ROWS($1:10)&gt;COUNT(Dong6),"",OFFSET(TH!F$1,SMALL(Dong6,ROWS($1:10)),))</f>
        <v xml:space="preserve">VAT Giấy tấm </v>
      </c>
      <c r="E20" s="700">
        <f t="shared" ca="1" si="0"/>
        <v>10</v>
      </c>
      <c r="F20" s="702" t="str">
        <f ca="1">IF(ROWS($1:10)&gt;COUNT(Dong6),"",OFFSET(TH!L$1,SMALL(Dong6,ROWS($1:10)),))</f>
        <v>1331</v>
      </c>
      <c r="G20" s="702" t="str">
        <f ca="1">IF(ROWS($1:10)&gt;COUNT(Dong6),"",OFFSET(TH!M$1,SMALL(Dong6,ROWS($1:10)),))</f>
        <v>331</v>
      </c>
      <c r="H20" s="606">
        <f ca="1">IF(ROWS($1:10)&gt;COUNT(Dong6),"",OFFSET(TH!K$1,SMALL(Dong6,ROWS($1:10)),))</f>
        <v>1313520</v>
      </c>
      <c r="I20" s="606">
        <f ca="1">IF(ROWS($1:10)&gt;COUNT(Dong6),"",OFFSET(TH!K$1,SMALL(Dong6,ROWS($1:10)),))</f>
        <v>1313520</v>
      </c>
    </row>
    <row r="21" spans="1:9" s="691" customFormat="1" ht="21" customHeight="1">
      <c r="A21" s="699">
        <f ca="1">IF(ROWS($1:11)&gt;COUNT(Dong6),"",OFFSET(TH!C$1,SMALL(Dong6,ROWS($1:11)),))</f>
        <v>41153</v>
      </c>
      <c r="B21" s="700" t="str">
        <f ca="1">IF(ROWS($1:11)&gt;COUNT(Dong6),"",OFFSET(TH!D$1,SMALL(Dong6,ROWS($1:11)),))</f>
        <v>C04</v>
      </c>
      <c r="C21" s="699">
        <f ca="1">IF(ROWS($1:11)&gt;COUNT(Dong6),"",OFFSET(TH!E$1,SMALL(Dong6,ROWS($1:11)),))</f>
        <v>41153</v>
      </c>
      <c r="D21" s="701" t="str">
        <f ca="1">IF(ROWS($1:11)&gt;COUNT(Dong6),"",OFFSET(TH!F$1,SMALL(Dong6,ROWS($1:11)),))</f>
        <v>Thanh toán tiền hàng</v>
      </c>
      <c r="E21" s="700">
        <f t="shared" ca="1" si="0"/>
        <v>11</v>
      </c>
      <c r="F21" s="702" t="str">
        <f ca="1">IF(ROWS($1:11)&gt;COUNT(Dong6),"",OFFSET(TH!L$1,SMALL(Dong6,ROWS($1:11)),))</f>
        <v>331</v>
      </c>
      <c r="G21" s="702" t="str">
        <f ca="1">IF(ROWS($1:11)&gt;COUNT(Dong6),"",OFFSET(TH!M$1,SMALL(Dong6,ROWS($1:11)),))</f>
        <v>1111</v>
      </c>
      <c r="H21" s="606">
        <f ca="1">IF(ROWS($1:11)&gt;COUNT(Dong6),"",OFFSET(TH!K$1,SMALL(Dong6,ROWS($1:11)),))</f>
        <v>14448720</v>
      </c>
      <c r="I21" s="606">
        <f ca="1">IF(ROWS($1:11)&gt;COUNT(Dong6),"",OFFSET(TH!K$1,SMALL(Dong6,ROWS($1:11)),))</f>
        <v>14448720</v>
      </c>
    </row>
    <row r="22" spans="1:9" s="691" customFormat="1" ht="21" customHeight="1">
      <c r="A22" s="699">
        <f ca="1">IF(ROWS($1:12)&gt;COUNT(Dong6),"",OFFSET(TH!C$1,SMALL(Dong6,ROWS($1:12)),))</f>
        <v>41155</v>
      </c>
      <c r="B22" s="700" t="str">
        <f ca="1">IF(ROWS($1:12)&gt;COUNT(Dong6),"",OFFSET(TH!D$1,SMALL(Dong6,ROWS($1:12)),))</f>
        <v>N02</v>
      </c>
      <c r="C22" s="699">
        <f ca="1">IF(ROWS($1:12)&gt;COUNT(Dong6),"",OFFSET(TH!E$1,SMALL(Dong6,ROWS($1:12)),))</f>
        <v>41155</v>
      </c>
      <c r="D22" s="701" t="str">
        <f ca="1">IF(ROWS($1:12)&gt;COUNT(Dong6),"",OFFSET(TH!F$1,SMALL(Dong6,ROWS($1:12)),))</f>
        <v>Giấy tấm 1N +2X (105x159)</v>
      </c>
      <c r="E22" s="700">
        <f t="shared" ca="1" si="0"/>
        <v>12</v>
      </c>
      <c r="F22" s="702" t="str">
        <f ca="1">IF(ROWS($1:12)&gt;COUNT(Dong6),"",OFFSET(TH!L$1,SMALL(Dong6,ROWS($1:12)),))</f>
        <v>156</v>
      </c>
      <c r="G22" s="702" t="str">
        <f ca="1">IF(ROWS($1:12)&gt;COUNT(Dong6),"",OFFSET(TH!M$1,SMALL(Dong6,ROWS($1:12)),))</f>
        <v>331</v>
      </c>
      <c r="H22" s="606">
        <f ca="1">IF(ROWS($1:12)&gt;COUNT(Dong6),"",OFFSET(TH!K$1,SMALL(Dong6,ROWS($1:12)),))</f>
        <v>5143000</v>
      </c>
      <c r="I22" s="606">
        <f ca="1">IF(ROWS($1:12)&gt;COUNT(Dong6),"",OFFSET(TH!K$1,SMALL(Dong6,ROWS($1:12)),))</f>
        <v>5143000</v>
      </c>
    </row>
    <row r="23" spans="1:9" s="691" customFormat="1" ht="21" customHeight="1">
      <c r="A23" s="699">
        <f ca="1">IF(ROWS($1:13)&gt;COUNT(Dong6),"",OFFSET(TH!C$1,SMALL(Dong6,ROWS($1:13)),))</f>
        <v>41155</v>
      </c>
      <c r="B23" s="700" t="str">
        <f ca="1">IF(ROWS($1:13)&gt;COUNT(Dong6),"",OFFSET(TH!D$1,SMALL(Dong6,ROWS($1:13)),))</f>
        <v>N02</v>
      </c>
      <c r="C23" s="699">
        <f ca="1">IF(ROWS($1:13)&gt;COUNT(Dong6),"",OFFSET(TH!E$1,SMALL(Dong6,ROWS($1:13)),))</f>
        <v>41155</v>
      </c>
      <c r="D23" s="701" t="str">
        <f ca="1">IF(ROWS($1:13)&gt;COUNT(Dong6),"",OFFSET(TH!F$1,SMALL(Dong6,ROWS($1:13)),))</f>
        <v>Giấy tấm 1N +2X (115x163)</v>
      </c>
      <c r="E23" s="700">
        <f t="shared" ca="1" si="0"/>
        <v>13</v>
      </c>
      <c r="F23" s="702" t="str">
        <f ca="1">IF(ROWS($1:13)&gt;COUNT(Dong6),"",OFFSET(TH!L$1,SMALL(Dong6,ROWS($1:13)),))</f>
        <v>156</v>
      </c>
      <c r="G23" s="702" t="str">
        <f ca="1">IF(ROWS($1:13)&gt;COUNT(Dong6),"",OFFSET(TH!M$1,SMALL(Dong6,ROWS($1:13)),))</f>
        <v>331</v>
      </c>
      <c r="H23" s="606">
        <f ca="1">IF(ROWS($1:13)&gt;COUNT(Dong6),"",OFFSET(TH!K$1,SMALL(Dong6,ROWS($1:13)),))</f>
        <v>5811000</v>
      </c>
      <c r="I23" s="606">
        <f ca="1">IF(ROWS($1:13)&gt;COUNT(Dong6),"",OFFSET(TH!K$1,SMALL(Dong6,ROWS($1:13)),))</f>
        <v>5811000</v>
      </c>
    </row>
    <row r="24" spans="1:9" s="691" customFormat="1" ht="21" customHeight="1">
      <c r="A24" s="699">
        <f ca="1">IF(ROWS($1:14)&gt;COUNT(Dong6),"",OFFSET(TH!C$1,SMALL(Dong6,ROWS($1:14)),))</f>
        <v>41155</v>
      </c>
      <c r="B24" s="700" t="str">
        <f ca="1">IF(ROWS($1:14)&gt;COUNT(Dong6),"",OFFSET(TH!D$1,SMALL(Dong6,ROWS($1:14)),))</f>
        <v>N02</v>
      </c>
      <c r="C24" s="699">
        <f ca="1">IF(ROWS($1:14)&gt;COUNT(Dong6),"",OFFSET(TH!E$1,SMALL(Dong6,ROWS($1:14)),))</f>
        <v>41155</v>
      </c>
      <c r="D24" s="701" t="str">
        <f ca="1">IF(ROWS($1:14)&gt;COUNT(Dong6),"",OFFSET(TH!F$1,SMALL(Dong6,ROWS($1:14)),))</f>
        <v xml:space="preserve">VAT Giấy tấm </v>
      </c>
      <c r="E24" s="700">
        <f t="shared" ca="1" si="0"/>
        <v>14</v>
      </c>
      <c r="F24" s="702" t="str">
        <f ca="1">IF(ROWS($1:14)&gt;COUNT(Dong6),"",OFFSET(TH!L$1,SMALL(Dong6,ROWS($1:14)),))</f>
        <v>1331</v>
      </c>
      <c r="G24" s="702" t="str">
        <f ca="1">IF(ROWS($1:14)&gt;COUNT(Dong6),"",OFFSET(TH!M$1,SMALL(Dong6,ROWS($1:14)),))</f>
        <v>331</v>
      </c>
      <c r="H24" s="606">
        <f ca="1">IF(ROWS($1:14)&gt;COUNT(Dong6),"",OFFSET(TH!K$1,SMALL(Dong6,ROWS($1:14)),))</f>
        <v>1095400</v>
      </c>
      <c r="I24" s="606">
        <f ca="1">IF(ROWS($1:14)&gt;COUNT(Dong6),"",OFFSET(TH!K$1,SMALL(Dong6,ROWS($1:14)),))</f>
        <v>1095400</v>
      </c>
    </row>
    <row r="25" spans="1:9" s="691" customFormat="1" ht="21" customHeight="1">
      <c r="A25" s="699">
        <f ca="1">IF(ROWS($1:15)&gt;COUNT(Dong6),"",OFFSET(TH!C$1,SMALL(Dong6,ROWS($1:15)),))</f>
        <v>41155</v>
      </c>
      <c r="B25" s="700" t="str">
        <f ca="1">IF(ROWS($1:15)&gt;COUNT(Dong6),"",OFFSET(TH!D$1,SMALL(Dong6,ROWS($1:15)),))</f>
        <v>C05</v>
      </c>
      <c r="C25" s="699">
        <f ca="1">IF(ROWS($1:15)&gt;COUNT(Dong6),"",OFFSET(TH!E$1,SMALL(Dong6,ROWS($1:15)),))</f>
        <v>41155</v>
      </c>
      <c r="D25" s="701" t="str">
        <f ca="1">IF(ROWS($1:15)&gt;COUNT(Dong6),"",OFFSET(TH!F$1,SMALL(Dong6,ROWS($1:15)),))</f>
        <v>Thanh toán tiền hàng</v>
      </c>
      <c r="E25" s="700">
        <f t="shared" ca="1" si="0"/>
        <v>15</v>
      </c>
      <c r="F25" s="702" t="str">
        <f ca="1">IF(ROWS($1:15)&gt;COUNT(Dong6),"",OFFSET(TH!L$1,SMALL(Dong6,ROWS($1:15)),))</f>
        <v>331</v>
      </c>
      <c r="G25" s="702" t="str">
        <f ca="1">IF(ROWS($1:15)&gt;COUNT(Dong6),"",OFFSET(TH!M$1,SMALL(Dong6,ROWS($1:15)),))</f>
        <v>1111</v>
      </c>
      <c r="H25" s="606">
        <f ca="1">IF(ROWS($1:15)&gt;COUNT(Dong6),"",OFFSET(TH!K$1,SMALL(Dong6,ROWS($1:15)),))</f>
        <v>12049400</v>
      </c>
      <c r="I25" s="606">
        <f ca="1">IF(ROWS($1:15)&gt;COUNT(Dong6),"",OFFSET(TH!K$1,SMALL(Dong6,ROWS($1:15)),))</f>
        <v>12049400</v>
      </c>
    </row>
    <row r="26" spans="1:9" s="691" customFormat="1" ht="21" customHeight="1">
      <c r="A26" s="699">
        <f ca="1">IF(ROWS($1:16)&gt;COUNT(Dong6),"",OFFSET(TH!C$1,SMALL(Dong6,ROWS($1:16)),))</f>
        <v>41156</v>
      </c>
      <c r="B26" s="700" t="str">
        <f ca="1">IF(ROWS($1:16)&gt;COUNT(Dong6),"",OFFSET(TH!D$1,SMALL(Dong6,ROWS($1:16)),))</f>
        <v>N03</v>
      </c>
      <c r="C26" s="699">
        <f ca="1">IF(ROWS($1:16)&gt;COUNT(Dong6),"",OFFSET(TH!E$1,SMALL(Dong6,ROWS($1:16)),))</f>
        <v>41156</v>
      </c>
      <c r="D26" s="701" t="str">
        <f ca="1">IF(ROWS($1:16)&gt;COUNT(Dong6),"",OFFSET(TH!F$1,SMALL(Dong6,ROWS($1:16)),))</f>
        <v>Giấy tấm 1N +2X (110x151)</v>
      </c>
      <c r="E26" s="700">
        <f t="shared" ca="1" si="0"/>
        <v>16</v>
      </c>
      <c r="F26" s="702" t="str">
        <f ca="1">IF(ROWS($1:16)&gt;COUNT(Dong6),"",OFFSET(TH!L$1,SMALL(Dong6,ROWS($1:16)),))</f>
        <v>156</v>
      </c>
      <c r="G26" s="702" t="str">
        <f ca="1">IF(ROWS($1:16)&gt;COUNT(Dong6),"",OFFSET(TH!M$1,SMALL(Dong6,ROWS($1:16)),))</f>
        <v>331</v>
      </c>
      <c r="H26" s="606">
        <f ca="1">IF(ROWS($1:16)&gt;COUNT(Dong6),"",OFFSET(TH!K$1,SMALL(Dong6,ROWS($1:16)),))</f>
        <v>5663900</v>
      </c>
      <c r="I26" s="606">
        <f ca="1">IF(ROWS($1:16)&gt;COUNT(Dong6),"",OFFSET(TH!K$1,SMALL(Dong6,ROWS($1:16)),))</f>
        <v>5663900</v>
      </c>
    </row>
    <row r="27" spans="1:9" s="691" customFormat="1" ht="21" customHeight="1">
      <c r="A27" s="699">
        <f ca="1">IF(ROWS($1:17)&gt;COUNT(Dong6),"",OFFSET(TH!C$1,SMALL(Dong6,ROWS($1:17)),))</f>
        <v>41156</v>
      </c>
      <c r="B27" s="700" t="str">
        <f ca="1">IF(ROWS($1:17)&gt;COUNT(Dong6),"",OFFSET(TH!D$1,SMALL(Dong6,ROWS($1:17)),))</f>
        <v>N03</v>
      </c>
      <c r="C27" s="699">
        <f ca="1">IF(ROWS($1:17)&gt;COUNT(Dong6),"",OFFSET(TH!E$1,SMALL(Dong6,ROWS($1:17)),))</f>
        <v>41156</v>
      </c>
      <c r="D27" s="701" t="str">
        <f ca="1">IF(ROWS($1:17)&gt;COUNT(Dong6),"",OFFSET(TH!F$1,SMALL(Dong6,ROWS($1:17)),))</f>
        <v>Giấy tấm 1N +2X (145x144)</v>
      </c>
      <c r="E27" s="700">
        <f t="shared" ca="1" si="0"/>
        <v>17</v>
      </c>
      <c r="F27" s="702" t="str">
        <f ca="1">IF(ROWS($1:17)&gt;COUNT(Dong6),"",OFFSET(TH!L$1,SMALL(Dong6,ROWS($1:17)),))</f>
        <v>156</v>
      </c>
      <c r="G27" s="702" t="str">
        <f ca="1">IF(ROWS($1:17)&gt;COUNT(Dong6),"",OFFSET(TH!M$1,SMALL(Dong6,ROWS($1:17)),))</f>
        <v>331</v>
      </c>
      <c r="H27" s="606">
        <f ca="1">IF(ROWS($1:17)&gt;COUNT(Dong6),"",OFFSET(TH!K$1,SMALL(Dong6,ROWS($1:17)),))</f>
        <v>8544360</v>
      </c>
      <c r="I27" s="606">
        <f ca="1">IF(ROWS($1:17)&gt;COUNT(Dong6),"",OFFSET(TH!K$1,SMALL(Dong6,ROWS($1:17)),))</f>
        <v>8544360</v>
      </c>
    </row>
    <row r="28" spans="1:9" s="691" customFormat="1" ht="21" customHeight="1">
      <c r="A28" s="699">
        <f ca="1">IF(ROWS($1:18)&gt;COUNT(Dong6),"",OFFSET(TH!C$1,SMALL(Dong6,ROWS($1:18)),))</f>
        <v>41156</v>
      </c>
      <c r="B28" s="700" t="str">
        <f ca="1">IF(ROWS($1:18)&gt;COUNT(Dong6),"",OFFSET(TH!D$1,SMALL(Dong6,ROWS($1:18)),))</f>
        <v>N03</v>
      </c>
      <c r="C28" s="699">
        <f ca="1">IF(ROWS($1:18)&gt;COUNT(Dong6),"",OFFSET(TH!E$1,SMALL(Dong6,ROWS($1:18)),))</f>
        <v>41156</v>
      </c>
      <c r="D28" s="701" t="str">
        <f ca="1">IF(ROWS($1:18)&gt;COUNT(Dong6),"",OFFSET(TH!F$1,SMALL(Dong6,ROWS($1:18)),))</f>
        <v xml:space="preserve">VAT Giấy tấm </v>
      </c>
      <c r="E28" s="700">
        <f t="shared" ca="1" si="0"/>
        <v>18</v>
      </c>
      <c r="F28" s="702" t="str">
        <f ca="1">IF(ROWS($1:18)&gt;COUNT(Dong6),"",OFFSET(TH!L$1,SMALL(Dong6,ROWS($1:18)),))</f>
        <v>1331</v>
      </c>
      <c r="G28" s="702" t="str">
        <f ca="1">IF(ROWS($1:18)&gt;COUNT(Dong6),"",OFFSET(TH!M$1,SMALL(Dong6,ROWS($1:18)),))</f>
        <v>331</v>
      </c>
      <c r="H28" s="606">
        <f ca="1">IF(ROWS($1:18)&gt;COUNT(Dong6),"",OFFSET(TH!K$1,SMALL(Dong6,ROWS($1:18)),))</f>
        <v>1420826</v>
      </c>
      <c r="I28" s="606">
        <f ca="1">IF(ROWS($1:18)&gt;COUNT(Dong6),"",OFFSET(TH!K$1,SMALL(Dong6,ROWS($1:18)),))</f>
        <v>1420826</v>
      </c>
    </row>
    <row r="29" spans="1:9" s="691" customFormat="1" ht="21" customHeight="1">
      <c r="A29" s="699">
        <f ca="1">IF(ROWS($1:19)&gt;COUNT(Dong6),"",OFFSET(TH!C$1,SMALL(Dong6,ROWS($1:19)),))</f>
        <v>41156</v>
      </c>
      <c r="B29" s="700" t="str">
        <f ca="1">IF(ROWS($1:19)&gt;COUNT(Dong6),"",OFFSET(TH!D$1,SMALL(Dong6,ROWS($1:19)),))</f>
        <v>C06</v>
      </c>
      <c r="C29" s="699">
        <f ca="1">IF(ROWS($1:19)&gt;COUNT(Dong6),"",OFFSET(TH!E$1,SMALL(Dong6,ROWS($1:19)),))</f>
        <v>41156</v>
      </c>
      <c r="D29" s="701" t="str">
        <f ca="1">IF(ROWS($1:19)&gt;COUNT(Dong6),"",OFFSET(TH!F$1,SMALL(Dong6,ROWS($1:19)),))</f>
        <v>Thanh toán tiền hàng</v>
      </c>
      <c r="E29" s="700">
        <f t="shared" ca="1" si="0"/>
        <v>19</v>
      </c>
      <c r="F29" s="702" t="str">
        <f ca="1">IF(ROWS($1:19)&gt;COUNT(Dong6),"",OFFSET(TH!L$1,SMALL(Dong6,ROWS($1:19)),))</f>
        <v>331</v>
      </c>
      <c r="G29" s="702" t="str">
        <f ca="1">IF(ROWS($1:19)&gt;COUNT(Dong6),"",OFFSET(TH!M$1,SMALL(Dong6,ROWS($1:19)),))</f>
        <v>1111</v>
      </c>
      <c r="H29" s="606">
        <f ca="1">IF(ROWS($1:19)&gt;COUNT(Dong6),"",OFFSET(TH!K$1,SMALL(Dong6,ROWS($1:19)),))</f>
        <v>15629086</v>
      </c>
      <c r="I29" s="606">
        <f ca="1">IF(ROWS($1:19)&gt;COUNT(Dong6),"",OFFSET(TH!K$1,SMALL(Dong6,ROWS($1:19)),))</f>
        <v>15629086</v>
      </c>
    </row>
    <row r="30" spans="1:9" s="691" customFormat="1" ht="21" customHeight="1">
      <c r="A30" s="699">
        <f ca="1">IF(ROWS($1:20)&gt;COUNT(Dong6),"",OFFSET(TH!C$1,SMALL(Dong6,ROWS($1:20)),))</f>
        <v>41160</v>
      </c>
      <c r="B30" s="700" t="str">
        <f ca="1">IF(ROWS($1:20)&gt;COUNT(Dong6),"",OFFSET(TH!D$1,SMALL(Dong6,ROWS($1:20)),))</f>
        <v>N04</v>
      </c>
      <c r="C30" s="699">
        <f ca="1">IF(ROWS($1:20)&gt;COUNT(Dong6),"",OFFSET(TH!E$1,SMALL(Dong6,ROWS($1:20)),))</f>
        <v>41160</v>
      </c>
      <c r="D30" s="701" t="str">
        <f ca="1">IF(ROWS($1:20)&gt;COUNT(Dong6),"",OFFSET(TH!F$1,SMALL(Dong6,ROWS($1:20)),))</f>
        <v>Giấy tấm 1N +2X (145x144)</v>
      </c>
      <c r="E30" s="700">
        <f t="shared" ca="1" si="0"/>
        <v>20</v>
      </c>
      <c r="F30" s="702" t="str">
        <f ca="1">IF(ROWS($1:20)&gt;COUNT(Dong6),"",OFFSET(TH!L$1,SMALL(Dong6,ROWS($1:20)),))</f>
        <v>156</v>
      </c>
      <c r="G30" s="702" t="str">
        <f ca="1">IF(ROWS($1:20)&gt;COUNT(Dong6),"",OFFSET(TH!M$1,SMALL(Dong6,ROWS($1:20)),))</f>
        <v>331</v>
      </c>
      <c r="H30" s="606">
        <f ca="1">IF(ROWS($1:20)&gt;COUNT(Dong6),"",OFFSET(TH!K$1,SMALL(Dong6,ROWS($1:20)),))</f>
        <v>5133600</v>
      </c>
      <c r="I30" s="606">
        <f ca="1">IF(ROWS($1:20)&gt;COUNT(Dong6),"",OFFSET(TH!K$1,SMALL(Dong6,ROWS($1:20)),))</f>
        <v>5133600</v>
      </c>
    </row>
    <row r="31" spans="1:9" s="691" customFormat="1" ht="21" customHeight="1">
      <c r="A31" s="699">
        <f ca="1">IF(ROWS($1:21)&gt;COUNT(Dong6),"",OFFSET(TH!C$1,SMALL(Dong6,ROWS($1:21)),))</f>
        <v>41160</v>
      </c>
      <c r="B31" s="700" t="str">
        <f ca="1">IF(ROWS($1:21)&gt;COUNT(Dong6),"",OFFSET(TH!D$1,SMALL(Dong6,ROWS($1:21)),))</f>
        <v>N04</v>
      </c>
      <c r="C31" s="699">
        <f ca="1">IF(ROWS($1:21)&gt;COUNT(Dong6),"",OFFSET(TH!E$1,SMALL(Dong6,ROWS($1:21)),))</f>
        <v>41160</v>
      </c>
      <c r="D31" s="701" t="str">
        <f ca="1">IF(ROWS($1:21)&gt;COUNT(Dong6),"",OFFSET(TH!F$1,SMALL(Dong6,ROWS($1:21)),))</f>
        <v xml:space="preserve">VAT Giấy tấm </v>
      </c>
      <c r="E31" s="700">
        <f t="shared" ca="1" si="0"/>
        <v>21</v>
      </c>
      <c r="F31" s="702" t="str">
        <f ca="1">IF(ROWS($1:21)&gt;COUNT(Dong6),"",OFFSET(TH!L$1,SMALL(Dong6,ROWS($1:21)),))</f>
        <v>1331</v>
      </c>
      <c r="G31" s="702" t="str">
        <f ca="1">IF(ROWS($1:21)&gt;COUNT(Dong6),"",OFFSET(TH!M$1,SMALL(Dong6,ROWS($1:21)),))</f>
        <v>331</v>
      </c>
      <c r="H31" s="606">
        <f ca="1">IF(ROWS($1:21)&gt;COUNT(Dong6),"",OFFSET(TH!K$1,SMALL(Dong6,ROWS($1:21)),))</f>
        <v>513360</v>
      </c>
      <c r="I31" s="606">
        <f ca="1">IF(ROWS($1:21)&gt;COUNT(Dong6),"",OFFSET(TH!K$1,SMALL(Dong6,ROWS($1:21)),))</f>
        <v>513360</v>
      </c>
    </row>
    <row r="32" spans="1:9" s="691" customFormat="1" ht="21" customHeight="1">
      <c r="A32" s="699">
        <f ca="1">IF(ROWS($1:22)&gt;COUNT(Dong6),"",OFFSET(TH!C$1,SMALL(Dong6,ROWS($1:22)),))</f>
        <v>41160</v>
      </c>
      <c r="B32" s="700" t="str">
        <f ca="1">IF(ROWS($1:22)&gt;COUNT(Dong6),"",OFFSET(TH!D$1,SMALL(Dong6,ROWS($1:22)),))</f>
        <v>C07</v>
      </c>
      <c r="C32" s="699">
        <f ca="1">IF(ROWS($1:22)&gt;COUNT(Dong6),"",OFFSET(TH!E$1,SMALL(Dong6,ROWS($1:22)),))</f>
        <v>41160</v>
      </c>
      <c r="D32" s="701" t="str">
        <f ca="1">IF(ROWS($1:22)&gt;COUNT(Dong6),"",OFFSET(TH!F$1,SMALL(Dong6,ROWS($1:22)),))</f>
        <v>Thanh toán tiền hàng</v>
      </c>
      <c r="E32" s="700">
        <f t="shared" ca="1" si="0"/>
        <v>22</v>
      </c>
      <c r="F32" s="702" t="str">
        <f ca="1">IF(ROWS($1:22)&gt;COUNT(Dong6),"",OFFSET(TH!L$1,SMALL(Dong6,ROWS($1:22)),))</f>
        <v>331</v>
      </c>
      <c r="G32" s="702" t="str">
        <f ca="1">IF(ROWS($1:22)&gt;COUNT(Dong6),"",OFFSET(TH!M$1,SMALL(Dong6,ROWS($1:22)),))</f>
        <v>1111</v>
      </c>
      <c r="H32" s="606">
        <f ca="1">IF(ROWS($1:22)&gt;COUNT(Dong6),"",OFFSET(TH!K$1,SMALL(Dong6,ROWS($1:22)),))</f>
        <v>5646960</v>
      </c>
      <c r="I32" s="606">
        <f ca="1">IF(ROWS($1:22)&gt;COUNT(Dong6),"",OFFSET(TH!K$1,SMALL(Dong6,ROWS($1:22)),))</f>
        <v>5646960</v>
      </c>
    </row>
    <row r="33" spans="1:9" s="691" customFormat="1" ht="21" customHeight="1">
      <c r="A33" s="699">
        <f ca="1">IF(ROWS($1:23)&gt;COUNT(Dong6),"",OFFSET(TH!C$1,SMALL(Dong6,ROWS($1:23)),))</f>
        <v>41167</v>
      </c>
      <c r="B33" s="700" t="str">
        <f ca="1">IF(ROWS($1:23)&gt;COUNT(Dong6),"",OFFSET(TH!D$1,SMALL(Dong6,ROWS($1:23)),))</f>
        <v>X01</v>
      </c>
      <c r="C33" s="699">
        <f ca="1">IF(ROWS($1:23)&gt;COUNT(Dong6),"",OFFSET(TH!E$1,SMALL(Dong6,ROWS($1:23)),))</f>
        <v>41167</v>
      </c>
      <c r="D33" s="701" t="str">
        <f ca="1">IF(ROWS($1:23)&gt;COUNT(Dong6),"",OFFSET(TH!F$1,SMALL(Dong6,ROWS($1:23)),))</f>
        <v>Thùng carton (52x27x27)</v>
      </c>
      <c r="E33" s="700">
        <f t="shared" ca="1" si="0"/>
        <v>23</v>
      </c>
      <c r="F33" s="702" t="str">
        <f ca="1">IF(ROWS($1:23)&gt;COUNT(Dong6),"",OFFSET(TH!L$1,SMALL(Dong6,ROWS($1:23)),))</f>
        <v>131</v>
      </c>
      <c r="G33" s="702" t="str">
        <f ca="1">IF(ROWS($1:23)&gt;COUNT(Dong6),"",OFFSET(TH!M$1,SMALL(Dong6,ROWS($1:23)),))</f>
        <v>5112</v>
      </c>
      <c r="H33" s="606">
        <f ca="1">IF(ROWS($1:23)&gt;COUNT(Dong6),"",OFFSET(TH!K$1,SMALL(Dong6,ROWS($1:23)),))</f>
        <v>8136000</v>
      </c>
      <c r="I33" s="606">
        <f ca="1">IF(ROWS($1:23)&gt;COUNT(Dong6),"",OFFSET(TH!K$1,SMALL(Dong6,ROWS($1:23)),))</f>
        <v>8136000</v>
      </c>
    </row>
    <row r="34" spans="1:9" s="691" customFormat="1" ht="21" customHeight="1">
      <c r="A34" s="699">
        <f ca="1">IF(ROWS($1:24)&gt;COUNT(Dong6),"",OFFSET(TH!C$1,SMALL(Dong6,ROWS($1:24)),))</f>
        <v>41167</v>
      </c>
      <c r="B34" s="700" t="str">
        <f ca="1">IF(ROWS($1:24)&gt;COUNT(Dong6),"",OFFSET(TH!D$1,SMALL(Dong6,ROWS($1:24)),))</f>
        <v>X01</v>
      </c>
      <c r="C34" s="699">
        <f ca="1">IF(ROWS($1:24)&gt;COUNT(Dong6),"",OFFSET(TH!E$1,SMALL(Dong6,ROWS($1:24)),))</f>
        <v>41167</v>
      </c>
      <c r="D34" s="701" t="str">
        <f ca="1">IF(ROWS($1:24)&gt;COUNT(Dong6),"",OFFSET(TH!F$1,SMALL(Dong6,ROWS($1:24)),))</f>
        <v>Tấm lót</v>
      </c>
      <c r="E34" s="700">
        <f t="shared" ca="1" si="0"/>
        <v>24</v>
      </c>
      <c r="F34" s="702" t="str">
        <f ca="1">IF(ROWS($1:24)&gt;COUNT(Dong6),"",OFFSET(TH!L$1,SMALL(Dong6,ROWS($1:24)),))</f>
        <v>131</v>
      </c>
      <c r="G34" s="702" t="str">
        <f ca="1">IF(ROWS($1:24)&gt;COUNT(Dong6),"",OFFSET(TH!M$1,SMALL(Dong6,ROWS($1:24)),))</f>
        <v>5112</v>
      </c>
      <c r="H34" s="606">
        <f ca="1">IF(ROWS($1:24)&gt;COUNT(Dong6),"",OFFSET(TH!K$1,SMALL(Dong6,ROWS($1:24)),))</f>
        <v>10530000</v>
      </c>
      <c r="I34" s="606">
        <f ca="1">IF(ROWS($1:24)&gt;COUNT(Dong6),"",OFFSET(TH!K$1,SMALL(Dong6,ROWS($1:24)),))</f>
        <v>10530000</v>
      </c>
    </row>
    <row r="35" spans="1:9" s="691" customFormat="1" ht="21" customHeight="1">
      <c r="A35" s="699">
        <f ca="1">IF(ROWS($1:25)&gt;COUNT(Dong6),"",OFFSET(TH!C$1,SMALL(Dong6,ROWS($1:25)),))</f>
        <v>41167</v>
      </c>
      <c r="B35" s="700" t="str">
        <f ca="1">IF(ROWS($1:25)&gt;COUNT(Dong6),"",OFFSET(TH!D$1,SMALL(Dong6,ROWS($1:25)),))</f>
        <v>X01</v>
      </c>
      <c r="C35" s="699">
        <f ca="1">IF(ROWS($1:25)&gt;COUNT(Dong6),"",OFFSET(TH!E$1,SMALL(Dong6,ROWS($1:25)),))</f>
        <v>41167</v>
      </c>
      <c r="D35" s="701" t="str">
        <f ca="1">IF(ROWS($1:25)&gt;COUNT(Dong6),"",OFFSET(TH!F$1,SMALL(Dong6,ROWS($1:25)),))</f>
        <v>VAT Thùng</v>
      </c>
      <c r="E35" s="700">
        <f t="shared" ca="1" si="0"/>
        <v>25</v>
      </c>
      <c r="F35" s="702" t="str">
        <f ca="1">IF(ROWS($1:25)&gt;COUNT(Dong6),"",OFFSET(TH!L$1,SMALL(Dong6,ROWS($1:25)),))</f>
        <v>131</v>
      </c>
      <c r="G35" s="702" t="str">
        <f ca="1">IF(ROWS($1:25)&gt;COUNT(Dong6),"",OFFSET(TH!M$1,SMALL(Dong6,ROWS($1:25)),))</f>
        <v>3331</v>
      </c>
      <c r="H35" s="606">
        <f ca="1">IF(ROWS($1:25)&gt;COUNT(Dong6),"",OFFSET(TH!K$1,SMALL(Dong6,ROWS($1:25)),))</f>
        <v>1866600</v>
      </c>
      <c r="I35" s="606">
        <f ca="1">IF(ROWS($1:25)&gt;COUNT(Dong6),"",OFFSET(TH!K$1,SMALL(Dong6,ROWS($1:25)),))</f>
        <v>1866600</v>
      </c>
    </row>
    <row r="36" spans="1:9" s="691" customFormat="1" ht="21" customHeight="1">
      <c r="A36" s="699">
        <f ca="1">IF(ROWS($1:26)&gt;COUNT(Dong6),"",OFFSET(TH!C$1,SMALL(Dong6,ROWS($1:26)),))</f>
        <v>41167</v>
      </c>
      <c r="B36" s="700" t="str">
        <f ca="1">IF(ROWS($1:26)&gt;COUNT(Dong6),"",OFFSET(TH!D$1,SMALL(Dong6,ROWS($1:26)),))</f>
        <v>X02</v>
      </c>
      <c r="C36" s="699">
        <f ca="1">IF(ROWS($1:26)&gt;COUNT(Dong6),"",OFFSET(TH!E$1,SMALL(Dong6,ROWS($1:26)),))</f>
        <v>41167</v>
      </c>
      <c r="D36" s="701" t="str">
        <f ca="1">IF(ROWS($1:26)&gt;COUNT(Dong6),"",OFFSET(TH!F$1,SMALL(Dong6,ROWS($1:26)),))</f>
        <v>Thùng carton (51,5x26x26)</v>
      </c>
      <c r="E36" s="700">
        <f t="shared" ca="1" si="0"/>
        <v>26</v>
      </c>
      <c r="F36" s="702" t="str">
        <f ca="1">IF(ROWS($1:26)&gt;COUNT(Dong6),"",OFFSET(TH!L$1,SMALL(Dong6,ROWS($1:26)),))</f>
        <v>131</v>
      </c>
      <c r="G36" s="702" t="str">
        <f ca="1">IF(ROWS($1:26)&gt;COUNT(Dong6),"",OFFSET(TH!M$1,SMALL(Dong6,ROWS($1:26)),))</f>
        <v>5112</v>
      </c>
      <c r="H36" s="606">
        <f ca="1">IF(ROWS($1:26)&gt;COUNT(Dong6),"",OFFSET(TH!K$1,SMALL(Dong6,ROWS($1:26)),))</f>
        <v>7294920</v>
      </c>
      <c r="I36" s="606">
        <f ca="1">IF(ROWS($1:26)&gt;COUNT(Dong6),"",OFFSET(TH!K$1,SMALL(Dong6,ROWS($1:26)),))</f>
        <v>7294920</v>
      </c>
    </row>
    <row r="37" spans="1:9" s="691" customFormat="1" ht="21" customHeight="1">
      <c r="A37" s="699">
        <f ca="1">IF(ROWS($1:27)&gt;COUNT(Dong6),"",OFFSET(TH!C$1,SMALL(Dong6,ROWS($1:27)),))</f>
        <v>41167</v>
      </c>
      <c r="B37" s="700" t="str">
        <f ca="1">IF(ROWS($1:27)&gt;COUNT(Dong6),"",OFFSET(TH!D$1,SMALL(Dong6,ROWS($1:27)),))</f>
        <v>X02</v>
      </c>
      <c r="C37" s="699">
        <f ca="1">IF(ROWS($1:27)&gt;COUNT(Dong6),"",OFFSET(TH!E$1,SMALL(Dong6,ROWS($1:27)),))</f>
        <v>41167</v>
      </c>
      <c r="D37" s="701" t="str">
        <f ca="1">IF(ROWS($1:27)&gt;COUNT(Dong6),"",OFFSET(TH!F$1,SMALL(Dong6,ROWS($1:27)),))</f>
        <v>VAT Thùng</v>
      </c>
      <c r="E37" s="700">
        <f t="shared" ca="1" si="0"/>
        <v>27</v>
      </c>
      <c r="F37" s="702" t="str">
        <f ca="1">IF(ROWS($1:27)&gt;COUNT(Dong6),"",OFFSET(TH!L$1,SMALL(Dong6,ROWS($1:27)),))</f>
        <v>131</v>
      </c>
      <c r="G37" s="702" t="str">
        <f ca="1">IF(ROWS($1:27)&gt;COUNT(Dong6),"",OFFSET(TH!M$1,SMALL(Dong6,ROWS($1:27)),))</f>
        <v>3331</v>
      </c>
      <c r="H37" s="606">
        <f ca="1">IF(ROWS($1:27)&gt;COUNT(Dong6),"",OFFSET(TH!K$1,SMALL(Dong6,ROWS($1:27)),))</f>
        <v>729492</v>
      </c>
      <c r="I37" s="606">
        <f ca="1">IF(ROWS($1:27)&gt;COUNT(Dong6),"",OFFSET(TH!K$1,SMALL(Dong6,ROWS($1:27)),))</f>
        <v>729492</v>
      </c>
    </row>
    <row r="38" spans="1:9" s="691" customFormat="1" ht="21" customHeight="1">
      <c r="A38" s="699">
        <f ca="1">IF(ROWS($1:28)&gt;COUNT(Dong6),"",OFFSET(TH!C$1,SMALL(Dong6,ROWS($1:28)),))</f>
        <v>41167</v>
      </c>
      <c r="B38" s="700" t="str">
        <f ca="1">IF(ROWS($1:28)&gt;COUNT(Dong6),"",OFFSET(TH!D$1,SMALL(Dong6,ROWS($1:28)),))</f>
        <v>X03</v>
      </c>
      <c r="C38" s="699">
        <f ca="1">IF(ROWS($1:28)&gt;COUNT(Dong6),"",OFFSET(TH!E$1,SMALL(Dong6,ROWS($1:28)),))</f>
        <v>41167</v>
      </c>
      <c r="D38" s="701" t="str">
        <f ca="1">IF(ROWS($1:28)&gt;COUNT(Dong6),"",OFFSET(TH!F$1,SMALL(Dong6,ROWS($1:28)),))</f>
        <v>Thùng carton (51,5x22x32)</v>
      </c>
      <c r="E38" s="700">
        <f t="shared" ca="1" si="0"/>
        <v>28</v>
      </c>
      <c r="F38" s="702" t="str">
        <f ca="1">IF(ROWS($1:28)&gt;COUNT(Dong6),"",OFFSET(TH!L$1,SMALL(Dong6,ROWS($1:28)),))</f>
        <v>131</v>
      </c>
      <c r="G38" s="702" t="str">
        <f ca="1">IF(ROWS($1:28)&gt;COUNT(Dong6),"",OFFSET(TH!M$1,SMALL(Dong6,ROWS($1:28)),))</f>
        <v>5112</v>
      </c>
      <c r="H38" s="606">
        <f ca="1">IF(ROWS($1:28)&gt;COUNT(Dong6),"",OFFSET(TH!K$1,SMALL(Dong6,ROWS($1:28)),))</f>
        <v>6938148</v>
      </c>
      <c r="I38" s="606">
        <f ca="1">IF(ROWS($1:28)&gt;COUNT(Dong6),"",OFFSET(TH!K$1,SMALL(Dong6,ROWS($1:28)),))</f>
        <v>6938148</v>
      </c>
    </row>
    <row r="39" spans="1:9" s="691" customFormat="1" ht="21" customHeight="1">
      <c r="A39" s="699">
        <f ca="1">IF(ROWS($1:29)&gt;COUNT(Dong6),"",OFFSET(TH!C$1,SMALL(Dong6,ROWS($1:29)),))</f>
        <v>41167</v>
      </c>
      <c r="B39" s="700" t="str">
        <f ca="1">IF(ROWS($1:29)&gt;COUNT(Dong6),"",OFFSET(TH!D$1,SMALL(Dong6,ROWS($1:29)),))</f>
        <v>X03</v>
      </c>
      <c r="C39" s="699">
        <f ca="1">IF(ROWS($1:29)&gt;COUNT(Dong6),"",OFFSET(TH!E$1,SMALL(Dong6,ROWS($1:29)),))</f>
        <v>41167</v>
      </c>
      <c r="D39" s="701" t="str">
        <f ca="1">IF(ROWS($1:29)&gt;COUNT(Dong6),"",OFFSET(TH!F$1,SMALL(Dong6,ROWS($1:29)),))</f>
        <v>Thùng carton (51,5x22,5x22,5)</v>
      </c>
      <c r="E39" s="700">
        <f t="shared" ca="1" si="0"/>
        <v>29</v>
      </c>
      <c r="F39" s="702" t="str">
        <f ca="1">IF(ROWS($1:29)&gt;COUNT(Dong6),"",OFFSET(TH!L$1,SMALL(Dong6,ROWS($1:29)),))</f>
        <v>131</v>
      </c>
      <c r="G39" s="702" t="str">
        <f ca="1">IF(ROWS($1:29)&gt;COUNT(Dong6),"",OFFSET(TH!M$1,SMALL(Dong6,ROWS($1:29)),))</f>
        <v>5112</v>
      </c>
      <c r="H39" s="606">
        <f ca="1">IF(ROWS($1:29)&gt;COUNT(Dong6),"",OFFSET(TH!K$1,SMALL(Dong6,ROWS($1:29)),))</f>
        <v>6262000</v>
      </c>
      <c r="I39" s="606">
        <f ca="1">IF(ROWS($1:29)&gt;COUNT(Dong6),"",OFFSET(TH!K$1,SMALL(Dong6,ROWS($1:29)),))</f>
        <v>6262000</v>
      </c>
    </row>
    <row r="40" spans="1:9" s="691" customFormat="1" ht="21" customHeight="1">
      <c r="A40" s="699">
        <f ca="1">IF(ROWS($1:30)&gt;COUNT(Dong6),"",OFFSET(TH!C$1,SMALL(Dong6,ROWS($1:30)),))</f>
        <v>41167</v>
      </c>
      <c r="B40" s="700" t="str">
        <f ca="1">IF(ROWS($1:30)&gt;COUNT(Dong6),"",OFFSET(TH!D$1,SMALL(Dong6,ROWS($1:30)),))</f>
        <v>X03</v>
      </c>
      <c r="C40" s="699">
        <f ca="1">IF(ROWS($1:30)&gt;COUNT(Dong6),"",OFFSET(TH!E$1,SMALL(Dong6,ROWS($1:30)),))</f>
        <v>41167</v>
      </c>
      <c r="D40" s="701" t="str">
        <f ca="1">IF(ROWS($1:30)&gt;COUNT(Dong6),"",OFFSET(TH!F$1,SMALL(Dong6,ROWS($1:30)),))</f>
        <v>Thùng carton (51,5x28x28)</v>
      </c>
      <c r="E40" s="700">
        <f t="shared" ca="1" si="0"/>
        <v>30</v>
      </c>
      <c r="F40" s="702" t="str">
        <f ca="1">IF(ROWS($1:30)&gt;COUNT(Dong6),"",OFFSET(TH!L$1,SMALL(Dong6,ROWS($1:30)),))</f>
        <v>131</v>
      </c>
      <c r="G40" s="702" t="str">
        <f ca="1">IF(ROWS($1:30)&gt;COUNT(Dong6),"",OFFSET(TH!M$1,SMALL(Dong6,ROWS($1:30)),))</f>
        <v>5112</v>
      </c>
      <c r="H40" s="606">
        <f ca="1">IF(ROWS($1:30)&gt;COUNT(Dong6),"",OFFSET(TH!K$1,SMALL(Dong6,ROWS($1:30)),))</f>
        <v>7465500</v>
      </c>
      <c r="I40" s="606">
        <f ca="1">IF(ROWS($1:30)&gt;COUNT(Dong6),"",OFFSET(TH!K$1,SMALL(Dong6,ROWS($1:30)),))</f>
        <v>7465500</v>
      </c>
    </row>
    <row r="41" spans="1:9" s="691" customFormat="1" ht="21" customHeight="1">
      <c r="A41" s="699">
        <f ca="1">IF(ROWS($1:31)&gt;COUNT(Dong6),"",OFFSET(TH!C$1,SMALL(Dong6,ROWS($1:31)),))</f>
        <v>41167</v>
      </c>
      <c r="B41" s="700" t="str">
        <f ca="1">IF(ROWS($1:31)&gt;COUNT(Dong6),"",OFFSET(TH!D$1,SMALL(Dong6,ROWS($1:31)),))</f>
        <v>X03</v>
      </c>
      <c r="C41" s="699">
        <f ca="1">IF(ROWS($1:31)&gt;COUNT(Dong6),"",OFFSET(TH!E$1,SMALL(Dong6,ROWS($1:31)),))</f>
        <v>41167</v>
      </c>
      <c r="D41" s="701" t="str">
        <f ca="1">IF(ROWS($1:31)&gt;COUNT(Dong6),"",OFFSET(TH!F$1,SMALL(Dong6,ROWS($1:31)),))</f>
        <v>VAT Thùng</v>
      </c>
      <c r="E41" s="700">
        <f t="shared" ref="E41:E50" ca="1" si="1">IF(D41&lt;&gt;"",ROW()-10,"")</f>
        <v>31</v>
      </c>
      <c r="F41" s="702" t="str">
        <f ca="1">IF(ROWS($1:31)&gt;COUNT(Dong6),"",OFFSET(TH!L$1,SMALL(Dong6,ROWS($1:31)),))</f>
        <v>131</v>
      </c>
      <c r="G41" s="702" t="str">
        <f ca="1">IF(ROWS($1:31)&gt;COUNT(Dong6),"",OFFSET(TH!M$1,SMALL(Dong6,ROWS($1:31)),))</f>
        <v>3331</v>
      </c>
      <c r="H41" s="606">
        <f ca="1">IF(ROWS($1:31)&gt;COUNT(Dong6),"",OFFSET(TH!K$1,SMALL(Dong6,ROWS($1:31)),))</f>
        <v>2066564</v>
      </c>
      <c r="I41" s="606">
        <f ca="1">IF(ROWS($1:31)&gt;COUNT(Dong6),"",OFFSET(TH!K$1,SMALL(Dong6,ROWS($1:31)),))</f>
        <v>2066564</v>
      </c>
    </row>
    <row r="42" spans="1:9" s="691" customFormat="1" ht="21" customHeight="1">
      <c r="A42" s="699">
        <f ca="1">IF(ROWS($1:32)&gt;COUNT(Dong6),"",OFFSET(TH!C$1,SMALL(Dong6,ROWS($1:32)),))</f>
        <v>41169</v>
      </c>
      <c r="B42" s="700" t="str">
        <f ca="1">IF(ROWS($1:32)&gt;COUNT(Dong6),"",OFFSET(TH!D$1,SMALL(Dong6,ROWS($1:32)),))</f>
        <v>GBC</v>
      </c>
      <c r="C42" s="699">
        <f ca="1">IF(ROWS($1:32)&gt;COUNT(Dong6),"",OFFSET(TH!E$1,SMALL(Dong6,ROWS($1:32)),))</f>
        <v>41169</v>
      </c>
      <c r="D42" s="701" t="str">
        <f ca="1">IF(ROWS($1:32)&gt;COUNT(Dong6),"",OFFSET(TH!F$1,SMALL(Dong6,ROWS($1:32)),))</f>
        <v>Thu tiền hàng</v>
      </c>
      <c r="E42" s="700">
        <f t="shared" ca="1" si="1"/>
        <v>32</v>
      </c>
      <c r="F42" s="702" t="str">
        <f ca="1">IF(ROWS($1:32)&gt;COUNT(Dong6),"",OFFSET(TH!L$1,SMALL(Dong6,ROWS($1:32)),))</f>
        <v>1121</v>
      </c>
      <c r="G42" s="702" t="str">
        <f ca="1">IF(ROWS($1:32)&gt;COUNT(Dong6),"",OFFSET(TH!M$1,SMALL(Dong6,ROWS($1:32)),))</f>
        <v>131</v>
      </c>
      <c r="H42" s="606">
        <f ca="1">IF(ROWS($1:32)&gt;COUNT(Dong6),"",OFFSET(TH!K$1,SMALL(Dong6,ROWS($1:32)),))</f>
        <v>20532600</v>
      </c>
      <c r="I42" s="606">
        <f ca="1">IF(ROWS($1:32)&gt;COUNT(Dong6),"",OFFSET(TH!K$1,SMALL(Dong6,ROWS($1:32)),))</f>
        <v>20532600</v>
      </c>
    </row>
    <row r="43" spans="1:9" s="691" customFormat="1" ht="21" customHeight="1">
      <c r="A43" s="699">
        <f ca="1">IF(ROWS($1:33)&gt;COUNT(Dong6),"",OFFSET(TH!C$1,SMALL(Dong6,ROWS($1:33)),))</f>
        <v>41169</v>
      </c>
      <c r="B43" s="700" t="str">
        <f ca="1">IF(ROWS($1:33)&gt;COUNT(Dong6),"",OFFSET(TH!D$1,SMALL(Dong6,ROWS($1:33)),))</f>
        <v>X04</v>
      </c>
      <c r="C43" s="699">
        <f ca="1">IF(ROWS($1:33)&gt;COUNT(Dong6),"",OFFSET(TH!E$1,SMALL(Dong6,ROWS($1:33)),))</f>
        <v>41169</v>
      </c>
      <c r="D43" s="701" t="str">
        <f ca="1">IF(ROWS($1:33)&gt;COUNT(Dong6),"",OFFSET(TH!F$1,SMALL(Dong6,ROWS($1:33)),))</f>
        <v>Thùng carton (22x22x51,5)</v>
      </c>
      <c r="E43" s="700">
        <f t="shared" ca="1" si="1"/>
        <v>33</v>
      </c>
      <c r="F43" s="702" t="str">
        <f ca="1">IF(ROWS($1:33)&gt;COUNT(Dong6),"",OFFSET(TH!L$1,SMALL(Dong6,ROWS($1:33)),))</f>
        <v>131</v>
      </c>
      <c r="G43" s="702" t="str">
        <f ca="1">IF(ROWS($1:33)&gt;COUNT(Dong6),"",OFFSET(TH!M$1,SMALL(Dong6,ROWS($1:33)),))</f>
        <v>5112</v>
      </c>
      <c r="H43" s="606">
        <f ca="1">IF(ROWS($1:33)&gt;COUNT(Dong6),"",OFFSET(TH!K$1,SMALL(Dong6,ROWS($1:33)),))</f>
        <v>6180000</v>
      </c>
      <c r="I43" s="606">
        <f ca="1">IF(ROWS($1:33)&gt;COUNT(Dong6),"",OFFSET(TH!K$1,SMALL(Dong6,ROWS($1:33)),))</f>
        <v>6180000</v>
      </c>
    </row>
    <row r="44" spans="1:9" s="691" customFormat="1" ht="21" customHeight="1">
      <c r="A44" s="699">
        <f ca="1">IF(ROWS($1:34)&gt;COUNT(Dong6),"",OFFSET(TH!C$1,SMALL(Dong6,ROWS($1:34)),))</f>
        <v>41169</v>
      </c>
      <c r="B44" s="700" t="str">
        <f ca="1">IF(ROWS($1:34)&gt;COUNT(Dong6),"",OFFSET(TH!D$1,SMALL(Dong6,ROWS($1:34)),))</f>
        <v>X04</v>
      </c>
      <c r="C44" s="699">
        <f ca="1">IF(ROWS($1:34)&gt;COUNT(Dong6),"",OFFSET(TH!E$1,SMALL(Dong6,ROWS($1:34)),))</f>
        <v>41169</v>
      </c>
      <c r="D44" s="701" t="str">
        <f ca="1">IF(ROWS($1:34)&gt;COUNT(Dong6),"",OFFSET(TH!F$1,SMALL(Dong6,ROWS($1:34)),))</f>
        <v>VAT Thùng</v>
      </c>
      <c r="E44" s="700">
        <f t="shared" ca="1" si="1"/>
        <v>34</v>
      </c>
      <c r="F44" s="702" t="str">
        <f ca="1">IF(ROWS($1:34)&gt;COUNT(Dong6),"",OFFSET(TH!L$1,SMALL(Dong6,ROWS($1:34)),))</f>
        <v>131</v>
      </c>
      <c r="G44" s="702" t="str">
        <f ca="1">IF(ROWS($1:34)&gt;COUNT(Dong6),"",OFFSET(TH!M$1,SMALL(Dong6,ROWS($1:34)),))</f>
        <v>3331</v>
      </c>
      <c r="H44" s="606">
        <f ca="1">IF(ROWS($1:34)&gt;COUNT(Dong6),"",OFFSET(TH!K$1,SMALL(Dong6,ROWS($1:34)),))</f>
        <v>618000</v>
      </c>
      <c r="I44" s="606">
        <f ca="1">IF(ROWS($1:34)&gt;COUNT(Dong6),"",OFFSET(TH!K$1,SMALL(Dong6,ROWS($1:34)),))</f>
        <v>618000</v>
      </c>
    </row>
    <row r="45" spans="1:9" s="691" customFormat="1" ht="21" customHeight="1">
      <c r="A45" s="699">
        <f ca="1">IF(ROWS($1:35)&gt;COUNT(Dong6),"",OFFSET(TH!C$1,SMALL(Dong6,ROWS($1:35)),))</f>
        <v>41169</v>
      </c>
      <c r="B45" s="700" t="str">
        <f ca="1">IF(ROWS($1:35)&gt;COUNT(Dong6),"",OFFSET(TH!D$1,SMALL(Dong6,ROWS($1:35)),))</f>
        <v>T02</v>
      </c>
      <c r="C45" s="699">
        <f ca="1">IF(ROWS($1:35)&gt;COUNT(Dong6),"",OFFSET(TH!E$1,SMALL(Dong6,ROWS($1:35)),))</f>
        <v>41169</v>
      </c>
      <c r="D45" s="701" t="str">
        <f ca="1">IF(ROWS($1:35)&gt;COUNT(Dong6),"",OFFSET(TH!F$1,SMALL(Dong6,ROWS($1:35)),))</f>
        <v>Thu tiền hàng</v>
      </c>
      <c r="E45" s="700">
        <f t="shared" ca="1" si="1"/>
        <v>35</v>
      </c>
      <c r="F45" s="702" t="str">
        <f ca="1">IF(ROWS($1:35)&gt;COUNT(Dong6),"",OFFSET(TH!L$1,SMALL(Dong6,ROWS($1:35)),))</f>
        <v>1111</v>
      </c>
      <c r="G45" s="702" t="str">
        <f ca="1">IF(ROWS($1:35)&gt;COUNT(Dong6),"",OFFSET(TH!M$1,SMALL(Dong6,ROWS($1:35)),))</f>
        <v>131</v>
      </c>
      <c r="H45" s="606">
        <f ca="1">IF(ROWS($1:35)&gt;COUNT(Dong6),"",OFFSET(TH!K$1,SMALL(Dong6,ROWS($1:35)),))</f>
        <v>6798000</v>
      </c>
      <c r="I45" s="606">
        <f ca="1">IF(ROWS($1:35)&gt;COUNT(Dong6),"",OFFSET(TH!K$1,SMALL(Dong6,ROWS($1:35)),))</f>
        <v>6798000</v>
      </c>
    </row>
    <row r="46" spans="1:9" s="691" customFormat="1" ht="21" customHeight="1">
      <c r="A46" s="699">
        <f ca="1">IF(ROWS($1:36)&gt;COUNT(Dong6),"",OFFSET(TH!C$1,SMALL(Dong6,ROWS($1:36)),))</f>
        <v>41171</v>
      </c>
      <c r="B46" s="700" t="str">
        <f ca="1">IF(ROWS($1:36)&gt;COUNT(Dong6),"",OFFSET(TH!D$1,SMALL(Dong6,ROWS($1:36)),))</f>
        <v>C08</v>
      </c>
      <c r="C46" s="699">
        <f ca="1">IF(ROWS($1:36)&gt;COUNT(Dong6),"",OFFSET(TH!E$1,SMALL(Dong6,ROWS($1:36)),))</f>
        <v>41171</v>
      </c>
      <c r="D46" s="701" t="str">
        <f ca="1">IF(ROWS($1:36)&gt;COUNT(Dong6),"",OFFSET(TH!F$1,SMALL(Dong6,ROWS($1:36)),))</f>
        <v>Thanh toán tiền viễn thông</v>
      </c>
      <c r="E46" s="700">
        <f t="shared" ca="1" si="1"/>
        <v>36</v>
      </c>
      <c r="F46" s="702" t="str">
        <f ca="1">IF(ROWS($1:36)&gt;COUNT(Dong6),"",OFFSET(TH!L$1,SMALL(Dong6,ROWS($1:36)),))</f>
        <v>642</v>
      </c>
      <c r="G46" s="702" t="str">
        <f ca="1">IF(ROWS($1:36)&gt;COUNT(Dong6),"",OFFSET(TH!M$1,SMALL(Dong6,ROWS($1:36)),))</f>
        <v>1111</v>
      </c>
      <c r="H46" s="606">
        <f ca="1">IF(ROWS($1:36)&gt;COUNT(Dong6),"",OFFSET(TH!K$1,SMALL(Dong6,ROWS($1:36)),))</f>
        <v>233637</v>
      </c>
      <c r="I46" s="606">
        <f ca="1">IF(ROWS($1:36)&gt;COUNT(Dong6),"",OFFSET(TH!K$1,SMALL(Dong6,ROWS($1:36)),))</f>
        <v>233637</v>
      </c>
    </row>
    <row r="47" spans="1:9" s="691" customFormat="1" ht="21" customHeight="1">
      <c r="A47" s="699">
        <f ca="1">IF(ROWS($1:37)&gt;COUNT(Dong6),"",OFFSET(TH!C$1,SMALL(Dong6,ROWS($1:37)),))</f>
        <v>41171</v>
      </c>
      <c r="B47" s="700" t="str">
        <f ca="1">IF(ROWS($1:37)&gt;COUNT(Dong6),"",OFFSET(TH!D$1,SMALL(Dong6,ROWS($1:37)),))</f>
        <v>C08</v>
      </c>
      <c r="C47" s="699">
        <f ca="1">IF(ROWS($1:37)&gt;COUNT(Dong6),"",OFFSET(TH!E$1,SMALL(Dong6,ROWS($1:37)),))</f>
        <v>41171</v>
      </c>
      <c r="D47" s="701" t="str">
        <f ca="1">IF(ROWS($1:37)&gt;COUNT(Dong6),"",OFFSET(TH!F$1,SMALL(Dong6,ROWS($1:37)),))</f>
        <v>VAT Thanh toán tiền viễn thông</v>
      </c>
      <c r="E47" s="700">
        <f t="shared" ca="1" si="1"/>
        <v>37</v>
      </c>
      <c r="F47" s="702" t="str">
        <f ca="1">IF(ROWS($1:37)&gt;COUNT(Dong6),"",OFFSET(TH!L$1,SMALL(Dong6,ROWS($1:37)),))</f>
        <v>1331</v>
      </c>
      <c r="G47" s="702" t="str">
        <f ca="1">IF(ROWS($1:37)&gt;COUNT(Dong6),"",OFFSET(TH!M$1,SMALL(Dong6,ROWS($1:37)),))</f>
        <v>1111</v>
      </c>
      <c r="H47" s="606">
        <f ca="1">IF(ROWS($1:37)&gt;COUNT(Dong6),"",OFFSET(TH!K$1,SMALL(Dong6,ROWS($1:37)),))</f>
        <v>23363</v>
      </c>
      <c r="I47" s="606">
        <f ca="1">IF(ROWS($1:37)&gt;COUNT(Dong6),"",OFFSET(TH!K$1,SMALL(Dong6,ROWS($1:37)),))</f>
        <v>23363</v>
      </c>
    </row>
    <row r="48" spans="1:9" s="691" customFormat="1" ht="21" customHeight="1">
      <c r="A48" s="699">
        <f ca="1">IF(ROWS($1:38)&gt;COUNT(Dong6),"",OFFSET(TH!C$1,SMALL(Dong6,ROWS($1:38)),))</f>
        <v>41172</v>
      </c>
      <c r="B48" s="700" t="str">
        <f ca="1">IF(ROWS($1:38)&gt;COUNT(Dong6),"",OFFSET(TH!D$1,SMALL(Dong6,ROWS($1:38)),))</f>
        <v>N05</v>
      </c>
      <c r="C48" s="699">
        <f ca="1">IF(ROWS($1:38)&gt;COUNT(Dong6),"",OFFSET(TH!E$1,SMALL(Dong6,ROWS($1:38)),))</f>
        <v>41172</v>
      </c>
      <c r="D48" s="701" t="str">
        <f ca="1">IF(ROWS($1:38)&gt;COUNT(Dong6),"",OFFSET(TH!F$1,SMALL(Dong6,ROWS($1:38)),))</f>
        <v>Giấy tấm 1N +2X (165x158)</v>
      </c>
      <c r="E48" s="700">
        <f t="shared" ca="1" si="1"/>
        <v>38</v>
      </c>
      <c r="F48" s="702" t="str">
        <f ca="1">IF(ROWS($1:38)&gt;COUNT(Dong6),"",OFFSET(TH!L$1,SMALL(Dong6,ROWS($1:38)),))</f>
        <v>156</v>
      </c>
      <c r="G48" s="702" t="str">
        <f ca="1">IF(ROWS($1:38)&gt;COUNT(Dong6),"",OFFSET(TH!M$1,SMALL(Dong6,ROWS($1:38)),))</f>
        <v>331</v>
      </c>
      <c r="H48" s="606">
        <f ca="1">IF(ROWS($1:38)&gt;COUNT(Dong6),"",OFFSET(TH!K$1,SMALL(Dong6,ROWS($1:38)),))</f>
        <v>5143000</v>
      </c>
      <c r="I48" s="606">
        <f ca="1">IF(ROWS($1:38)&gt;COUNT(Dong6),"",OFFSET(TH!K$1,SMALL(Dong6,ROWS($1:38)),))</f>
        <v>5143000</v>
      </c>
    </row>
    <row r="49" spans="1:10" s="691" customFormat="1" ht="21" customHeight="1">
      <c r="A49" s="699">
        <f ca="1">IF(ROWS($1:39)&gt;COUNT(Dong6),"",OFFSET(TH!C$1,SMALL(Dong6,ROWS($1:39)),))</f>
        <v>41172</v>
      </c>
      <c r="B49" s="700" t="str">
        <f ca="1">IF(ROWS($1:39)&gt;COUNT(Dong6),"",OFFSET(TH!D$1,SMALL(Dong6,ROWS($1:39)),))</f>
        <v>N05</v>
      </c>
      <c r="C49" s="699">
        <f ca="1">IF(ROWS($1:39)&gt;COUNT(Dong6),"",OFFSET(TH!E$1,SMALL(Dong6,ROWS($1:39)),))</f>
        <v>41172</v>
      </c>
      <c r="D49" s="701" t="str">
        <f ca="1">IF(ROWS($1:39)&gt;COUNT(Dong6),"",OFFSET(TH!F$1,SMALL(Dong6,ROWS($1:39)),))</f>
        <v xml:space="preserve">VAT Giấy tấm </v>
      </c>
      <c r="E49" s="700">
        <f t="shared" ca="1" si="1"/>
        <v>39</v>
      </c>
      <c r="F49" s="702" t="str">
        <f ca="1">IF(ROWS($1:39)&gt;COUNT(Dong6),"",OFFSET(TH!L$1,SMALL(Dong6,ROWS($1:39)),))</f>
        <v>1331</v>
      </c>
      <c r="G49" s="702" t="str">
        <f ca="1">IF(ROWS($1:39)&gt;COUNT(Dong6),"",OFFSET(TH!M$1,SMALL(Dong6,ROWS($1:39)),))</f>
        <v>331</v>
      </c>
      <c r="H49" s="606">
        <f ca="1">IF(ROWS($1:39)&gt;COUNT(Dong6),"",OFFSET(TH!K$1,SMALL(Dong6,ROWS($1:39)),))</f>
        <v>514300</v>
      </c>
      <c r="I49" s="606">
        <f ca="1">IF(ROWS($1:39)&gt;COUNT(Dong6),"",OFFSET(TH!K$1,SMALL(Dong6,ROWS($1:39)),))</f>
        <v>514300</v>
      </c>
    </row>
    <row r="50" spans="1:10" s="691" customFormat="1" ht="21" customHeight="1">
      <c r="A50" s="699">
        <f ca="1">IF(ROWS($1:40)&gt;COUNT(Dong6),"",OFFSET(TH!C$1,SMALL(Dong6,ROWS($1:40)),))</f>
        <v>41172</v>
      </c>
      <c r="B50" s="700" t="str">
        <f ca="1">IF(ROWS($1:40)&gt;COUNT(Dong6),"",OFFSET(TH!D$1,SMALL(Dong6,ROWS($1:40)),))</f>
        <v>C09</v>
      </c>
      <c r="C50" s="699">
        <f ca="1">IF(ROWS($1:40)&gt;COUNT(Dong6),"",OFFSET(TH!E$1,SMALL(Dong6,ROWS($1:40)),))</f>
        <v>41172</v>
      </c>
      <c r="D50" s="701" t="str">
        <f ca="1">IF(ROWS($1:40)&gt;COUNT(Dong6),"",OFFSET(TH!F$1,SMALL(Dong6,ROWS($1:40)),))</f>
        <v>Thanh toán tiền hàng</v>
      </c>
      <c r="E50" s="700">
        <f t="shared" ca="1" si="1"/>
        <v>40</v>
      </c>
      <c r="F50" s="702" t="str">
        <f ca="1">IF(ROWS($1:40)&gt;COUNT(Dong6),"",OFFSET(TH!L$1,SMALL(Dong6,ROWS($1:40)),))</f>
        <v>331</v>
      </c>
      <c r="G50" s="702" t="str">
        <f ca="1">IF(ROWS($1:40)&gt;COUNT(Dong6),"",OFFSET(TH!M$1,SMALL(Dong6,ROWS($1:40)),))</f>
        <v>1111</v>
      </c>
      <c r="H50" s="606">
        <f ca="1">IF(ROWS($1:40)&gt;COUNT(Dong6),"",OFFSET(TH!K$1,SMALL(Dong6,ROWS($1:40)),))</f>
        <v>5657300</v>
      </c>
      <c r="I50" s="606">
        <f ca="1">IF(ROWS($1:40)&gt;COUNT(Dong6),"",OFFSET(TH!K$1,SMALL(Dong6,ROWS($1:40)),))</f>
        <v>5657300</v>
      </c>
    </row>
    <row r="51" spans="1:10" s="691" customFormat="1" ht="21" customHeight="1">
      <c r="A51" s="699"/>
      <c r="B51" s="700"/>
      <c r="C51" s="699"/>
      <c r="D51" s="701"/>
      <c r="E51" s="700"/>
      <c r="F51" s="702"/>
      <c r="G51" s="702"/>
      <c r="H51" s="606"/>
      <c r="I51" s="606"/>
    </row>
    <row r="52" spans="1:10" s="691" customFormat="1" ht="21" customHeight="1">
      <c r="A52" s="703"/>
      <c r="B52" s="703"/>
      <c r="C52" s="703"/>
      <c r="D52" s="704" t="s">
        <v>284</v>
      </c>
      <c r="E52" s="705" t="s">
        <v>19</v>
      </c>
      <c r="F52" s="705"/>
      <c r="G52" s="705" t="s">
        <v>19</v>
      </c>
      <c r="H52" s="706">
        <f ca="1">SUBTOTAL(9,$H$10:$H$51)</f>
        <v>2700126756</v>
      </c>
      <c r="I52" s="706">
        <f ca="1">SUBTOTAL(9,I10:I51)</f>
        <v>2700126756</v>
      </c>
    </row>
    <row r="53" spans="1:10" s="691" customFormat="1" ht="15">
      <c r="A53" s="707" t="s">
        <v>335</v>
      </c>
    </row>
    <row r="54" spans="1:10" s="691" customFormat="1" ht="15">
      <c r="A54" s="707" t="str">
        <f ca="1">"- Ngày mở sổ: "&amp;DAY($A$11)&amp;"/"&amp;MONTH($A$11)&amp;"/ " &amp;YEAR($A$11)</f>
        <v>- Ngày mở sổ: 1/8/ 2012</v>
      </c>
    </row>
    <row r="55" spans="1:10" s="691" customFormat="1" ht="15">
      <c r="H55" s="131" t="str">
        <f ca="1">"Ngày "&amp;IF(OR($L$11=4,$L$11=6,$L$11=9,$L$11=11),"30",IF($L$11=2,"28","31"))&amp;" tháng "&amp;$N$8&amp;"  năm  "&amp;YEAR($A$14)</f>
        <v>Ngày 31 tháng 9  năm  2012</v>
      </c>
      <c r="I55" s="708"/>
      <c r="J55" s="708"/>
    </row>
    <row r="56" spans="1:10" s="691" customFormat="1" ht="15">
      <c r="B56" s="708" t="s">
        <v>281</v>
      </c>
      <c r="D56" s="708" t="s">
        <v>12</v>
      </c>
      <c r="H56" s="708" t="s">
        <v>282</v>
      </c>
      <c r="I56" s="708"/>
      <c r="J56" s="708"/>
    </row>
    <row r="57" spans="1:10" s="691" customFormat="1" ht="15">
      <c r="B57" s="708" t="s">
        <v>13</v>
      </c>
      <c r="D57" s="708" t="s">
        <v>13</v>
      </c>
      <c r="H57" s="708" t="s">
        <v>136</v>
      </c>
      <c r="I57" s="708"/>
      <c r="J57" s="708"/>
    </row>
    <row r="58" spans="1:10" s="691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4" customWidth="1"/>
    <col min="2" max="2" width="6.28515625" style="174" customWidth="1"/>
    <col min="3" max="3" width="7.42578125" style="174" customWidth="1"/>
    <col min="4" max="4" width="34.5703125" style="5" customWidth="1"/>
    <col min="5" max="5" width="6.28515625" style="17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969" t="s">
        <v>145</v>
      </c>
      <c r="H2" s="969"/>
      <c r="I2" s="969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970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970"/>
      <c r="I3" s="970"/>
    </row>
    <row r="4" spans="1:9">
      <c r="F4" s="17"/>
      <c r="G4" s="970"/>
      <c r="H4" s="970"/>
      <c r="I4" s="970"/>
    </row>
    <row r="5" spans="1:9" ht="17.25" customHeight="1">
      <c r="A5" s="971" t="s">
        <v>146</v>
      </c>
      <c r="B5" s="971"/>
      <c r="C5" s="971"/>
      <c r="D5" s="971"/>
      <c r="E5" s="971"/>
      <c r="F5" s="971"/>
      <c r="G5" s="971"/>
      <c r="H5" s="971"/>
      <c r="I5" s="971"/>
    </row>
    <row r="6" spans="1:9">
      <c r="A6" s="972" t="s">
        <v>147</v>
      </c>
      <c r="B6" s="973"/>
      <c r="C6" s="973"/>
      <c r="D6" s="973"/>
      <c r="E6" s="973"/>
      <c r="F6" s="973"/>
      <c r="G6" s="973"/>
      <c r="H6" s="973"/>
      <c r="I6" s="973"/>
    </row>
    <row r="7" spans="1:9">
      <c r="B7" s="5"/>
      <c r="C7" s="5"/>
      <c r="D7" s="179" t="s">
        <v>148</v>
      </c>
      <c r="E7" s="180" t="s">
        <v>17</v>
      </c>
    </row>
    <row r="8" spans="1:9">
      <c r="B8" s="5"/>
      <c r="C8" s="5"/>
      <c r="D8" s="179" t="s">
        <v>149</v>
      </c>
      <c r="E8" s="5" t="str">
        <f>VLOOKUP($E$7,DSTK,2,0)</f>
        <v xml:space="preserve"> Phải Trả Phải Nộp Khác </v>
      </c>
    </row>
    <row r="9" spans="1:9">
      <c r="A9" s="973" t="s">
        <v>29</v>
      </c>
      <c r="B9" s="974"/>
      <c r="C9" s="974"/>
      <c r="D9" s="974"/>
      <c r="E9" s="974"/>
      <c r="F9" s="974"/>
      <c r="G9" s="974"/>
      <c r="H9" s="974"/>
      <c r="I9" s="974"/>
    </row>
    <row r="10" spans="1:9" ht="9.75" customHeight="1">
      <c r="C10" s="975"/>
      <c r="D10" s="976"/>
      <c r="E10" s="976"/>
      <c r="F10" s="976"/>
      <c r="G10" s="976"/>
      <c r="H10" s="976"/>
      <c r="I10" s="976"/>
    </row>
    <row r="11" spans="1:9" s="18" customFormat="1" ht="19.5" customHeight="1">
      <c r="A11" s="977" t="s">
        <v>20</v>
      </c>
      <c r="B11" s="967" t="s">
        <v>1</v>
      </c>
      <c r="C11" s="978"/>
      <c r="D11" s="977" t="s">
        <v>0</v>
      </c>
      <c r="E11" s="977" t="s">
        <v>14</v>
      </c>
      <c r="F11" s="967" t="s">
        <v>21</v>
      </c>
      <c r="G11" s="978"/>
      <c r="H11" s="967" t="s">
        <v>31</v>
      </c>
      <c r="I11" s="968"/>
    </row>
    <row r="12" spans="1:9" s="18" customFormat="1" ht="32.25" customHeight="1">
      <c r="A12" s="977"/>
      <c r="B12" s="229" t="s">
        <v>15</v>
      </c>
      <c r="C12" s="229" t="s">
        <v>32</v>
      </c>
      <c r="D12" s="977"/>
      <c r="E12" s="977"/>
      <c r="F12" s="229" t="s">
        <v>22</v>
      </c>
      <c r="G12" s="229" t="s">
        <v>23</v>
      </c>
      <c r="H12" s="229" t="s">
        <v>22</v>
      </c>
      <c r="I12" s="229" t="s">
        <v>23</v>
      </c>
    </row>
    <row r="13" spans="1:9" s="201" customFormat="1" ht="11.25" customHeight="1">
      <c r="A13" s="202" t="s">
        <v>2</v>
      </c>
      <c r="B13" s="203" t="s">
        <v>3</v>
      </c>
      <c r="C13" s="202" t="s">
        <v>4</v>
      </c>
      <c r="D13" s="202" t="s">
        <v>5</v>
      </c>
      <c r="E13" s="202" t="s">
        <v>6</v>
      </c>
      <c r="F13" s="202">
        <v>1</v>
      </c>
      <c r="G13" s="202">
        <v>2</v>
      </c>
      <c r="H13" s="202">
        <v>3</v>
      </c>
      <c r="I13" s="202">
        <v>4</v>
      </c>
    </row>
    <row r="14" spans="1:9" s="18" customFormat="1" ht="18" customHeight="1">
      <c r="A14" s="230"/>
      <c r="B14" s="225"/>
      <c r="C14" s="230"/>
      <c r="D14" s="224" t="s">
        <v>7</v>
      </c>
      <c r="E14" s="225"/>
      <c r="F14" s="231"/>
      <c r="G14" s="231"/>
      <c r="H14" s="231">
        <f>VLOOKUP($E$7,DSTK,3,0)</f>
        <v>0</v>
      </c>
      <c r="I14" s="231">
        <f>VLOOKUP($E$7,DSTK,4,0)</f>
        <v>0</v>
      </c>
    </row>
    <row r="15" spans="1:9" s="18" customFormat="1" ht="18" customHeight="1">
      <c r="A15" s="192">
        <f ca="1">IF(ROWS($1:1)&gt;COUNT(Dong5),"",OFFSET(TH!C$1,SMALL(Dong5,ROWS($1:1)),))</f>
        <v>41182</v>
      </c>
      <c r="B15" s="192" t="str">
        <f ca="1">IF(ROWS($1:1)&gt;COUNT(Dong5),"",OFFSET(TH!D$1,SMALL(Dong5,ROWS($1:1)),))</f>
        <v>CTGS</v>
      </c>
      <c r="C15" s="192">
        <f ca="1">IF(ROWS($1:1)&gt;COUNT(Dong5),"",OFFSET(TH!E$1,SMALL(Dong5,ROWS($1:1)),))</f>
        <v>41182</v>
      </c>
      <c r="D15" s="232" t="str">
        <f ca="1">IF(ROWS($1:1)&gt;COUNT(Dong5),"",OFFSET(TH!F$1,SMALL(Dong5,ROWS($1:1)),))</f>
        <v>Thuế GTGT phải nộp</v>
      </c>
      <c r="E15" s="192" t="str">
        <f ca="1">IF(ROWS($1:1)&gt;COUNT(Dong5),"",IF(OFFSET(TH!L$1,SMALL(Dong5,ROWS($1:1)),)=$E$7,OFFSET(TH!M$1,SMALL(Dong5,ROWS($1:1)),),OFFSET(TH!L$1,SMALL(Dong5,ROWS($1:1)),)))</f>
        <v>1331</v>
      </c>
      <c r="F15" s="233">
        <f ca="1">IF(ROWS($1:1)&gt;COUNT(Dong5),0,IF(OFFSET(TH!L$1,SMALL(Dong5,ROWS($1:1)),)=$E$7,OFFSET(TH!K$1,SMALL(Dong5,ROWS($1:1)),),0))</f>
        <v>0</v>
      </c>
      <c r="G15" s="231">
        <f ca="1">IF(ROWS($1:1)&gt;COUNT(Dong5),0,IF(OFFSET(TH!M$1,SMALL(Dong5,ROWS($1:1)),)=$E$7,OFFSET(TH!K$1,SMALL(Dong5,ROWS($1:1)),),0))</f>
        <v>434287</v>
      </c>
      <c r="H15" s="234">
        <f ca="1">IF(D15&lt;&gt;"",MAX(H14+F15-G15-I14,0),0)</f>
        <v>0</v>
      </c>
      <c r="I15" s="234">
        <f ca="1">IF(D15&lt;&gt;"",MAX(I14+G15-H14-F15,0),0)</f>
        <v>434287</v>
      </c>
    </row>
    <row r="16" spans="1:9" s="18" customFormat="1" ht="18" customHeight="1">
      <c r="A16" s="192">
        <f ca="1">IF(ROWS($1:2)&gt;COUNT(Dong5),"",OFFSET(TH!C$1,SMALL(Dong5,ROWS($1:2)),))</f>
        <v>41199</v>
      </c>
      <c r="B16" s="192" t="str">
        <f ca="1">IF(ROWS($1:2)&gt;COUNT(Dong5),"",OFFSET(TH!D$1,SMALL(Dong5,ROWS($1:2)),))</f>
        <v>C02</v>
      </c>
      <c r="C16" s="192">
        <f ca="1">IF(ROWS($1:2)&gt;COUNT(Dong5),"",OFFSET(TH!E$1,SMALL(Dong5,ROWS($1:2)),))</f>
        <v>41199</v>
      </c>
      <c r="D16" s="232" t="str">
        <f ca="1">IF(ROWS($1:2)&gt;COUNT(Dong5),"",OFFSET(TH!F$1,SMALL(Dong5,ROWS($1:2)),))</f>
        <v>Thuế GTGT hàng sản xuất</v>
      </c>
      <c r="E16" s="192" t="str">
        <f ca="1">IF(ROWS($1:2)&gt;COUNT(Dong5),"",IF(OFFSET(TH!L$1,SMALL(Dong5,ROWS($1:2)),)=$E$7,OFFSET(TH!M$1,SMALL(Dong5,ROWS($1:2)),),OFFSET(TH!L$1,SMALL(Dong5,ROWS($1:2)),)))</f>
        <v>1111</v>
      </c>
      <c r="F16" s="233">
        <f ca="1">IF(ROWS($1:2)&gt;COUNT(Dong5),0,IF(OFFSET(TH!L$1,SMALL(Dong5,ROWS($1:2)),)=$E$7,OFFSET(TH!K$1,SMALL(Dong5,ROWS($1:2)),),0))</f>
        <v>366032</v>
      </c>
      <c r="G16" s="231">
        <f ca="1">IF(ROWS($1:2)&gt;COUNT(Dong5),0,IF(OFFSET(TH!M$1,SMALL(Dong5,ROWS($1:2)),)=$E$7,OFFSET(TH!K$1,SMALL(Dong5,ROWS($1:2)),),0))</f>
        <v>0</v>
      </c>
      <c r="H16" s="234">
        <f t="shared" ref="H16:H20" ca="1" si="0">IF(D16&lt;&gt;"",MAX(H15+F16-G16-I15,0),0)</f>
        <v>0</v>
      </c>
      <c r="I16" s="234">
        <f t="shared" ref="I16:I20" ca="1" si="1">IF(D16&lt;&gt;"",MAX(I15+G16-H15-F16,0),0)</f>
        <v>68255</v>
      </c>
    </row>
    <row r="17" spans="1:9" s="18" customFormat="1" ht="18" customHeight="1">
      <c r="A17" s="192">
        <f ca="1">IF(ROWS($1:3)&gt;COUNT(Dong5),"",OFFSET(TH!C$1,SMALL(Dong5,ROWS($1:3)),))</f>
        <v>41213</v>
      </c>
      <c r="B17" s="192" t="str">
        <f ca="1">IF(ROWS($1:3)&gt;COUNT(Dong5),"",OFFSET(TH!D$1,SMALL(Dong5,ROWS($1:3)),))</f>
        <v>CTGS</v>
      </c>
      <c r="C17" s="192">
        <f ca="1">IF(ROWS($1:3)&gt;COUNT(Dong5),"",OFFSET(TH!E$1,SMALL(Dong5,ROWS($1:3)),))</f>
        <v>41213</v>
      </c>
      <c r="D17" s="232" t="str">
        <f ca="1">IF(ROWS($1:3)&gt;COUNT(Dong5),"",OFFSET(TH!F$1,SMALL(Dong5,ROWS($1:3)),))</f>
        <v>Thuế GTGT phải nộp</v>
      </c>
      <c r="E17" s="192" t="str">
        <f ca="1">IF(ROWS($1:3)&gt;COUNT(Dong5),"",IF(OFFSET(TH!L$1,SMALL(Dong5,ROWS($1:3)),)=$E$7,OFFSET(TH!M$1,SMALL(Dong5,ROWS($1:3)),),OFFSET(TH!L$1,SMALL(Dong5,ROWS($1:3)),)))</f>
        <v>1331</v>
      </c>
      <c r="F17" s="233">
        <f ca="1">IF(ROWS($1:3)&gt;COUNT(Dong5),0,IF(OFFSET(TH!L$1,SMALL(Dong5,ROWS($1:3)),)=$E$7,OFFSET(TH!K$1,SMALL(Dong5,ROWS($1:3)),),0))</f>
        <v>0</v>
      </c>
      <c r="G17" s="231">
        <f ca="1">IF(ROWS($1:3)&gt;COUNT(Dong5),0,IF(OFFSET(TH!M$1,SMALL(Dong5,ROWS($1:3)),)=$E$7,OFFSET(TH!K$1,SMALL(Dong5,ROWS($1:3)),),0))</f>
        <v>515398</v>
      </c>
      <c r="H17" s="234">
        <f t="shared" ca="1" si="0"/>
        <v>0</v>
      </c>
      <c r="I17" s="234">
        <f t="shared" ca="1" si="1"/>
        <v>583653</v>
      </c>
    </row>
    <row r="18" spans="1:9" s="18" customFormat="1" ht="18" customHeight="1">
      <c r="A18" s="192">
        <f ca="1">IF(ROWS($1:4)&gt;COUNT(Dong5),"",OFFSET(TH!C$1,SMALL(Dong5,ROWS($1:4)),))</f>
        <v>41222</v>
      </c>
      <c r="B18" s="192" t="str">
        <f ca="1">IF(ROWS($1:4)&gt;COUNT(Dong5),"",OFFSET(TH!D$1,SMALL(Dong5,ROWS($1:4)),))</f>
        <v>C15</v>
      </c>
      <c r="C18" s="192">
        <f ca="1">IF(ROWS($1:4)&gt;COUNT(Dong5),"",OFFSET(TH!E$1,SMALL(Dong5,ROWS($1:4)),))</f>
        <v>41222</v>
      </c>
      <c r="D18" s="232" t="str">
        <f ca="1">IF(ROWS($1:4)&gt;COUNT(Dong5),"",OFFSET(TH!F$1,SMALL(Dong5,ROWS($1:4)),))</f>
        <v>Thuế GTGT hàng sản xuất</v>
      </c>
      <c r="E18" s="192" t="str">
        <f ca="1">IF(ROWS($1:4)&gt;COUNT(Dong5),"",IF(OFFSET(TH!L$1,SMALL(Dong5,ROWS($1:4)),)=$E$7,OFFSET(TH!M$1,SMALL(Dong5,ROWS($1:4)),),OFFSET(TH!L$1,SMALL(Dong5,ROWS($1:4)),)))</f>
        <v>1111</v>
      </c>
      <c r="F18" s="233">
        <f ca="1">IF(ROWS($1:4)&gt;COUNT(Dong5),0,IF(OFFSET(TH!L$1,SMALL(Dong5,ROWS($1:4)),)=$E$7,OFFSET(TH!K$1,SMALL(Dong5,ROWS($1:4)),),0))</f>
        <v>505710</v>
      </c>
      <c r="G18" s="231">
        <f ca="1">IF(ROWS($1:4)&gt;COUNT(Dong5),0,IF(OFFSET(TH!M$1,SMALL(Dong5,ROWS($1:4)),)=$E$7,OFFSET(TH!K$1,SMALL(Dong5,ROWS($1:4)),),0))</f>
        <v>0</v>
      </c>
      <c r="H18" s="234">
        <f t="shared" ca="1" si="0"/>
        <v>0</v>
      </c>
      <c r="I18" s="234">
        <f t="shared" ca="1" si="1"/>
        <v>77943</v>
      </c>
    </row>
    <row r="19" spans="1:9" s="18" customFormat="1" ht="18" customHeight="1">
      <c r="A19" s="192">
        <f ca="1">IF(ROWS($1:5)&gt;COUNT(Dong5),"",OFFSET(TH!C$1,SMALL(Dong5,ROWS($1:5)),))</f>
        <v>41274</v>
      </c>
      <c r="B19" s="192" t="str">
        <f ca="1">IF(ROWS($1:5)&gt;COUNT(Dong5),"",OFFSET(TH!D$1,SMALL(Dong5,ROWS($1:5)),))</f>
        <v>CTGS</v>
      </c>
      <c r="C19" s="192">
        <f ca="1">IF(ROWS($1:5)&gt;COUNT(Dong5),"",OFFSET(TH!E$1,SMALL(Dong5,ROWS($1:5)),))</f>
        <v>41274</v>
      </c>
      <c r="D19" s="232" t="str">
        <f ca="1">IF(ROWS($1:5)&gt;COUNT(Dong5),"",OFFSET(TH!F$1,SMALL(Dong5,ROWS($1:5)),))</f>
        <v>Thuế GTGT phải nộp</v>
      </c>
      <c r="E19" s="192" t="str">
        <f ca="1">IF(ROWS($1:5)&gt;COUNT(Dong5),"",IF(OFFSET(TH!L$1,SMALL(Dong5,ROWS($1:5)),)=$E$7,OFFSET(TH!M$1,SMALL(Dong5,ROWS($1:5)),),OFFSET(TH!L$1,SMALL(Dong5,ROWS($1:5)),)))</f>
        <v>1331</v>
      </c>
      <c r="F19" s="233">
        <f ca="1">IF(ROWS($1:5)&gt;COUNT(Dong5),0,IF(OFFSET(TH!L$1,SMALL(Dong5,ROWS($1:5)),)=$E$7,OFFSET(TH!K$1,SMALL(Dong5,ROWS($1:5)),),0))</f>
        <v>0</v>
      </c>
      <c r="G19" s="231">
        <f ca="1">IF(ROWS($1:5)&gt;COUNT(Dong5),0,IF(OFFSET(TH!M$1,SMALL(Dong5,ROWS($1:5)),)=$E$7,OFFSET(TH!K$1,SMALL(Dong5,ROWS($1:5)),),0))</f>
        <v>959303</v>
      </c>
      <c r="H19" s="234">
        <f t="shared" ca="1" si="0"/>
        <v>0</v>
      </c>
      <c r="I19" s="234">
        <f t="shared" ca="1" si="1"/>
        <v>1037246</v>
      </c>
    </row>
    <row r="20" spans="1:9" s="18" customFormat="1" ht="18" customHeight="1">
      <c r="A20" s="192" t="str">
        <f ca="1">IF(ROWS($1:6)&gt;COUNT(Dong5),"",OFFSET(TH!C$1,SMALL(Dong5,ROWS($1:6)),))</f>
        <v/>
      </c>
      <c r="B20" s="192" t="str">
        <f ca="1">IF(ROWS($1:6)&gt;COUNT(Dong5),"",OFFSET(TH!D$1,SMALL(Dong5,ROWS($1:6)),))</f>
        <v/>
      </c>
      <c r="C20" s="192" t="str">
        <f ca="1">IF(ROWS($1:6)&gt;COUNT(Dong5),"",OFFSET(TH!E$1,SMALL(Dong5,ROWS($1:6)),))</f>
        <v/>
      </c>
      <c r="D20" s="232" t="str">
        <f ca="1">IF(ROWS($1:6)&gt;COUNT(Dong5),"",OFFSET(TH!F$1,SMALL(Dong5,ROWS($1:6)),))</f>
        <v/>
      </c>
      <c r="E20" s="192" t="str">
        <f ca="1">IF(ROWS($1:6)&gt;COUNT(Dong5),"",IF(OFFSET(TH!L$1,SMALL(Dong5,ROWS($1:6)),)=$E$7,OFFSET(TH!M$1,SMALL(Dong5,ROWS($1:6)),),OFFSET(TH!L$1,SMALL(Dong5,ROWS($1:6)),)))</f>
        <v/>
      </c>
      <c r="F20" s="233">
        <f ca="1">IF(ROWS($1:6)&gt;COUNT(Dong5),0,IF(OFFSET(TH!L$1,SMALL(Dong5,ROWS($1:6)),)=$E$7,OFFSET(TH!K$1,SMALL(Dong5,ROWS($1:6)),),0))</f>
        <v>0</v>
      </c>
      <c r="G20" s="231">
        <f ca="1">IF(ROWS($1:6)&gt;COUNT(Dong5),0,IF(OFFSET(TH!M$1,SMALL(Dong5,ROWS($1:6)),)=$E$7,OFFSET(TH!K$1,SMALL(Dong5,ROWS($1:6)),),0))</f>
        <v>0</v>
      </c>
      <c r="H20" s="234">
        <f t="shared" ca="1" si="0"/>
        <v>0</v>
      </c>
      <c r="I20" s="234">
        <f t="shared" ca="1" si="1"/>
        <v>0</v>
      </c>
    </row>
    <row r="21" spans="1:9" s="18" customFormat="1" ht="18" customHeight="1">
      <c r="A21" s="192" t="str">
        <f ca="1">IF(ROWS($1:7)&gt;COUNT(Dong5),"",OFFSET(TH!C$1,SMALL(Dong5,ROWS($1:7)),))</f>
        <v/>
      </c>
      <c r="B21" s="192" t="str">
        <f ca="1">IF(ROWS($1:7)&gt;COUNT(Dong5),"",OFFSET(TH!D$1,SMALL(Dong5,ROWS($1:7)),))</f>
        <v/>
      </c>
      <c r="C21" s="192" t="str">
        <f ca="1">IF(ROWS($1:7)&gt;COUNT(Dong5),"",OFFSET(TH!E$1,SMALL(Dong5,ROWS($1:7)),))</f>
        <v/>
      </c>
      <c r="D21" s="232" t="str">
        <f ca="1">IF(ROWS($1:7)&gt;COUNT(Dong5),"",OFFSET(TH!F$1,SMALL(Dong5,ROWS($1:7)),))</f>
        <v/>
      </c>
      <c r="E21" s="192" t="str">
        <f ca="1">IF(ROWS($1:7)&gt;COUNT(Dong5),"",IF(OFFSET(TH!L$1,SMALL(Dong5,ROWS($1:7)),)=$E$7,OFFSET(TH!M$1,SMALL(Dong5,ROWS($1:7)),),OFFSET(TH!L$1,SMALL(Dong5,ROWS($1:7)),)))</f>
        <v/>
      </c>
      <c r="F21" s="233">
        <f ca="1">IF(ROWS($1:7)&gt;COUNT(Dong5),0,IF(OFFSET(TH!L$1,SMALL(Dong5,ROWS($1:7)),)=$E$7,OFFSET(TH!K$1,SMALL(Dong5,ROWS($1:7)),),0))</f>
        <v>0</v>
      </c>
      <c r="G21" s="231">
        <f ca="1">IF(ROWS($1:7)&gt;COUNT(Dong5),0,IF(OFFSET(TH!M$1,SMALL(Dong5,ROWS($1:7)),)=$E$7,OFFSET(TH!K$1,SMALL(Dong5,ROWS($1:7)),),0))</f>
        <v>0</v>
      </c>
      <c r="H21" s="234">
        <f t="shared" ref="H21:H29" ca="1" si="2">IF(D21&lt;&gt;"",MAX(H20+F21-G21-I20,0),0)</f>
        <v>0</v>
      </c>
      <c r="I21" s="234">
        <f t="shared" ref="I21:I29" ca="1" si="3">IF(D21&lt;&gt;"",MAX(I20+G21-H20-F21,0),0)</f>
        <v>0</v>
      </c>
    </row>
    <row r="22" spans="1:9" s="18" customFormat="1" ht="18" customHeight="1">
      <c r="A22" s="192" t="str">
        <f ca="1">IF(ROWS($1:8)&gt;COUNT(Dong5),"",OFFSET(TH!C$1,SMALL(Dong5,ROWS($1:8)),))</f>
        <v/>
      </c>
      <c r="B22" s="192" t="str">
        <f ca="1">IF(ROWS($1:8)&gt;COUNT(Dong5),"",OFFSET(TH!D$1,SMALL(Dong5,ROWS($1:8)),))</f>
        <v/>
      </c>
      <c r="C22" s="192" t="str">
        <f ca="1">IF(ROWS($1:8)&gt;COUNT(Dong5),"",OFFSET(TH!E$1,SMALL(Dong5,ROWS($1:8)),))</f>
        <v/>
      </c>
      <c r="D22" s="232" t="str">
        <f ca="1">IF(ROWS($1:8)&gt;COUNT(Dong5),"",OFFSET(TH!F$1,SMALL(Dong5,ROWS($1:8)),))</f>
        <v/>
      </c>
      <c r="E22" s="192" t="str">
        <f ca="1">IF(ROWS($1:8)&gt;COUNT(Dong5),"",IF(OFFSET(TH!L$1,SMALL(Dong5,ROWS($1:8)),)=$E$7,OFFSET(TH!M$1,SMALL(Dong5,ROWS($1:8)),),OFFSET(TH!L$1,SMALL(Dong5,ROWS($1:8)),)))</f>
        <v/>
      </c>
      <c r="F22" s="233">
        <f ca="1">IF(ROWS($1:8)&gt;COUNT(Dong5),0,IF(OFFSET(TH!L$1,SMALL(Dong5,ROWS($1:8)),)=$E$7,OFFSET(TH!K$1,SMALL(Dong5,ROWS($1:8)),),0))</f>
        <v>0</v>
      </c>
      <c r="G22" s="231">
        <f ca="1">IF(ROWS($1:8)&gt;COUNT(Dong5),0,IF(OFFSET(TH!M$1,SMALL(Dong5,ROWS($1:8)),)=$E$7,OFFSET(TH!K$1,SMALL(Dong5,ROWS($1:8)),),0))</f>
        <v>0</v>
      </c>
      <c r="H22" s="234">
        <f t="shared" ca="1" si="2"/>
        <v>0</v>
      </c>
      <c r="I22" s="234">
        <f t="shared" ca="1" si="3"/>
        <v>0</v>
      </c>
    </row>
    <row r="23" spans="1:9" s="18" customFormat="1" ht="18" customHeight="1">
      <c r="A23" s="192" t="str">
        <f ca="1">IF(ROWS($1:9)&gt;COUNT(Dong5),"",OFFSET(TH!C$1,SMALL(Dong5,ROWS($1:9)),))</f>
        <v/>
      </c>
      <c r="B23" s="192" t="str">
        <f ca="1">IF(ROWS($1:9)&gt;COUNT(Dong5),"",OFFSET(TH!D$1,SMALL(Dong5,ROWS($1:9)),))</f>
        <v/>
      </c>
      <c r="C23" s="192" t="str">
        <f ca="1">IF(ROWS($1:9)&gt;COUNT(Dong5),"",OFFSET(TH!E$1,SMALL(Dong5,ROWS($1:9)),))</f>
        <v/>
      </c>
      <c r="D23" s="232" t="str">
        <f ca="1">IF(ROWS($1:9)&gt;COUNT(Dong5),"",OFFSET(TH!F$1,SMALL(Dong5,ROWS($1:9)),))</f>
        <v/>
      </c>
      <c r="E23" s="192" t="str">
        <f ca="1">IF(ROWS($1:9)&gt;COUNT(Dong5),"",IF(OFFSET(TH!L$1,SMALL(Dong5,ROWS($1:9)),)=$E$7,OFFSET(TH!M$1,SMALL(Dong5,ROWS($1:9)),),OFFSET(TH!L$1,SMALL(Dong5,ROWS($1:9)),)))</f>
        <v/>
      </c>
      <c r="F23" s="233">
        <f ca="1">IF(ROWS($1:9)&gt;COUNT(Dong5),0,IF(OFFSET(TH!L$1,SMALL(Dong5,ROWS($1:9)),)=$E$7,OFFSET(TH!K$1,SMALL(Dong5,ROWS($1:9)),),0))</f>
        <v>0</v>
      </c>
      <c r="G23" s="231">
        <f ca="1">IF(ROWS($1:9)&gt;COUNT(Dong5),0,IF(OFFSET(TH!M$1,SMALL(Dong5,ROWS($1:9)),)=$E$7,OFFSET(TH!K$1,SMALL(Dong5,ROWS($1:9)),),0))</f>
        <v>0</v>
      </c>
      <c r="H23" s="234">
        <f t="shared" ca="1" si="2"/>
        <v>0</v>
      </c>
      <c r="I23" s="234">
        <f t="shared" ca="1" si="3"/>
        <v>0</v>
      </c>
    </row>
    <row r="24" spans="1:9" s="18" customFormat="1" ht="18" customHeight="1">
      <c r="A24" s="192" t="str">
        <f ca="1">IF(ROWS($1:10)&gt;COUNT(Dong5),"",OFFSET(TH!C$1,SMALL(Dong5,ROWS($1:10)),))</f>
        <v/>
      </c>
      <c r="B24" s="192" t="str">
        <f ca="1">IF(ROWS($1:10)&gt;COUNT(Dong5),"",OFFSET(TH!D$1,SMALL(Dong5,ROWS($1:10)),))</f>
        <v/>
      </c>
      <c r="C24" s="192" t="str">
        <f ca="1">IF(ROWS($1:10)&gt;COUNT(Dong5),"",OFFSET(TH!E$1,SMALL(Dong5,ROWS($1:10)),))</f>
        <v/>
      </c>
      <c r="D24" s="232" t="str">
        <f ca="1">IF(ROWS($1:10)&gt;COUNT(Dong5),"",OFFSET(TH!F$1,SMALL(Dong5,ROWS($1:10)),))</f>
        <v/>
      </c>
      <c r="E24" s="192" t="str">
        <f ca="1">IF(ROWS($1:10)&gt;COUNT(Dong5),"",IF(OFFSET(TH!L$1,SMALL(Dong5,ROWS($1:10)),)=$E$7,OFFSET(TH!M$1,SMALL(Dong5,ROWS($1:10)),),OFFSET(TH!L$1,SMALL(Dong5,ROWS($1:10)),)))</f>
        <v/>
      </c>
      <c r="F24" s="233">
        <f ca="1">IF(ROWS($1:10)&gt;COUNT(Dong5),0,IF(OFFSET(TH!L$1,SMALL(Dong5,ROWS($1:10)),)=$E$7,OFFSET(TH!K$1,SMALL(Dong5,ROWS($1:10)),),0))</f>
        <v>0</v>
      </c>
      <c r="G24" s="231">
        <f ca="1">IF(ROWS($1:10)&gt;COUNT(Dong5),0,IF(OFFSET(TH!M$1,SMALL(Dong5,ROWS($1:10)),)=$E$7,OFFSET(TH!K$1,SMALL(Dong5,ROWS($1:10)),),0))</f>
        <v>0</v>
      </c>
      <c r="H24" s="234">
        <f t="shared" ca="1" si="2"/>
        <v>0</v>
      </c>
      <c r="I24" s="234">
        <f t="shared" ca="1" si="3"/>
        <v>0</v>
      </c>
    </row>
    <row r="25" spans="1:9" s="18" customFormat="1" ht="18" customHeight="1">
      <c r="A25" s="192" t="str">
        <f ca="1">IF(ROWS($1:11)&gt;COUNT(Dong5),"",OFFSET(TH!C$1,SMALL(Dong5,ROWS($1:11)),))</f>
        <v/>
      </c>
      <c r="B25" s="192" t="str">
        <f ca="1">IF(ROWS($1:11)&gt;COUNT(Dong5),"",OFFSET(TH!D$1,SMALL(Dong5,ROWS($1:11)),))</f>
        <v/>
      </c>
      <c r="C25" s="192" t="str">
        <f ca="1">IF(ROWS($1:11)&gt;COUNT(Dong5),"",OFFSET(TH!E$1,SMALL(Dong5,ROWS($1:11)),))</f>
        <v/>
      </c>
      <c r="D25" s="232" t="str">
        <f ca="1">IF(ROWS($1:11)&gt;COUNT(Dong5),"",OFFSET(TH!F$1,SMALL(Dong5,ROWS($1:11)),))</f>
        <v/>
      </c>
      <c r="E25" s="192" t="str">
        <f ca="1">IF(ROWS($1:11)&gt;COUNT(Dong5),"",IF(OFFSET(TH!L$1,SMALL(Dong5,ROWS($1:11)),)=$E$7,OFFSET(TH!M$1,SMALL(Dong5,ROWS($1:11)),),OFFSET(TH!L$1,SMALL(Dong5,ROWS($1:11)),)))</f>
        <v/>
      </c>
      <c r="F25" s="233">
        <f ca="1">IF(ROWS($1:11)&gt;COUNT(Dong5),0,IF(OFFSET(TH!L$1,SMALL(Dong5,ROWS($1:11)),)=$E$7,OFFSET(TH!K$1,SMALL(Dong5,ROWS($1:11)),),0))</f>
        <v>0</v>
      </c>
      <c r="G25" s="231">
        <f ca="1">IF(ROWS($1:11)&gt;COUNT(Dong5),0,IF(OFFSET(TH!M$1,SMALL(Dong5,ROWS($1:11)),)=$E$7,OFFSET(TH!K$1,SMALL(Dong5,ROWS($1:11)),),0))</f>
        <v>0</v>
      </c>
      <c r="H25" s="234">
        <f t="shared" ca="1" si="2"/>
        <v>0</v>
      </c>
      <c r="I25" s="234">
        <f t="shared" ca="1" si="3"/>
        <v>0</v>
      </c>
    </row>
    <row r="26" spans="1:9" s="18" customFormat="1" ht="18" customHeight="1">
      <c r="A26" s="192" t="str">
        <f ca="1">IF(ROWS($1:12)&gt;COUNT(Dong5),"",OFFSET(TH!C$1,SMALL(Dong5,ROWS($1:12)),))</f>
        <v/>
      </c>
      <c r="B26" s="192" t="str">
        <f ca="1">IF(ROWS($1:12)&gt;COUNT(Dong5),"",OFFSET(TH!D$1,SMALL(Dong5,ROWS($1:12)),))</f>
        <v/>
      </c>
      <c r="C26" s="192" t="str">
        <f ca="1">IF(ROWS($1:12)&gt;COUNT(Dong5),"",OFFSET(TH!E$1,SMALL(Dong5,ROWS($1:12)),))</f>
        <v/>
      </c>
      <c r="D26" s="232" t="str">
        <f ca="1">IF(ROWS($1:12)&gt;COUNT(Dong5),"",OFFSET(TH!F$1,SMALL(Dong5,ROWS($1:12)),))</f>
        <v/>
      </c>
      <c r="E26" s="192" t="str">
        <f ca="1">IF(ROWS($1:12)&gt;COUNT(Dong5),"",IF(OFFSET(TH!L$1,SMALL(Dong5,ROWS($1:12)),)=$E$7,OFFSET(TH!M$1,SMALL(Dong5,ROWS($1:12)),),OFFSET(TH!L$1,SMALL(Dong5,ROWS($1:12)),)))</f>
        <v/>
      </c>
      <c r="F26" s="233">
        <f ca="1">IF(ROWS($1:12)&gt;COUNT(Dong5),0,IF(OFFSET(TH!L$1,SMALL(Dong5,ROWS($1:12)),)=$E$7,OFFSET(TH!K$1,SMALL(Dong5,ROWS($1:12)),),0))</f>
        <v>0</v>
      </c>
      <c r="G26" s="231">
        <f ca="1">IF(ROWS($1:12)&gt;COUNT(Dong5),0,IF(OFFSET(TH!M$1,SMALL(Dong5,ROWS($1:12)),)=$E$7,OFFSET(TH!K$1,SMALL(Dong5,ROWS($1:12)),),0))</f>
        <v>0</v>
      </c>
      <c r="H26" s="234">
        <f t="shared" ca="1" si="2"/>
        <v>0</v>
      </c>
      <c r="I26" s="234">
        <f t="shared" ca="1" si="3"/>
        <v>0</v>
      </c>
    </row>
    <row r="27" spans="1:9" s="18" customFormat="1" ht="18" customHeight="1">
      <c r="A27" s="192" t="str">
        <f ca="1">IF(ROWS($1:13)&gt;COUNT(Dong5),"",OFFSET(TH!C$1,SMALL(Dong5,ROWS($1:13)),))</f>
        <v/>
      </c>
      <c r="B27" s="192" t="str">
        <f ca="1">IF(ROWS($1:13)&gt;COUNT(Dong5),"",OFFSET(TH!D$1,SMALL(Dong5,ROWS($1:13)),))</f>
        <v/>
      </c>
      <c r="C27" s="192" t="str">
        <f ca="1">IF(ROWS($1:13)&gt;COUNT(Dong5),"",OFFSET(TH!E$1,SMALL(Dong5,ROWS($1:13)),))</f>
        <v/>
      </c>
      <c r="D27" s="232" t="str">
        <f ca="1">IF(ROWS($1:13)&gt;COUNT(Dong5),"",OFFSET(TH!F$1,SMALL(Dong5,ROWS($1:13)),))</f>
        <v/>
      </c>
      <c r="E27" s="192" t="str">
        <f ca="1">IF(ROWS($1:13)&gt;COUNT(Dong5),"",IF(OFFSET(TH!L$1,SMALL(Dong5,ROWS($1:13)),)=$E$7,OFFSET(TH!M$1,SMALL(Dong5,ROWS($1:13)),),OFFSET(TH!L$1,SMALL(Dong5,ROWS($1:13)),)))</f>
        <v/>
      </c>
      <c r="F27" s="233">
        <f ca="1">IF(ROWS($1:13)&gt;COUNT(Dong5),0,IF(OFFSET(TH!L$1,SMALL(Dong5,ROWS($1:13)),)=$E$7,OFFSET(TH!K$1,SMALL(Dong5,ROWS($1:13)),),0))</f>
        <v>0</v>
      </c>
      <c r="G27" s="231">
        <f ca="1">IF(ROWS($1:13)&gt;COUNT(Dong5),0,IF(OFFSET(TH!M$1,SMALL(Dong5,ROWS($1:13)),)=$E$7,OFFSET(TH!K$1,SMALL(Dong5,ROWS($1:13)),),0))</f>
        <v>0</v>
      </c>
      <c r="H27" s="234">
        <f t="shared" ca="1" si="2"/>
        <v>0</v>
      </c>
      <c r="I27" s="234">
        <f t="shared" ca="1" si="3"/>
        <v>0</v>
      </c>
    </row>
    <row r="28" spans="1:9" s="18" customFormat="1" ht="18" customHeight="1">
      <c r="A28" s="192" t="str">
        <f ca="1">IF(ROWS($1:14)&gt;COUNT(Dong5),"",OFFSET(TH!C$1,SMALL(Dong5,ROWS($1:14)),))</f>
        <v/>
      </c>
      <c r="B28" s="192" t="str">
        <f ca="1">IF(ROWS($1:14)&gt;COUNT(Dong5),"",OFFSET(TH!D$1,SMALL(Dong5,ROWS($1:14)),))</f>
        <v/>
      </c>
      <c r="C28" s="192" t="str">
        <f ca="1">IF(ROWS($1:14)&gt;COUNT(Dong5),"",OFFSET(TH!E$1,SMALL(Dong5,ROWS($1:14)),))</f>
        <v/>
      </c>
      <c r="D28" s="232" t="str">
        <f ca="1">IF(ROWS($1:14)&gt;COUNT(Dong5),"",OFFSET(TH!F$1,SMALL(Dong5,ROWS($1:14)),))</f>
        <v/>
      </c>
      <c r="E28" s="192" t="str">
        <f ca="1">IF(ROWS($1:14)&gt;COUNT(Dong5),"",IF(OFFSET(TH!L$1,SMALL(Dong5,ROWS($1:14)),)=$E$7,OFFSET(TH!M$1,SMALL(Dong5,ROWS($1:14)),),OFFSET(TH!L$1,SMALL(Dong5,ROWS($1:14)),)))</f>
        <v/>
      </c>
      <c r="F28" s="233">
        <f ca="1">IF(ROWS($1:14)&gt;COUNT(Dong5),0,IF(OFFSET(TH!L$1,SMALL(Dong5,ROWS($1:14)),)=$E$7,OFFSET(TH!K$1,SMALL(Dong5,ROWS($1:14)),),0))</f>
        <v>0</v>
      </c>
      <c r="G28" s="231">
        <f ca="1">IF(ROWS($1:14)&gt;COUNT(Dong5),0,IF(OFFSET(TH!M$1,SMALL(Dong5,ROWS($1:14)),)=$E$7,OFFSET(TH!K$1,SMALL(Dong5,ROWS($1:14)),),0))</f>
        <v>0</v>
      </c>
      <c r="H28" s="234">
        <f t="shared" ca="1" si="2"/>
        <v>0</v>
      </c>
      <c r="I28" s="234">
        <f t="shared" ca="1" si="3"/>
        <v>0</v>
      </c>
    </row>
    <row r="29" spans="1:9" s="18" customFormat="1" ht="18" customHeight="1">
      <c r="A29" s="192" t="str">
        <f ca="1">IF(ROWS($1:15)&gt;COUNT(Dong5),"",OFFSET(TH!C$1,SMALL(Dong5,ROWS($1:15)),))</f>
        <v/>
      </c>
      <c r="B29" s="192" t="str">
        <f ca="1">IF(ROWS($1:15)&gt;COUNT(Dong5),"",OFFSET(TH!D$1,SMALL(Dong5,ROWS($1:15)),))</f>
        <v/>
      </c>
      <c r="C29" s="192" t="str">
        <f ca="1">IF(ROWS($1:15)&gt;COUNT(Dong5),"",OFFSET(TH!E$1,SMALL(Dong5,ROWS($1:15)),))</f>
        <v/>
      </c>
      <c r="D29" s="232" t="str">
        <f ca="1">IF(ROWS($1:15)&gt;COUNT(Dong5),"",OFFSET(TH!F$1,SMALL(Dong5,ROWS($1:15)),))</f>
        <v/>
      </c>
      <c r="E29" s="192" t="str">
        <f ca="1">IF(ROWS($1:15)&gt;COUNT(Dong5),"",IF(OFFSET(TH!L$1,SMALL(Dong5,ROWS($1:15)),)=$E$7,OFFSET(TH!M$1,SMALL(Dong5,ROWS($1:15)),),OFFSET(TH!L$1,SMALL(Dong5,ROWS($1:15)),)))</f>
        <v/>
      </c>
      <c r="F29" s="233">
        <f ca="1">IF(ROWS($1:15)&gt;COUNT(Dong5),0,IF(OFFSET(TH!L$1,SMALL(Dong5,ROWS($1:15)),)=$E$7,OFFSET(TH!K$1,SMALL(Dong5,ROWS($1:15)),),0))</f>
        <v>0</v>
      </c>
      <c r="G29" s="231">
        <f ca="1">IF(ROWS($1:15)&gt;COUNT(Dong5),0,IF(OFFSET(TH!M$1,SMALL(Dong5,ROWS($1:15)),)=$E$7,OFFSET(TH!K$1,SMALL(Dong5,ROWS($1:15)),),0))</f>
        <v>0</v>
      </c>
      <c r="H29" s="234">
        <f t="shared" ca="1" si="2"/>
        <v>0</v>
      </c>
      <c r="I29" s="234">
        <f t="shared" ca="1" si="3"/>
        <v>0</v>
      </c>
    </row>
    <row r="30" spans="1:9" s="18" customFormat="1" ht="18" customHeight="1">
      <c r="A30" s="192" t="str">
        <f ca="1">IF(ROWS($1:16)&gt;COUNT(Dong5),"",OFFSET(TH!C$1,SMALL(Dong5,ROWS($1:16)),))</f>
        <v/>
      </c>
      <c r="B30" s="192" t="str">
        <f ca="1">IF(ROWS($1:16)&gt;COUNT(Dong5),"",OFFSET(TH!D$1,SMALL(Dong5,ROWS($1:16)),))</f>
        <v/>
      </c>
      <c r="C30" s="192" t="str">
        <f ca="1">IF(ROWS($1:16)&gt;COUNT(Dong5),"",OFFSET(TH!E$1,SMALL(Dong5,ROWS($1:16)),))</f>
        <v/>
      </c>
      <c r="D30" s="232" t="str">
        <f ca="1">IF(ROWS($1:16)&gt;COUNT(Dong5),"",OFFSET(TH!F$1,SMALL(Dong5,ROWS($1:16)),))</f>
        <v/>
      </c>
      <c r="E30" s="192" t="str">
        <f ca="1">IF(ROWS($1:16)&gt;COUNT(Dong5),"",IF(OFFSET(TH!L$1,SMALL(Dong5,ROWS($1:16)),)=$E$7,OFFSET(TH!M$1,SMALL(Dong5,ROWS($1:16)),),OFFSET(TH!L$1,SMALL(Dong5,ROWS($1:16)),)))</f>
        <v/>
      </c>
      <c r="F30" s="233">
        <f ca="1">IF(ROWS($1:16)&gt;COUNT(Dong5),0,IF(OFFSET(TH!L$1,SMALL(Dong5,ROWS($1:16)),)=$E$7,OFFSET(TH!K$1,SMALL(Dong5,ROWS($1:16)),),0))</f>
        <v>0</v>
      </c>
      <c r="G30" s="231">
        <f ca="1">IF(ROWS($1:16)&gt;COUNT(Dong5),0,IF(OFFSET(TH!M$1,SMALL(Dong5,ROWS($1:16)),)=$E$7,OFFSET(TH!K$1,SMALL(Dong5,ROWS($1:16)),),0))</f>
        <v>0</v>
      </c>
      <c r="H30" s="234">
        <f t="shared" ref="H30" ca="1" si="4">IF(D30&lt;&gt;"",MAX(H29+F30-G30-I29,0),0)</f>
        <v>0</v>
      </c>
      <c r="I30" s="234">
        <f t="shared" ref="I30" ca="1" si="5">IF(D30&lt;&gt;"",MAX(I29+G30-H29-F30,0),0)</f>
        <v>0</v>
      </c>
    </row>
    <row r="31" spans="1:9" s="18" customFormat="1" ht="18" customHeight="1">
      <c r="A31" s="192" t="str">
        <f ca="1">IF(ROWS($1:17)&gt;COUNT(Dong5),"",OFFSET(TH!C$1,SMALL(Dong5,ROWS($1:17)),))</f>
        <v/>
      </c>
      <c r="B31" s="192" t="str">
        <f ca="1">IF(ROWS($1:17)&gt;COUNT(Dong5),"",OFFSET(TH!D$1,SMALL(Dong5,ROWS($1:17)),))</f>
        <v/>
      </c>
      <c r="C31" s="192" t="str">
        <f ca="1">IF(ROWS($1:17)&gt;COUNT(Dong5),"",OFFSET(TH!E$1,SMALL(Dong5,ROWS($1:17)),))</f>
        <v/>
      </c>
      <c r="D31" s="232" t="str">
        <f ca="1">IF(ROWS($1:17)&gt;COUNT(Dong5),"",OFFSET(TH!F$1,SMALL(Dong5,ROWS($1:17)),))</f>
        <v/>
      </c>
      <c r="E31" s="192" t="str">
        <f ca="1">IF(ROWS($1:17)&gt;COUNT(Dong5),"",IF(OFFSET(TH!L$1,SMALL(Dong5,ROWS($1:17)),)=$E$7,OFFSET(TH!M$1,SMALL(Dong5,ROWS($1:17)),),OFFSET(TH!L$1,SMALL(Dong5,ROWS($1:17)),)))</f>
        <v/>
      </c>
      <c r="F31" s="233">
        <f ca="1">IF(ROWS($1:17)&gt;COUNT(Dong5),0,IF(OFFSET(TH!L$1,SMALL(Dong5,ROWS($1:17)),)=$E$7,OFFSET(TH!K$1,SMALL(Dong5,ROWS($1:17)),),0))</f>
        <v>0</v>
      </c>
      <c r="G31" s="231">
        <f ca="1">IF(ROWS($1:17)&gt;COUNT(Dong5),0,IF(OFFSET(TH!M$1,SMALL(Dong5,ROWS($1:17)),)=$E$7,OFFSET(TH!K$1,SMALL(Dong5,ROWS($1:17)),),0))</f>
        <v>0</v>
      </c>
      <c r="H31" s="234">
        <f t="shared" ref="H31:H46" ca="1" si="6">IF(D31&lt;&gt;"",MAX(H30+F31-G31-I30,0),0)</f>
        <v>0</v>
      </c>
      <c r="I31" s="234">
        <f t="shared" ref="I31:I46" ca="1" si="7">IF(D31&lt;&gt;"",MAX(I30+G31-H30-F31,0),0)</f>
        <v>0</v>
      </c>
    </row>
    <row r="32" spans="1:9" s="18" customFormat="1" ht="18" customHeight="1">
      <c r="A32" s="192" t="str">
        <f ca="1">IF(ROWS($1:18)&gt;COUNT(Dong5),"",OFFSET(TH!C$1,SMALL(Dong5,ROWS($1:18)),))</f>
        <v/>
      </c>
      <c r="B32" s="192" t="str">
        <f ca="1">IF(ROWS($1:18)&gt;COUNT(Dong5),"",OFFSET(TH!D$1,SMALL(Dong5,ROWS($1:18)),))</f>
        <v/>
      </c>
      <c r="C32" s="192" t="str">
        <f ca="1">IF(ROWS($1:18)&gt;COUNT(Dong5),"",OFFSET(TH!E$1,SMALL(Dong5,ROWS($1:18)),))</f>
        <v/>
      </c>
      <c r="D32" s="232" t="str">
        <f ca="1">IF(ROWS($1:18)&gt;COUNT(Dong5),"",OFFSET(TH!F$1,SMALL(Dong5,ROWS($1:18)),))</f>
        <v/>
      </c>
      <c r="E32" s="192" t="str">
        <f ca="1">IF(ROWS($1:18)&gt;COUNT(Dong5),"",IF(OFFSET(TH!L$1,SMALL(Dong5,ROWS($1:18)),)=$E$7,OFFSET(TH!M$1,SMALL(Dong5,ROWS($1:18)),),OFFSET(TH!L$1,SMALL(Dong5,ROWS($1:18)),)))</f>
        <v/>
      </c>
      <c r="F32" s="233">
        <f ca="1">IF(ROWS($1:18)&gt;COUNT(Dong5),0,IF(OFFSET(TH!L$1,SMALL(Dong5,ROWS($1:18)),)=$E$7,OFFSET(TH!K$1,SMALL(Dong5,ROWS($1:18)),),0))</f>
        <v>0</v>
      </c>
      <c r="G32" s="231">
        <f ca="1">IF(ROWS($1:18)&gt;COUNT(Dong5),0,IF(OFFSET(TH!M$1,SMALL(Dong5,ROWS($1:18)),)=$E$7,OFFSET(TH!K$1,SMALL(Dong5,ROWS($1:18)),),0))</f>
        <v>0</v>
      </c>
      <c r="H32" s="234">
        <f t="shared" ca="1" si="6"/>
        <v>0</v>
      </c>
      <c r="I32" s="234">
        <f t="shared" ca="1" si="7"/>
        <v>0</v>
      </c>
    </row>
    <row r="33" spans="1:9" s="18" customFormat="1" ht="18" customHeight="1">
      <c r="A33" s="192" t="str">
        <f ca="1">IF(ROWS($1:19)&gt;COUNT(Dong5),"",OFFSET(TH!C$1,SMALL(Dong5,ROWS($1:19)),))</f>
        <v/>
      </c>
      <c r="B33" s="192" t="str">
        <f ca="1">IF(ROWS($1:19)&gt;COUNT(Dong5),"",OFFSET(TH!D$1,SMALL(Dong5,ROWS($1:19)),))</f>
        <v/>
      </c>
      <c r="C33" s="192" t="str">
        <f ca="1">IF(ROWS($1:19)&gt;COUNT(Dong5),"",OFFSET(TH!E$1,SMALL(Dong5,ROWS($1:19)),))</f>
        <v/>
      </c>
      <c r="D33" s="232" t="str">
        <f ca="1">IF(ROWS($1:19)&gt;COUNT(Dong5),"",OFFSET(TH!F$1,SMALL(Dong5,ROWS($1:19)),))</f>
        <v/>
      </c>
      <c r="E33" s="192" t="str">
        <f ca="1">IF(ROWS($1:19)&gt;COUNT(Dong5),"",IF(OFFSET(TH!L$1,SMALL(Dong5,ROWS($1:19)),)=$E$7,OFFSET(TH!M$1,SMALL(Dong5,ROWS($1:19)),),OFFSET(TH!L$1,SMALL(Dong5,ROWS($1:19)),)))</f>
        <v/>
      </c>
      <c r="F33" s="233">
        <f ca="1">IF(ROWS($1:19)&gt;COUNT(Dong5),0,IF(OFFSET(TH!L$1,SMALL(Dong5,ROWS($1:19)),)=$E$7,OFFSET(TH!K$1,SMALL(Dong5,ROWS($1:19)),),0))</f>
        <v>0</v>
      </c>
      <c r="G33" s="231">
        <f ca="1">IF(ROWS($1:19)&gt;COUNT(Dong5),0,IF(OFFSET(TH!M$1,SMALL(Dong5,ROWS($1:19)),)=$E$7,OFFSET(TH!K$1,SMALL(Dong5,ROWS($1:19)),),0))</f>
        <v>0</v>
      </c>
      <c r="H33" s="234">
        <f t="shared" ca="1" si="6"/>
        <v>0</v>
      </c>
      <c r="I33" s="234">
        <f t="shared" ca="1" si="7"/>
        <v>0</v>
      </c>
    </row>
    <row r="34" spans="1:9" s="18" customFormat="1" ht="18" customHeight="1">
      <c r="A34" s="192" t="str">
        <f ca="1">IF(ROWS($1:20)&gt;COUNT(Dong5),"",OFFSET(TH!C$1,SMALL(Dong5,ROWS($1:20)),))</f>
        <v/>
      </c>
      <c r="B34" s="192" t="str">
        <f ca="1">IF(ROWS($1:20)&gt;COUNT(Dong5),"",OFFSET(TH!D$1,SMALL(Dong5,ROWS($1:20)),))</f>
        <v/>
      </c>
      <c r="C34" s="192" t="str">
        <f ca="1">IF(ROWS($1:20)&gt;COUNT(Dong5),"",OFFSET(TH!E$1,SMALL(Dong5,ROWS($1:20)),))</f>
        <v/>
      </c>
      <c r="D34" s="232" t="str">
        <f ca="1">IF(ROWS($1:20)&gt;COUNT(Dong5),"",OFFSET(TH!F$1,SMALL(Dong5,ROWS($1:20)),))</f>
        <v/>
      </c>
      <c r="E34" s="192" t="str">
        <f ca="1">IF(ROWS($1:20)&gt;COUNT(Dong5),"",IF(OFFSET(TH!L$1,SMALL(Dong5,ROWS($1:20)),)=$E$7,OFFSET(TH!M$1,SMALL(Dong5,ROWS($1:20)),),OFFSET(TH!L$1,SMALL(Dong5,ROWS($1:20)),)))</f>
        <v/>
      </c>
      <c r="F34" s="233">
        <f ca="1">IF(ROWS($1:20)&gt;COUNT(Dong5),0,IF(OFFSET(TH!L$1,SMALL(Dong5,ROWS($1:20)),)=$E$7,OFFSET(TH!K$1,SMALL(Dong5,ROWS($1:20)),),0))</f>
        <v>0</v>
      </c>
      <c r="G34" s="231">
        <f ca="1">IF(ROWS($1:20)&gt;COUNT(Dong5),0,IF(OFFSET(TH!M$1,SMALL(Dong5,ROWS($1:20)),)=$E$7,OFFSET(TH!K$1,SMALL(Dong5,ROWS($1:20)),),0))</f>
        <v>0</v>
      </c>
      <c r="H34" s="234">
        <f t="shared" ca="1" si="6"/>
        <v>0</v>
      </c>
      <c r="I34" s="234">
        <f t="shared" ca="1" si="7"/>
        <v>0</v>
      </c>
    </row>
    <row r="35" spans="1:9" s="18" customFormat="1" ht="18" customHeight="1">
      <c r="A35" s="192" t="str">
        <f ca="1">IF(ROWS($1:21)&gt;COUNT(Dong5),"",OFFSET(TH!C$1,SMALL(Dong5,ROWS($1:21)),))</f>
        <v/>
      </c>
      <c r="B35" s="192" t="str">
        <f ca="1">IF(ROWS($1:21)&gt;COUNT(Dong5),"",OFFSET(TH!D$1,SMALL(Dong5,ROWS($1:21)),))</f>
        <v/>
      </c>
      <c r="C35" s="192" t="str">
        <f ca="1">IF(ROWS($1:21)&gt;COUNT(Dong5),"",OFFSET(TH!E$1,SMALL(Dong5,ROWS($1:21)),))</f>
        <v/>
      </c>
      <c r="D35" s="232" t="str">
        <f ca="1">IF(ROWS($1:21)&gt;COUNT(Dong5),"",OFFSET(TH!F$1,SMALL(Dong5,ROWS($1:21)),))</f>
        <v/>
      </c>
      <c r="E35" s="192" t="str">
        <f ca="1">IF(ROWS($1:21)&gt;COUNT(Dong5),"",IF(OFFSET(TH!L$1,SMALL(Dong5,ROWS($1:21)),)=$E$7,OFFSET(TH!M$1,SMALL(Dong5,ROWS($1:21)),),OFFSET(TH!L$1,SMALL(Dong5,ROWS($1:21)),)))</f>
        <v/>
      </c>
      <c r="F35" s="233">
        <f ca="1">IF(ROWS($1:21)&gt;COUNT(Dong5),0,IF(OFFSET(TH!L$1,SMALL(Dong5,ROWS($1:21)),)=$E$7,OFFSET(TH!K$1,SMALL(Dong5,ROWS($1:21)),),0))</f>
        <v>0</v>
      </c>
      <c r="G35" s="231">
        <f ca="1">IF(ROWS($1:21)&gt;COUNT(Dong5),0,IF(OFFSET(TH!M$1,SMALL(Dong5,ROWS($1:21)),)=$E$7,OFFSET(TH!K$1,SMALL(Dong5,ROWS($1:21)),),0))</f>
        <v>0</v>
      </c>
      <c r="H35" s="234">
        <f t="shared" ca="1" si="6"/>
        <v>0</v>
      </c>
      <c r="I35" s="234">
        <f t="shared" ca="1" si="7"/>
        <v>0</v>
      </c>
    </row>
    <row r="36" spans="1:9" s="18" customFormat="1" ht="18" customHeight="1">
      <c r="A36" s="192" t="str">
        <f ca="1">IF(ROWS($1:22)&gt;COUNT(Dong5),"",OFFSET(TH!C$1,SMALL(Dong5,ROWS($1:22)),))</f>
        <v/>
      </c>
      <c r="B36" s="192" t="str">
        <f ca="1">IF(ROWS($1:22)&gt;COUNT(Dong5),"",OFFSET(TH!D$1,SMALL(Dong5,ROWS($1:22)),))</f>
        <v/>
      </c>
      <c r="C36" s="192" t="str">
        <f ca="1">IF(ROWS($1:22)&gt;COUNT(Dong5),"",OFFSET(TH!E$1,SMALL(Dong5,ROWS($1:22)),))</f>
        <v/>
      </c>
      <c r="D36" s="232" t="str">
        <f ca="1">IF(ROWS($1:22)&gt;COUNT(Dong5),"",OFFSET(TH!F$1,SMALL(Dong5,ROWS($1:22)),))</f>
        <v/>
      </c>
      <c r="E36" s="192" t="str">
        <f ca="1">IF(ROWS($1:22)&gt;COUNT(Dong5),"",IF(OFFSET(TH!L$1,SMALL(Dong5,ROWS($1:22)),)=$E$7,OFFSET(TH!M$1,SMALL(Dong5,ROWS($1:22)),),OFFSET(TH!L$1,SMALL(Dong5,ROWS($1:22)),)))</f>
        <v/>
      </c>
      <c r="F36" s="233">
        <f ca="1">IF(ROWS($1:22)&gt;COUNT(Dong5),0,IF(OFFSET(TH!L$1,SMALL(Dong5,ROWS($1:22)),)=$E$7,OFFSET(TH!K$1,SMALL(Dong5,ROWS($1:22)),),0))</f>
        <v>0</v>
      </c>
      <c r="G36" s="231">
        <f ca="1">IF(ROWS($1:22)&gt;COUNT(Dong5),0,IF(OFFSET(TH!M$1,SMALL(Dong5,ROWS($1:22)),)=$E$7,OFFSET(TH!K$1,SMALL(Dong5,ROWS($1:22)),),0))</f>
        <v>0</v>
      </c>
      <c r="H36" s="234">
        <f t="shared" ca="1" si="6"/>
        <v>0</v>
      </c>
      <c r="I36" s="234">
        <f t="shared" ca="1" si="7"/>
        <v>0</v>
      </c>
    </row>
    <row r="37" spans="1:9" s="18" customFormat="1" ht="18" customHeight="1">
      <c r="A37" s="192" t="str">
        <f ca="1">IF(ROWS($1:23)&gt;COUNT(Dong5),"",OFFSET(TH!C$1,SMALL(Dong5,ROWS($1:23)),))</f>
        <v/>
      </c>
      <c r="B37" s="192" t="str">
        <f ca="1">IF(ROWS($1:23)&gt;COUNT(Dong5),"",OFFSET(TH!D$1,SMALL(Dong5,ROWS($1:23)),))</f>
        <v/>
      </c>
      <c r="C37" s="192" t="str">
        <f ca="1">IF(ROWS($1:23)&gt;COUNT(Dong5),"",OFFSET(TH!E$1,SMALL(Dong5,ROWS($1:23)),))</f>
        <v/>
      </c>
      <c r="D37" s="232" t="str">
        <f ca="1">IF(ROWS($1:23)&gt;COUNT(Dong5),"",OFFSET(TH!F$1,SMALL(Dong5,ROWS($1:23)),))</f>
        <v/>
      </c>
      <c r="E37" s="192" t="str">
        <f ca="1">IF(ROWS($1:23)&gt;COUNT(Dong5),"",IF(OFFSET(TH!L$1,SMALL(Dong5,ROWS($1:23)),)=$E$7,OFFSET(TH!M$1,SMALL(Dong5,ROWS($1:23)),),OFFSET(TH!L$1,SMALL(Dong5,ROWS($1:23)),)))</f>
        <v/>
      </c>
      <c r="F37" s="233">
        <f ca="1">IF(ROWS($1:23)&gt;COUNT(Dong5),0,IF(OFFSET(TH!L$1,SMALL(Dong5,ROWS($1:23)),)=$E$7,OFFSET(TH!K$1,SMALL(Dong5,ROWS($1:23)),),0))</f>
        <v>0</v>
      </c>
      <c r="G37" s="231">
        <f ca="1">IF(ROWS($1:23)&gt;COUNT(Dong5),0,IF(OFFSET(TH!M$1,SMALL(Dong5,ROWS($1:23)),)=$E$7,OFFSET(TH!K$1,SMALL(Dong5,ROWS($1:23)),),0))</f>
        <v>0</v>
      </c>
      <c r="H37" s="234">
        <f t="shared" ca="1" si="6"/>
        <v>0</v>
      </c>
      <c r="I37" s="234">
        <f t="shared" ca="1" si="7"/>
        <v>0</v>
      </c>
    </row>
    <row r="38" spans="1:9" s="18" customFormat="1" ht="18" customHeight="1">
      <c r="A38" s="192" t="str">
        <f ca="1">IF(ROWS($1:24)&gt;COUNT(Dong5),"",OFFSET(TH!C$1,SMALL(Dong5,ROWS($1:24)),))</f>
        <v/>
      </c>
      <c r="B38" s="192" t="str">
        <f ca="1">IF(ROWS($1:24)&gt;COUNT(Dong5),"",OFFSET(TH!D$1,SMALL(Dong5,ROWS($1:24)),))</f>
        <v/>
      </c>
      <c r="C38" s="192" t="str">
        <f ca="1">IF(ROWS($1:24)&gt;COUNT(Dong5),"",OFFSET(TH!E$1,SMALL(Dong5,ROWS($1:24)),))</f>
        <v/>
      </c>
      <c r="D38" s="232" t="str">
        <f ca="1">IF(ROWS($1:24)&gt;COUNT(Dong5),"",OFFSET(TH!F$1,SMALL(Dong5,ROWS($1:24)),))</f>
        <v/>
      </c>
      <c r="E38" s="192" t="str">
        <f ca="1">IF(ROWS($1:24)&gt;COUNT(Dong5),"",IF(OFFSET(TH!L$1,SMALL(Dong5,ROWS($1:24)),)=$E$7,OFFSET(TH!M$1,SMALL(Dong5,ROWS($1:24)),),OFFSET(TH!L$1,SMALL(Dong5,ROWS($1:24)),)))</f>
        <v/>
      </c>
      <c r="F38" s="233">
        <f ca="1">IF(ROWS($1:24)&gt;COUNT(Dong5),0,IF(OFFSET(TH!L$1,SMALL(Dong5,ROWS($1:24)),)=$E$7,OFFSET(TH!K$1,SMALL(Dong5,ROWS($1:24)),),0))</f>
        <v>0</v>
      </c>
      <c r="G38" s="231">
        <f ca="1">IF(ROWS($1:24)&gt;COUNT(Dong5),0,IF(OFFSET(TH!M$1,SMALL(Dong5,ROWS($1:24)),)=$E$7,OFFSET(TH!K$1,SMALL(Dong5,ROWS($1:24)),),0))</f>
        <v>0</v>
      </c>
      <c r="H38" s="234">
        <f t="shared" ca="1" si="6"/>
        <v>0</v>
      </c>
      <c r="I38" s="234">
        <f t="shared" ca="1" si="7"/>
        <v>0</v>
      </c>
    </row>
    <row r="39" spans="1:9" s="18" customFormat="1" ht="18" customHeight="1">
      <c r="A39" s="192" t="str">
        <f ca="1">IF(ROWS($1:25)&gt;COUNT(Dong5),"",OFFSET(TH!C$1,SMALL(Dong5,ROWS($1:25)),))</f>
        <v/>
      </c>
      <c r="B39" s="192" t="str">
        <f ca="1">IF(ROWS($1:25)&gt;COUNT(Dong5),"",OFFSET(TH!D$1,SMALL(Dong5,ROWS($1:25)),))</f>
        <v/>
      </c>
      <c r="C39" s="192" t="str">
        <f ca="1">IF(ROWS($1:25)&gt;COUNT(Dong5),"",OFFSET(TH!E$1,SMALL(Dong5,ROWS($1:25)),))</f>
        <v/>
      </c>
      <c r="D39" s="232" t="str">
        <f ca="1">IF(ROWS($1:25)&gt;COUNT(Dong5),"",OFFSET(TH!F$1,SMALL(Dong5,ROWS($1:25)),))</f>
        <v/>
      </c>
      <c r="E39" s="192" t="str">
        <f ca="1">IF(ROWS($1:25)&gt;COUNT(Dong5),"",IF(OFFSET(TH!L$1,SMALL(Dong5,ROWS($1:25)),)=$E$7,OFFSET(TH!M$1,SMALL(Dong5,ROWS($1:25)),),OFFSET(TH!L$1,SMALL(Dong5,ROWS($1:25)),)))</f>
        <v/>
      </c>
      <c r="F39" s="233">
        <f ca="1">IF(ROWS($1:25)&gt;COUNT(Dong5),0,IF(OFFSET(TH!L$1,SMALL(Dong5,ROWS($1:25)),)=$E$7,OFFSET(TH!K$1,SMALL(Dong5,ROWS($1:25)),),0))</f>
        <v>0</v>
      </c>
      <c r="G39" s="231">
        <f ca="1">IF(ROWS($1:25)&gt;COUNT(Dong5),0,IF(OFFSET(TH!M$1,SMALL(Dong5,ROWS($1:25)),)=$E$7,OFFSET(TH!K$1,SMALL(Dong5,ROWS($1:25)),),0))</f>
        <v>0</v>
      </c>
      <c r="H39" s="234">
        <f t="shared" ca="1" si="6"/>
        <v>0</v>
      </c>
      <c r="I39" s="234">
        <f t="shared" ca="1" si="7"/>
        <v>0</v>
      </c>
    </row>
    <row r="40" spans="1:9" s="18" customFormat="1" ht="18" customHeight="1">
      <c r="A40" s="192" t="str">
        <f ca="1">IF(ROWS($1:26)&gt;COUNT(Dong5),"",OFFSET(TH!C$1,SMALL(Dong5,ROWS($1:26)),))</f>
        <v/>
      </c>
      <c r="B40" s="192" t="str">
        <f ca="1">IF(ROWS($1:26)&gt;COUNT(Dong5),"",OFFSET(TH!D$1,SMALL(Dong5,ROWS($1:26)),))</f>
        <v/>
      </c>
      <c r="C40" s="192" t="str">
        <f ca="1">IF(ROWS($1:26)&gt;COUNT(Dong5),"",OFFSET(TH!E$1,SMALL(Dong5,ROWS($1:26)),))</f>
        <v/>
      </c>
      <c r="D40" s="232" t="str">
        <f ca="1">IF(ROWS($1:26)&gt;COUNT(Dong5),"",OFFSET(TH!F$1,SMALL(Dong5,ROWS($1:26)),))</f>
        <v/>
      </c>
      <c r="E40" s="192" t="str">
        <f ca="1">IF(ROWS($1:26)&gt;COUNT(Dong5),"",IF(OFFSET(TH!L$1,SMALL(Dong5,ROWS($1:26)),)=$E$7,OFFSET(TH!M$1,SMALL(Dong5,ROWS($1:26)),),OFFSET(TH!L$1,SMALL(Dong5,ROWS($1:26)),)))</f>
        <v/>
      </c>
      <c r="F40" s="233">
        <f ca="1">IF(ROWS($1:26)&gt;COUNT(Dong5),0,IF(OFFSET(TH!L$1,SMALL(Dong5,ROWS($1:26)),)=$E$7,OFFSET(TH!K$1,SMALL(Dong5,ROWS($1:26)),),0))</f>
        <v>0</v>
      </c>
      <c r="G40" s="231">
        <f ca="1">IF(ROWS($1:26)&gt;COUNT(Dong5),0,IF(OFFSET(TH!M$1,SMALL(Dong5,ROWS($1:26)),)=$E$7,OFFSET(TH!K$1,SMALL(Dong5,ROWS($1:26)),),0))</f>
        <v>0</v>
      </c>
      <c r="H40" s="234">
        <f t="shared" ca="1" si="6"/>
        <v>0</v>
      </c>
      <c r="I40" s="234">
        <f t="shared" ca="1" si="7"/>
        <v>0</v>
      </c>
    </row>
    <row r="41" spans="1:9" s="18" customFormat="1" ht="18" customHeight="1">
      <c r="A41" s="192" t="str">
        <f ca="1">IF(ROWS($1:27)&gt;COUNT(Dong5),"",OFFSET(TH!C$1,SMALL(Dong5,ROWS($1:27)),))</f>
        <v/>
      </c>
      <c r="B41" s="192" t="str">
        <f ca="1">IF(ROWS($1:27)&gt;COUNT(Dong5),"",OFFSET(TH!D$1,SMALL(Dong5,ROWS($1:27)),))</f>
        <v/>
      </c>
      <c r="C41" s="192" t="str">
        <f ca="1">IF(ROWS($1:27)&gt;COUNT(Dong5),"",OFFSET(TH!E$1,SMALL(Dong5,ROWS($1:27)),))</f>
        <v/>
      </c>
      <c r="D41" s="232" t="str">
        <f ca="1">IF(ROWS($1:27)&gt;COUNT(Dong5),"",OFFSET(TH!F$1,SMALL(Dong5,ROWS($1:27)),))</f>
        <v/>
      </c>
      <c r="E41" s="192" t="str">
        <f ca="1">IF(ROWS($1:27)&gt;COUNT(Dong5),"",IF(OFFSET(TH!L$1,SMALL(Dong5,ROWS($1:27)),)=$E$7,OFFSET(TH!M$1,SMALL(Dong5,ROWS($1:27)),),OFFSET(TH!L$1,SMALL(Dong5,ROWS($1:27)),)))</f>
        <v/>
      </c>
      <c r="F41" s="233">
        <f ca="1">IF(ROWS($1:27)&gt;COUNT(Dong5),0,IF(OFFSET(TH!L$1,SMALL(Dong5,ROWS($1:27)),)=$E$7,OFFSET(TH!K$1,SMALL(Dong5,ROWS($1:27)),),0))</f>
        <v>0</v>
      </c>
      <c r="G41" s="231">
        <f ca="1">IF(ROWS($1:27)&gt;COUNT(Dong5),0,IF(OFFSET(TH!M$1,SMALL(Dong5,ROWS($1:27)),)=$E$7,OFFSET(TH!K$1,SMALL(Dong5,ROWS($1:27)),),0))</f>
        <v>0</v>
      </c>
      <c r="H41" s="234">
        <f t="shared" ca="1" si="6"/>
        <v>0</v>
      </c>
      <c r="I41" s="234">
        <f t="shared" ca="1" si="7"/>
        <v>0</v>
      </c>
    </row>
    <row r="42" spans="1:9" s="18" customFormat="1" ht="18" customHeight="1">
      <c r="A42" s="192" t="str">
        <f ca="1">IF(ROWS($1:28)&gt;COUNT(Dong5),"",OFFSET(TH!C$1,SMALL(Dong5,ROWS($1:28)),))</f>
        <v/>
      </c>
      <c r="B42" s="192" t="str">
        <f ca="1">IF(ROWS($1:28)&gt;COUNT(Dong5),"",OFFSET(TH!D$1,SMALL(Dong5,ROWS($1:28)),))</f>
        <v/>
      </c>
      <c r="C42" s="192" t="str">
        <f ca="1">IF(ROWS($1:28)&gt;COUNT(Dong5),"",OFFSET(TH!E$1,SMALL(Dong5,ROWS($1:28)),))</f>
        <v/>
      </c>
      <c r="D42" s="232" t="str">
        <f ca="1">IF(ROWS($1:28)&gt;COUNT(Dong5),"",OFFSET(TH!F$1,SMALL(Dong5,ROWS($1:28)),))</f>
        <v/>
      </c>
      <c r="E42" s="192" t="str">
        <f ca="1">IF(ROWS($1:28)&gt;COUNT(Dong5),"",IF(OFFSET(TH!L$1,SMALL(Dong5,ROWS($1:28)),)=$E$7,OFFSET(TH!M$1,SMALL(Dong5,ROWS($1:28)),),OFFSET(TH!L$1,SMALL(Dong5,ROWS($1:28)),)))</f>
        <v/>
      </c>
      <c r="F42" s="233">
        <f ca="1">IF(ROWS($1:28)&gt;COUNT(Dong5),0,IF(OFFSET(TH!L$1,SMALL(Dong5,ROWS($1:28)),)=$E$7,OFFSET(TH!K$1,SMALL(Dong5,ROWS($1:28)),),0))</f>
        <v>0</v>
      </c>
      <c r="G42" s="231">
        <f ca="1">IF(ROWS($1:28)&gt;COUNT(Dong5),0,IF(OFFSET(TH!M$1,SMALL(Dong5,ROWS($1:28)),)=$E$7,OFFSET(TH!K$1,SMALL(Dong5,ROWS($1:28)),),0))</f>
        <v>0</v>
      </c>
      <c r="H42" s="234">
        <f t="shared" ca="1" si="6"/>
        <v>0</v>
      </c>
      <c r="I42" s="234">
        <f t="shared" ca="1" si="7"/>
        <v>0</v>
      </c>
    </row>
    <row r="43" spans="1:9" s="18" customFormat="1" ht="18" customHeight="1">
      <c r="A43" s="192" t="str">
        <f ca="1">IF(ROWS($1:29)&gt;COUNT(Dong5),"",OFFSET(TH!C$1,SMALL(Dong5,ROWS($1:29)),))</f>
        <v/>
      </c>
      <c r="B43" s="192" t="str">
        <f ca="1">IF(ROWS($1:29)&gt;COUNT(Dong5),"",OFFSET(TH!D$1,SMALL(Dong5,ROWS($1:29)),))</f>
        <v/>
      </c>
      <c r="C43" s="192" t="str">
        <f ca="1">IF(ROWS($1:29)&gt;COUNT(Dong5),"",OFFSET(TH!E$1,SMALL(Dong5,ROWS($1:29)),))</f>
        <v/>
      </c>
      <c r="D43" s="232" t="str">
        <f ca="1">IF(ROWS($1:29)&gt;COUNT(Dong5),"",OFFSET(TH!F$1,SMALL(Dong5,ROWS($1:29)),))</f>
        <v/>
      </c>
      <c r="E43" s="192" t="str">
        <f ca="1">IF(ROWS($1:29)&gt;COUNT(Dong5),"",IF(OFFSET(TH!L$1,SMALL(Dong5,ROWS($1:29)),)=$E$7,OFFSET(TH!M$1,SMALL(Dong5,ROWS($1:29)),),OFFSET(TH!L$1,SMALL(Dong5,ROWS($1:29)),)))</f>
        <v/>
      </c>
      <c r="F43" s="233">
        <f ca="1">IF(ROWS($1:29)&gt;COUNT(Dong5),0,IF(OFFSET(TH!L$1,SMALL(Dong5,ROWS($1:29)),)=$E$7,OFFSET(TH!K$1,SMALL(Dong5,ROWS($1:29)),),0))</f>
        <v>0</v>
      </c>
      <c r="G43" s="231">
        <f ca="1">IF(ROWS($1:29)&gt;COUNT(Dong5),0,IF(OFFSET(TH!M$1,SMALL(Dong5,ROWS($1:29)),)=$E$7,OFFSET(TH!K$1,SMALL(Dong5,ROWS($1:29)),),0))</f>
        <v>0</v>
      </c>
      <c r="H43" s="234">
        <f t="shared" ca="1" si="6"/>
        <v>0</v>
      </c>
      <c r="I43" s="234">
        <f t="shared" ca="1" si="7"/>
        <v>0</v>
      </c>
    </row>
    <row r="44" spans="1:9" s="18" customFormat="1" ht="18" customHeight="1">
      <c r="A44" s="192" t="str">
        <f ca="1">IF(ROWS($1:30)&gt;COUNT(Dong5),"",OFFSET(TH!C$1,SMALL(Dong5,ROWS($1:30)),))</f>
        <v/>
      </c>
      <c r="B44" s="192" t="str">
        <f ca="1">IF(ROWS($1:30)&gt;COUNT(Dong5),"",OFFSET(TH!D$1,SMALL(Dong5,ROWS($1:30)),))</f>
        <v/>
      </c>
      <c r="C44" s="192" t="str">
        <f ca="1">IF(ROWS($1:30)&gt;COUNT(Dong5),"",OFFSET(TH!E$1,SMALL(Dong5,ROWS($1:30)),))</f>
        <v/>
      </c>
      <c r="D44" s="232" t="str">
        <f ca="1">IF(ROWS($1:30)&gt;COUNT(Dong5),"",OFFSET(TH!F$1,SMALL(Dong5,ROWS($1:30)),))</f>
        <v/>
      </c>
      <c r="E44" s="192" t="str">
        <f ca="1">IF(ROWS($1:30)&gt;COUNT(Dong5),"",IF(OFFSET(TH!L$1,SMALL(Dong5,ROWS($1:30)),)=$E$7,OFFSET(TH!M$1,SMALL(Dong5,ROWS($1:30)),),OFFSET(TH!L$1,SMALL(Dong5,ROWS($1:30)),)))</f>
        <v/>
      </c>
      <c r="F44" s="233">
        <f ca="1">IF(ROWS($1:30)&gt;COUNT(Dong5),0,IF(OFFSET(TH!L$1,SMALL(Dong5,ROWS($1:30)),)=$E$7,OFFSET(TH!K$1,SMALL(Dong5,ROWS($1:30)),),0))</f>
        <v>0</v>
      </c>
      <c r="G44" s="231">
        <f ca="1">IF(ROWS($1:30)&gt;COUNT(Dong5),0,IF(OFFSET(TH!M$1,SMALL(Dong5,ROWS($1:30)),)=$E$7,OFFSET(TH!K$1,SMALL(Dong5,ROWS($1:30)),),0))</f>
        <v>0</v>
      </c>
      <c r="H44" s="234">
        <f t="shared" ca="1" si="6"/>
        <v>0</v>
      </c>
      <c r="I44" s="234">
        <f t="shared" ca="1" si="7"/>
        <v>0</v>
      </c>
    </row>
    <row r="45" spans="1:9" s="18" customFormat="1" ht="18" customHeight="1">
      <c r="A45" s="192" t="str">
        <f ca="1">IF(ROWS($1:31)&gt;COUNT(Dong5),"",OFFSET(TH!C$1,SMALL(Dong5,ROWS($1:31)),))</f>
        <v/>
      </c>
      <c r="B45" s="192" t="str">
        <f ca="1">IF(ROWS($1:31)&gt;COUNT(Dong5),"",OFFSET(TH!D$1,SMALL(Dong5,ROWS($1:31)),))</f>
        <v/>
      </c>
      <c r="C45" s="192" t="str">
        <f ca="1">IF(ROWS($1:31)&gt;COUNT(Dong5),"",OFFSET(TH!E$1,SMALL(Dong5,ROWS($1:31)),))</f>
        <v/>
      </c>
      <c r="D45" s="232" t="str">
        <f ca="1">IF(ROWS($1:31)&gt;COUNT(Dong5),"",OFFSET(TH!F$1,SMALL(Dong5,ROWS($1:31)),))</f>
        <v/>
      </c>
      <c r="E45" s="192" t="str">
        <f ca="1">IF(ROWS($1:31)&gt;COUNT(Dong5),"",IF(OFFSET(TH!L$1,SMALL(Dong5,ROWS($1:31)),)=$E$7,OFFSET(TH!M$1,SMALL(Dong5,ROWS($1:31)),),OFFSET(TH!L$1,SMALL(Dong5,ROWS($1:31)),)))</f>
        <v/>
      </c>
      <c r="F45" s="233">
        <f ca="1">IF(ROWS($1:31)&gt;COUNT(Dong5),0,IF(OFFSET(TH!L$1,SMALL(Dong5,ROWS($1:31)),)=$E$7,OFFSET(TH!K$1,SMALL(Dong5,ROWS($1:31)),),0))</f>
        <v>0</v>
      </c>
      <c r="G45" s="231">
        <f ca="1">IF(ROWS($1:31)&gt;COUNT(Dong5),0,IF(OFFSET(TH!M$1,SMALL(Dong5,ROWS($1:31)),)=$E$7,OFFSET(TH!K$1,SMALL(Dong5,ROWS($1:31)),),0))</f>
        <v>0</v>
      </c>
      <c r="H45" s="234">
        <f t="shared" ca="1" si="6"/>
        <v>0</v>
      </c>
      <c r="I45" s="234">
        <f t="shared" ca="1" si="7"/>
        <v>0</v>
      </c>
    </row>
    <row r="46" spans="1:9" s="18" customFormat="1" ht="18" customHeight="1">
      <c r="A46" s="192" t="str">
        <f ca="1">IF(ROWS($1:32)&gt;COUNT(Dong5),"",OFFSET(TH!C$1,SMALL(Dong5,ROWS($1:32)),))</f>
        <v/>
      </c>
      <c r="B46" s="192" t="str">
        <f ca="1">IF(ROWS($1:32)&gt;COUNT(Dong5),"",OFFSET(TH!D$1,SMALL(Dong5,ROWS($1:32)),))</f>
        <v/>
      </c>
      <c r="C46" s="192" t="str">
        <f ca="1">IF(ROWS($1:32)&gt;COUNT(Dong5),"",OFFSET(TH!E$1,SMALL(Dong5,ROWS($1:32)),))</f>
        <v/>
      </c>
      <c r="D46" s="232" t="str">
        <f ca="1">IF(ROWS($1:32)&gt;COUNT(Dong5),"",OFFSET(TH!F$1,SMALL(Dong5,ROWS($1:32)),))</f>
        <v/>
      </c>
      <c r="E46" s="192" t="str">
        <f ca="1">IF(ROWS($1:32)&gt;COUNT(Dong5),"",IF(OFFSET(TH!L$1,SMALL(Dong5,ROWS($1:32)),)=$E$7,OFFSET(TH!M$1,SMALL(Dong5,ROWS($1:32)),),OFFSET(TH!L$1,SMALL(Dong5,ROWS($1:32)),)))</f>
        <v/>
      </c>
      <c r="F46" s="233">
        <f ca="1">IF(ROWS($1:32)&gt;COUNT(Dong5),0,IF(OFFSET(TH!L$1,SMALL(Dong5,ROWS($1:32)),)=$E$7,OFFSET(TH!K$1,SMALL(Dong5,ROWS($1:32)),),0))</f>
        <v>0</v>
      </c>
      <c r="G46" s="231">
        <f ca="1">IF(ROWS($1:32)&gt;COUNT(Dong5),0,IF(OFFSET(TH!M$1,SMALL(Dong5,ROWS($1:32)),)=$E$7,OFFSET(TH!K$1,SMALL(Dong5,ROWS($1:32)),),0))</f>
        <v>0</v>
      </c>
      <c r="H46" s="234">
        <f t="shared" ca="1" si="6"/>
        <v>0</v>
      </c>
      <c r="I46" s="234">
        <f t="shared" ca="1" si="7"/>
        <v>0</v>
      </c>
    </row>
    <row r="47" spans="1:9" s="18" customFormat="1" ht="18" customHeight="1">
      <c r="A47" s="192" t="str">
        <f ca="1">IF(ROWS($1:33)&gt;COUNT(Dong5),"",OFFSET(TH!C$1,SMALL(Dong5,ROWS($1:33)),))</f>
        <v/>
      </c>
      <c r="B47" s="192" t="str">
        <f ca="1">IF(ROWS($1:33)&gt;COUNT(Dong5),"",OFFSET(TH!D$1,SMALL(Dong5,ROWS($1:33)),))</f>
        <v/>
      </c>
      <c r="C47" s="192" t="str">
        <f ca="1">IF(ROWS($1:33)&gt;COUNT(Dong5),"",OFFSET(TH!E$1,SMALL(Dong5,ROWS($1:33)),))</f>
        <v/>
      </c>
      <c r="D47" s="232" t="str">
        <f ca="1">IF(ROWS($1:33)&gt;COUNT(Dong5),"",OFFSET(TH!F$1,SMALL(Dong5,ROWS($1:33)),))</f>
        <v/>
      </c>
      <c r="E47" s="192" t="str">
        <f ca="1">IF(ROWS($1:33)&gt;COUNT(Dong5),"",IF(OFFSET(TH!L$1,SMALL(Dong5,ROWS($1:33)),)=$E$7,OFFSET(TH!M$1,SMALL(Dong5,ROWS($1:33)),),OFFSET(TH!L$1,SMALL(Dong5,ROWS($1:33)),)))</f>
        <v/>
      </c>
      <c r="F47" s="233">
        <f ca="1">IF(ROWS($1:33)&gt;COUNT(Dong5),0,IF(OFFSET(TH!L$1,SMALL(Dong5,ROWS($1:33)),)=$E$7,OFFSET(TH!K$1,SMALL(Dong5,ROWS($1:33)),),0))</f>
        <v>0</v>
      </c>
      <c r="G47" s="231">
        <f ca="1">IF(ROWS($1:33)&gt;COUNT(Dong5),0,IF(OFFSET(TH!M$1,SMALL(Dong5,ROWS($1:33)),)=$E$7,OFFSET(TH!K$1,SMALL(Dong5,ROWS($1:33)),),0))</f>
        <v>0</v>
      </c>
      <c r="H47" s="234">
        <f t="shared" ref="H47:H52" ca="1" si="8">IF(D47&lt;&gt;"",MAX(H46+F47-G47-I46,0),0)</f>
        <v>0</v>
      </c>
      <c r="I47" s="234">
        <f t="shared" ref="I47:I52" ca="1" si="9">IF(D47&lt;&gt;"",MAX(I46+G47-H46-F47,0),0)</f>
        <v>0</v>
      </c>
    </row>
    <row r="48" spans="1:9" s="18" customFormat="1" ht="18" customHeight="1">
      <c r="A48" s="192" t="str">
        <f ca="1">IF(ROWS($1:34)&gt;COUNT(Dong5),"",OFFSET(TH!C$1,SMALL(Dong5,ROWS($1:34)),))</f>
        <v/>
      </c>
      <c r="B48" s="192" t="str">
        <f ca="1">IF(ROWS($1:34)&gt;COUNT(Dong5),"",OFFSET(TH!D$1,SMALL(Dong5,ROWS($1:34)),))</f>
        <v/>
      </c>
      <c r="C48" s="192" t="str">
        <f ca="1">IF(ROWS($1:34)&gt;COUNT(Dong5),"",OFFSET(TH!E$1,SMALL(Dong5,ROWS($1:34)),))</f>
        <v/>
      </c>
      <c r="D48" s="232" t="str">
        <f ca="1">IF(ROWS($1:34)&gt;COUNT(Dong5),"",OFFSET(TH!F$1,SMALL(Dong5,ROWS($1:34)),))</f>
        <v/>
      </c>
      <c r="E48" s="192" t="str">
        <f ca="1">IF(ROWS($1:34)&gt;COUNT(Dong5),"",IF(OFFSET(TH!L$1,SMALL(Dong5,ROWS($1:34)),)=$E$7,OFFSET(TH!M$1,SMALL(Dong5,ROWS($1:34)),),OFFSET(TH!L$1,SMALL(Dong5,ROWS($1:34)),)))</f>
        <v/>
      </c>
      <c r="F48" s="233">
        <f ca="1">IF(ROWS($1:34)&gt;COUNT(Dong5),0,IF(OFFSET(TH!L$1,SMALL(Dong5,ROWS($1:34)),)=$E$7,OFFSET(TH!K$1,SMALL(Dong5,ROWS($1:34)),),0))</f>
        <v>0</v>
      </c>
      <c r="G48" s="231">
        <f ca="1">IF(ROWS($1:34)&gt;COUNT(Dong5),0,IF(OFFSET(TH!M$1,SMALL(Dong5,ROWS($1:34)),)=$E$7,OFFSET(TH!K$1,SMALL(Dong5,ROWS($1:34)),),0))</f>
        <v>0</v>
      </c>
      <c r="H48" s="234">
        <f t="shared" ca="1" si="8"/>
        <v>0</v>
      </c>
      <c r="I48" s="234">
        <f t="shared" ca="1" si="9"/>
        <v>0</v>
      </c>
    </row>
    <row r="49" spans="1:9" s="18" customFormat="1" ht="18" customHeight="1">
      <c r="A49" s="192" t="str">
        <f ca="1">IF(ROWS($1:35)&gt;COUNT(Dong5),"",OFFSET(TH!C$1,SMALL(Dong5,ROWS($1:35)),))</f>
        <v/>
      </c>
      <c r="B49" s="192" t="str">
        <f ca="1">IF(ROWS($1:35)&gt;COUNT(Dong5),"",OFFSET(TH!D$1,SMALL(Dong5,ROWS($1:35)),))</f>
        <v/>
      </c>
      <c r="C49" s="192" t="str">
        <f ca="1">IF(ROWS($1:35)&gt;COUNT(Dong5),"",OFFSET(TH!E$1,SMALL(Dong5,ROWS($1:35)),))</f>
        <v/>
      </c>
      <c r="D49" s="232" t="str">
        <f ca="1">IF(ROWS($1:35)&gt;COUNT(Dong5),"",OFFSET(TH!F$1,SMALL(Dong5,ROWS($1:35)),))</f>
        <v/>
      </c>
      <c r="E49" s="192" t="str">
        <f ca="1">IF(ROWS($1:35)&gt;COUNT(Dong5),"",IF(OFFSET(TH!L$1,SMALL(Dong5,ROWS($1:35)),)=$E$7,OFFSET(TH!M$1,SMALL(Dong5,ROWS($1:35)),),OFFSET(TH!L$1,SMALL(Dong5,ROWS($1:35)),)))</f>
        <v/>
      </c>
      <c r="F49" s="233">
        <f ca="1">IF(ROWS($1:35)&gt;COUNT(Dong5),0,IF(OFFSET(TH!L$1,SMALL(Dong5,ROWS($1:35)),)=$E$7,OFFSET(TH!K$1,SMALL(Dong5,ROWS($1:35)),),0))</f>
        <v>0</v>
      </c>
      <c r="G49" s="231">
        <f ca="1">IF(ROWS($1:35)&gt;COUNT(Dong5),0,IF(OFFSET(TH!M$1,SMALL(Dong5,ROWS($1:35)),)=$E$7,OFFSET(TH!K$1,SMALL(Dong5,ROWS($1:35)),),0))</f>
        <v>0</v>
      </c>
      <c r="H49" s="234">
        <f t="shared" ca="1" si="8"/>
        <v>0</v>
      </c>
      <c r="I49" s="234">
        <f t="shared" ca="1" si="9"/>
        <v>0</v>
      </c>
    </row>
    <row r="50" spans="1:9" s="18" customFormat="1" ht="18" customHeight="1">
      <c r="A50" s="192" t="str">
        <f ca="1">IF(ROWS($1:36)&gt;COUNT(Dong5),"",OFFSET(TH!C$1,SMALL(Dong5,ROWS($1:36)),))</f>
        <v/>
      </c>
      <c r="B50" s="192" t="str">
        <f ca="1">IF(ROWS($1:36)&gt;COUNT(Dong5),"",OFFSET(TH!D$1,SMALL(Dong5,ROWS($1:36)),))</f>
        <v/>
      </c>
      <c r="C50" s="192" t="str">
        <f ca="1">IF(ROWS($1:36)&gt;COUNT(Dong5),"",OFFSET(TH!E$1,SMALL(Dong5,ROWS($1:36)),))</f>
        <v/>
      </c>
      <c r="D50" s="232" t="str">
        <f ca="1">IF(ROWS($1:36)&gt;COUNT(Dong5),"",OFFSET(TH!F$1,SMALL(Dong5,ROWS($1:36)),))</f>
        <v/>
      </c>
      <c r="E50" s="192" t="str">
        <f ca="1">IF(ROWS($1:36)&gt;COUNT(Dong5),"",IF(OFFSET(TH!L$1,SMALL(Dong5,ROWS($1:36)),)=$E$7,OFFSET(TH!M$1,SMALL(Dong5,ROWS($1:36)),),OFFSET(TH!L$1,SMALL(Dong5,ROWS($1:36)),)))</f>
        <v/>
      </c>
      <c r="F50" s="233">
        <f ca="1">IF(ROWS($1:36)&gt;COUNT(Dong5),0,IF(OFFSET(TH!L$1,SMALL(Dong5,ROWS($1:36)),)=$E$7,OFFSET(TH!K$1,SMALL(Dong5,ROWS($1:36)),),0))</f>
        <v>0</v>
      </c>
      <c r="G50" s="231">
        <f ca="1">IF(ROWS($1:36)&gt;COUNT(Dong5),0,IF(OFFSET(TH!M$1,SMALL(Dong5,ROWS($1:36)),)=$E$7,OFFSET(TH!K$1,SMALL(Dong5,ROWS($1:36)),),0))</f>
        <v>0</v>
      </c>
      <c r="H50" s="234">
        <f t="shared" ca="1" si="8"/>
        <v>0</v>
      </c>
      <c r="I50" s="234">
        <f t="shared" ca="1" si="9"/>
        <v>0</v>
      </c>
    </row>
    <row r="51" spans="1:9" s="18" customFormat="1" ht="18" customHeight="1">
      <c r="A51" s="192" t="str">
        <f ca="1">IF(ROWS($1:37)&gt;COUNT(Dong5),"",OFFSET(TH!C$1,SMALL(Dong5,ROWS($1:37)),))</f>
        <v/>
      </c>
      <c r="B51" s="192" t="str">
        <f ca="1">IF(ROWS($1:37)&gt;COUNT(Dong5),"",OFFSET(TH!D$1,SMALL(Dong5,ROWS($1:37)),))</f>
        <v/>
      </c>
      <c r="C51" s="192" t="str">
        <f ca="1">IF(ROWS($1:37)&gt;COUNT(Dong5),"",OFFSET(TH!E$1,SMALL(Dong5,ROWS($1:37)),))</f>
        <v/>
      </c>
      <c r="D51" s="232" t="str">
        <f ca="1">IF(ROWS($1:37)&gt;COUNT(Dong5),"",OFFSET(TH!F$1,SMALL(Dong5,ROWS($1:37)),))</f>
        <v/>
      </c>
      <c r="E51" s="192" t="str">
        <f ca="1">IF(ROWS($1:37)&gt;COUNT(Dong5),"",IF(OFFSET(TH!L$1,SMALL(Dong5,ROWS($1:37)),)=$E$7,OFFSET(TH!M$1,SMALL(Dong5,ROWS($1:37)),),OFFSET(TH!L$1,SMALL(Dong5,ROWS($1:37)),)))</f>
        <v/>
      </c>
      <c r="F51" s="233">
        <f ca="1">IF(ROWS($1:37)&gt;COUNT(Dong5),0,IF(OFFSET(TH!L$1,SMALL(Dong5,ROWS($1:37)),)=$E$7,OFFSET(TH!K$1,SMALL(Dong5,ROWS($1:37)),),0))</f>
        <v>0</v>
      </c>
      <c r="G51" s="231">
        <f ca="1">IF(ROWS($1:37)&gt;COUNT(Dong5),0,IF(OFFSET(TH!M$1,SMALL(Dong5,ROWS($1:37)),)=$E$7,OFFSET(TH!K$1,SMALL(Dong5,ROWS($1:37)),),0))</f>
        <v>0</v>
      </c>
      <c r="H51" s="234">
        <f t="shared" ca="1" si="8"/>
        <v>0</v>
      </c>
      <c r="I51" s="234">
        <f t="shared" ca="1" si="9"/>
        <v>0</v>
      </c>
    </row>
    <row r="52" spans="1:9" s="18" customFormat="1" ht="18" customHeight="1">
      <c r="A52" s="192" t="str">
        <f ca="1">IF(ROWS($1:38)&gt;COUNT(Dong5),"",OFFSET(TH!C$1,SMALL(Dong5,ROWS($1:38)),))</f>
        <v/>
      </c>
      <c r="B52" s="192" t="str">
        <f ca="1">IF(ROWS($1:38)&gt;COUNT(Dong5),"",OFFSET(TH!D$1,SMALL(Dong5,ROWS($1:38)),))</f>
        <v/>
      </c>
      <c r="C52" s="192" t="str">
        <f ca="1">IF(ROWS($1:38)&gt;COUNT(Dong5),"",OFFSET(TH!E$1,SMALL(Dong5,ROWS($1:38)),))</f>
        <v/>
      </c>
      <c r="D52" s="232" t="str">
        <f ca="1">IF(ROWS($1:38)&gt;COUNT(Dong5),"",OFFSET(TH!F$1,SMALL(Dong5,ROWS($1:38)),))</f>
        <v/>
      </c>
      <c r="E52" s="192" t="str">
        <f ca="1">IF(ROWS($1:38)&gt;COUNT(Dong5),"",IF(OFFSET(TH!L$1,SMALL(Dong5,ROWS($1:38)),)=$E$7,OFFSET(TH!M$1,SMALL(Dong5,ROWS($1:38)),),OFFSET(TH!L$1,SMALL(Dong5,ROWS($1:38)),)))</f>
        <v/>
      </c>
      <c r="F52" s="233">
        <f ca="1">IF(ROWS($1:38)&gt;COUNT(Dong5),0,IF(OFFSET(TH!L$1,SMALL(Dong5,ROWS($1:38)),)=$E$7,OFFSET(TH!K$1,SMALL(Dong5,ROWS($1:38)),),0))</f>
        <v>0</v>
      </c>
      <c r="G52" s="231">
        <f ca="1">IF(ROWS($1:38)&gt;COUNT(Dong5),0,IF(OFFSET(TH!M$1,SMALL(Dong5,ROWS($1:38)),)=$E$7,OFFSET(TH!K$1,SMALL(Dong5,ROWS($1:38)),),0))</f>
        <v>0</v>
      </c>
      <c r="H52" s="234">
        <f t="shared" ca="1" si="8"/>
        <v>0</v>
      </c>
      <c r="I52" s="234">
        <f t="shared" ca="1" si="9"/>
        <v>0</v>
      </c>
    </row>
    <row r="53" spans="1:9" s="18" customFormat="1" ht="18" customHeight="1">
      <c r="A53" s="192"/>
      <c r="B53" s="192"/>
      <c r="C53" s="192"/>
      <c r="D53" s="232"/>
      <c r="E53" s="192"/>
      <c r="F53" s="233"/>
      <c r="G53" s="231"/>
      <c r="H53" s="234"/>
      <c r="I53" s="234"/>
    </row>
    <row r="54" spans="1:9" s="18" customFormat="1" ht="18" customHeight="1">
      <c r="A54" s="192"/>
      <c r="B54" s="193"/>
      <c r="C54" s="192"/>
      <c r="D54" s="226" t="s">
        <v>133</v>
      </c>
      <c r="E54" s="193" t="s">
        <v>19</v>
      </c>
      <c r="F54" s="235">
        <f ca="1">SUM(F15:F53)</f>
        <v>871742</v>
      </c>
      <c r="G54" s="235">
        <f ca="1">SUM(G15:G53)</f>
        <v>1908988</v>
      </c>
      <c r="H54" s="235" t="s">
        <v>19</v>
      </c>
      <c r="I54" s="235" t="s">
        <v>19</v>
      </c>
    </row>
    <row r="55" spans="1:9" s="18" customFormat="1" ht="18" customHeight="1">
      <c r="A55" s="236"/>
      <c r="B55" s="228"/>
      <c r="C55" s="236"/>
      <c r="D55" s="227" t="s">
        <v>10</v>
      </c>
      <c r="E55" s="228" t="s">
        <v>19</v>
      </c>
      <c r="F55" s="237" t="s">
        <v>19</v>
      </c>
      <c r="G55" s="237" t="s">
        <v>19</v>
      </c>
      <c r="H55" s="238">
        <f ca="1">MAX(H14+F54-G54-I14,0)</f>
        <v>0</v>
      </c>
      <c r="I55" s="238">
        <f ca="1">MAX(I14+G54-F54-H14,0)</f>
        <v>1037246</v>
      </c>
    </row>
    <row r="56" spans="1:9" s="18" customFormat="1" ht="9.75" customHeight="1">
      <c r="A56" s="201"/>
      <c r="B56" s="201"/>
      <c r="C56" s="201"/>
      <c r="E56" s="201"/>
    </row>
    <row r="57" spans="1:9" s="18" customFormat="1" ht="12.75">
      <c r="A57" s="201"/>
      <c r="B57" s="201"/>
      <c r="C57" s="239" t="s">
        <v>155</v>
      </c>
      <c r="E57" s="201"/>
    </row>
    <row r="58" spans="1:9" s="18" customFormat="1" ht="12.75">
      <c r="A58" s="201"/>
      <c r="B58" s="201"/>
      <c r="C58" s="175" t="str">
        <f ca="1">"- Ngày mở sổ: "&amp;DAY($A$15)&amp;"/"&amp;MONTH($A$15)&amp;"/ " &amp;YEAR($A$15)</f>
        <v>- Ngày mở sổ: 30/9/ 2012</v>
      </c>
      <c r="E58" s="201"/>
    </row>
    <row r="59" spans="1:9" s="18" customFormat="1" ht="13.5" customHeight="1">
      <c r="A59" s="201"/>
      <c r="B59" s="201"/>
      <c r="C59" s="201"/>
      <c r="E59" s="965" t="str">
        <f ca="1">"Ngày 31 tháng  12  năm  "&amp;YEAR($A$15)</f>
        <v>Ngày 31 tháng  12  năm  2012</v>
      </c>
      <c r="F59" s="965"/>
      <c r="G59" s="965"/>
      <c r="H59" s="965"/>
      <c r="I59" s="965"/>
    </row>
    <row r="60" spans="1:9" s="18" customFormat="1" ht="12.75">
      <c r="A60" s="965" t="s">
        <v>11</v>
      </c>
      <c r="B60" s="965"/>
      <c r="C60" s="965"/>
      <c r="D60" s="965"/>
      <c r="E60" s="965" t="s">
        <v>12</v>
      </c>
      <c r="F60" s="965"/>
      <c r="G60" s="965"/>
      <c r="H60" s="965"/>
      <c r="I60" s="965"/>
    </row>
    <row r="61" spans="1:9" s="18" customFormat="1" ht="12.75">
      <c r="A61" s="965" t="s">
        <v>13</v>
      </c>
      <c r="B61" s="965"/>
      <c r="C61" s="965"/>
      <c r="D61" s="965"/>
      <c r="E61" s="965" t="s">
        <v>13</v>
      </c>
      <c r="F61" s="965"/>
      <c r="G61" s="965"/>
      <c r="H61" s="965"/>
      <c r="I61" s="965"/>
    </row>
    <row r="62" spans="1:9" s="18" customFormat="1" ht="12.75">
      <c r="A62" s="201"/>
      <c r="B62" s="201"/>
      <c r="C62" s="201"/>
      <c r="E62" s="201"/>
    </row>
    <row r="63" spans="1:9">
      <c r="D63" s="181"/>
      <c r="F63" s="182"/>
    </row>
    <row r="68" spans="1:4">
      <c r="A68" s="966"/>
      <c r="B68" s="966"/>
      <c r="C68" s="966"/>
      <c r="D68" s="966"/>
    </row>
  </sheetData>
  <mergeCells count="18"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0:D60"/>
    <mergeCell ref="E60:I60"/>
    <mergeCell ref="A61:D61"/>
    <mergeCell ref="E61:I61"/>
    <mergeCell ref="A68:D6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7"/>
  <sheetViews>
    <sheetView topLeftCell="A9" zoomScale="90" workbookViewId="0">
      <pane ySplit="5" topLeftCell="A68" activePane="bottomLeft" state="frozen"/>
      <selection activeCell="A9" sqref="A9"/>
      <selection pane="bottomLeft" activeCell="E78" sqref="E78"/>
    </sheetView>
  </sheetViews>
  <sheetFormatPr defaultRowHeight="15"/>
  <cols>
    <col min="1" max="2" width="8.7109375" style="106" customWidth="1"/>
    <col min="3" max="4" width="6.5703125" style="106" customWidth="1"/>
    <col min="5" max="5" width="34.5703125" style="106" customWidth="1"/>
    <col min="6" max="6" width="6.28515625" style="106" customWidth="1"/>
    <col min="7" max="9" width="14.42578125" style="106" customWidth="1"/>
    <col min="10" max="10" width="6.28515625" style="106" customWidth="1"/>
    <col min="11" max="11" width="2.140625" style="106" customWidth="1"/>
    <col min="12" max="12" width="10" style="106" customWidth="1"/>
    <col min="13" max="13" width="3.28515625" style="106" customWidth="1"/>
    <col min="14" max="15" width="6.140625" style="106" customWidth="1"/>
    <col min="16" max="16384" width="9.140625" style="106"/>
  </cols>
  <sheetData>
    <row r="1" spans="1:15" s="3" customFormat="1" ht="16.5" customHeight="1">
      <c r="A1" s="132" t="str">
        <f>TH!A1</f>
        <v>Đơn vị: CÔNG TY TNHH MỘT THÀNH VIÊN KHỞI NGUYÊN AN</v>
      </c>
      <c r="B1" s="2"/>
      <c r="C1" s="2"/>
      <c r="D1" s="2"/>
      <c r="E1" s="2"/>
      <c r="G1" s="969" t="s">
        <v>119</v>
      </c>
      <c r="H1" s="969"/>
      <c r="I1" s="969"/>
      <c r="J1" s="969"/>
    </row>
    <row r="2" spans="1:15" s="3" customFormat="1" ht="16.5" customHeight="1">
      <c r="A2" s="92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970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970"/>
      <c r="I2" s="970"/>
      <c r="J2" s="970"/>
    </row>
    <row r="3" spans="1:15" s="3" customFormat="1" ht="16.5" customHeight="1">
      <c r="A3" s="4"/>
      <c r="B3" s="16"/>
      <c r="C3" s="104"/>
      <c r="D3" s="104"/>
      <c r="E3" s="16"/>
      <c r="G3" s="970"/>
      <c r="H3" s="970"/>
      <c r="I3" s="970"/>
      <c r="J3" s="970"/>
    </row>
    <row r="4" spans="1:15" s="3" customFormat="1" ht="6.75" customHeight="1">
      <c r="A4" s="16"/>
      <c r="B4" s="16"/>
      <c r="C4" s="16"/>
      <c r="D4" s="16"/>
      <c r="E4" s="16"/>
      <c r="G4" s="105"/>
      <c r="H4" s="105"/>
      <c r="I4" s="105"/>
      <c r="J4" s="105"/>
    </row>
    <row r="5" spans="1:15" ht="24.75" customHeight="1">
      <c r="A5" s="979" t="s">
        <v>120</v>
      </c>
      <c r="B5" s="979"/>
      <c r="C5" s="979"/>
      <c r="D5" s="979"/>
      <c r="E5" s="979"/>
      <c r="F5" s="979"/>
      <c r="G5" s="979"/>
      <c r="H5" s="979"/>
      <c r="I5" s="979"/>
      <c r="J5" s="979"/>
    </row>
    <row r="6" spans="1:15" ht="14.25" customHeight="1">
      <c r="A6" s="981" t="str">
        <f ca="1">$L$11&amp;" / "&amp;YEAR($A$14)</f>
        <v>Quý IV / 2012</v>
      </c>
      <c r="B6" s="981"/>
      <c r="C6" s="981"/>
      <c r="D6" s="981"/>
      <c r="E6" s="981"/>
      <c r="F6" s="981"/>
      <c r="G6" s="981"/>
      <c r="H6" s="981"/>
      <c r="I6" s="981"/>
      <c r="J6" s="981"/>
    </row>
    <row r="7" spans="1:15">
      <c r="A7" s="980" t="s">
        <v>121</v>
      </c>
      <c r="B7" s="980"/>
      <c r="C7" s="980"/>
      <c r="D7" s="980"/>
      <c r="E7" s="980"/>
      <c r="F7" s="980"/>
      <c r="G7" s="980"/>
      <c r="H7" s="980"/>
      <c r="I7" s="980"/>
      <c r="J7" s="980"/>
    </row>
    <row r="8" spans="1:15">
      <c r="A8" s="980" t="s">
        <v>122</v>
      </c>
      <c r="B8" s="980"/>
      <c r="C8" s="980"/>
      <c r="D8" s="980"/>
      <c r="E8" s="980"/>
      <c r="F8" s="980"/>
      <c r="G8" s="980"/>
      <c r="H8" s="980"/>
      <c r="I8" s="980"/>
      <c r="J8" s="980"/>
    </row>
    <row r="9" spans="1:15">
      <c r="A9" s="107"/>
      <c r="I9" s="107" t="s">
        <v>123</v>
      </c>
    </row>
    <row r="10" spans="1:15" ht="33" customHeight="1" thickBot="1">
      <c r="A10" s="983" t="s">
        <v>20</v>
      </c>
      <c r="B10" s="983" t="s">
        <v>124</v>
      </c>
      <c r="C10" s="982" t="s">
        <v>125</v>
      </c>
      <c r="D10" s="982"/>
      <c r="E10" s="982" t="s">
        <v>0</v>
      </c>
      <c r="F10" s="983" t="s">
        <v>14</v>
      </c>
      <c r="G10" s="982" t="s">
        <v>21</v>
      </c>
      <c r="H10" s="982"/>
      <c r="I10" s="982" t="s">
        <v>126</v>
      </c>
      <c r="J10" s="982" t="s">
        <v>127</v>
      </c>
      <c r="L10" s="509"/>
      <c r="N10" s="957" t="s">
        <v>269</v>
      </c>
      <c r="O10" s="957"/>
    </row>
    <row r="11" spans="1:15" ht="24" customHeight="1" thickBot="1">
      <c r="A11" s="984"/>
      <c r="B11" s="984"/>
      <c r="C11" s="108" t="s">
        <v>128</v>
      </c>
      <c r="D11" s="108" t="s">
        <v>129</v>
      </c>
      <c r="E11" s="982"/>
      <c r="F11" s="984"/>
      <c r="G11" s="108" t="s">
        <v>22</v>
      </c>
      <c r="H11" s="108" t="s">
        <v>23</v>
      </c>
      <c r="I11" s="982"/>
      <c r="J11" s="982"/>
      <c r="L11" s="173" t="s">
        <v>332</v>
      </c>
      <c r="N11" s="528">
        <f>IF(L11="Quý I",1,IF(L11="Quý II",4,IF(L11="Quý III",7,IF(L11="Quý IV",10,""))))</f>
        <v>10</v>
      </c>
      <c r="O11" s="528">
        <f>IF(L11="Quý I",3,IF(L11="Quý II",6,IF(L11="Quý III",9,IF(L11="Quý IV",12,""))))</f>
        <v>12</v>
      </c>
    </row>
    <row r="12" spans="1:15" s="109" customFormat="1" ht="11.25" customHeight="1">
      <c r="A12" s="110" t="s">
        <v>2</v>
      </c>
      <c r="B12" s="110" t="s">
        <v>3</v>
      </c>
      <c r="C12" s="110" t="s">
        <v>4</v>
      </c>
      <c r="D12" s="110" t="s">
        <v>5</v>
      </c>
      <c r="E12" s="110" t="s">
        <v>6</v>
      </c>
      <c r="F12" s="110" t="s">
        <v>130</v>
      </c>
      <c r="G12" s="110">
        <v>1</v>
      </c>
      <c r="H12" s="110">
        <v>2</v>
      </c>
      <c r="I12" s="110">
        <v>3</v>
      </c>
      <c r="J12" s="110" t="s">
        <v>131</v>
      </c>
      <c r="N12" s="529"/>
      <c r="O12" s="529"/>
    </row>
    <row r="13" spans="1:15" s="111" customFormat="1" ht="21.75" customHeight="1">
      <c r="A13" s="112"/>
      <c r="B13" s="112"/>
      <c r="C13" s="112"/>
      <c r="D13" s="112"/>
      <c r="E13" s="112" t="s">
        <v>132</v>
      </c>
      <c r="F13" s="113"/>
      <c r="G13" s="114"/>
      <c r="H13" s="112"/>
      <c r="I13" s="134">
        <f>IF($L$11="All",CDPS!$C$10,CDPS!$C$10+SUMIF(_N111,"x",TH)-SUMIF(_C111,"x",TH))</f>
        <v>2431746534</v>
      </c>
      <c r="J13" s="112"/>
      <c r="N13" s="530"/>
      <c r="O13" s="530"/>
    </row>
    <row r="14" spans="1:15" ht="21.75" customHeight="1">
      <c r="A14" s="115">
        <f ca="1">IF(ROWS($1:1)&gt;COUNT(Dong1),"",OFFSET(TH!C$1,SMALL(Dong1,ROWS($1:1)),))</f>
        <v>41187</v>
      </c>
      <c r="B14" s="115">
        <f ca="1">IF(ROWS($1:1)&gt;COUNT(Dong1),"",OFFSET(TH!E$1,SMALL(Dong1,ROWS($1:1)),))</f>
        <v>41187</v>
      </c>
      <c r="C14" s="116" t="str">
        <f ca="1">IF(ROWS($1:1)&gt;COUNT(Dong1),"",IF(OFFSET(TH!L$1,SMALL(Dong1,ROWS($1:1)),)="1111",OFFSET(TH!D$1,SMALL(Dong1,ROWS($1:1)),),""))</f>
        <v>T01</v>
      </c>
      <c r="D14" s="117" t="str">
        <f ca="1">IF(ROWS($1:1)&gt;COUNT(Dong1),"",IF(OFFSET(TH!M$1,SMALL(Dong1,ROWS($1:1)),)="1111",OFFSET(TH!D$1,SMALL(Dong1,ROWS($1:1)),),""))</f>
        <v/>
      </c>
      <c r="E14" s="216" t="str">
        <f ca="1">IF(ROWS($1:1)&gt;COUNT(Dong1),"",OFFSET(TH!F$1,SMALL(Dong1,ROWS($1:1)),))</f>
        <v>Rút sec nhập quỹ tiền mặt</v>
      </c>
      <c r="F14" s="119" t="str">
        <f ca="1">IF(ROWS($1:1)&gt;COUNT(Dong1),"",IF(OFFSET(TH!M$1,SMALL(Dong1,ROWS($1:1)),)="1111",OFFSET(TH!L$1,SMALL(Dong1,ROWS($1:1)),),OFFSET(TH!M$1,SMALL(Dong1,ROWS($1:1)),)))</f>
        <v>1121</v>
      </c>
      <c r="G14" s="120">
        <f ca="1">IF(ROWS($1:1)&gt;COUNT(Dong1),"",IF(OFFSET(TH!L$1,SMALL(Dong1,ROWS($1:1)),)="1111",OFFSET(TH!K$1,SMALL(Dong1,ROWS($1:1)),),0))</f>
        <v>28000000</v>
      </c>
      <c r="H14" s="118">
        <f ca="1">IF(ROWS($1:1)&gt;COUNT(Dong1),"",IF(OFFSET(TH!M$1,SMALL(Dong1,ROWS($1:1)),)="1111",OFFSET(TH!K$1,SMALL(Dong1,ROWS($1:1)),),0))</f>
        <v>0</v>
      </c>
      <c r="I14" s="116">
        <f ca="1">IF(E14&lt;&gt;"",I13+G14-H14,0)</f>
        <v>2459746534</v>
      </c>
      <c r="J14" s="121"/>
      <c r="N14" s="531"/>
      <c r="O14" s="531"/>
    </row>
    <row r="15" spans="1:15" ht="21.75" customHeight="1">
      <c r="A15" s="115">
        <f ca="1">IF(ROWS($1:2)&gt;COUNT(Dong1),"",OFFSET(TH!C$1,SMALL(Dong1,ROWS($1:2)),))</f>
        <v>41195</v>
      </c>
      <c r="B15" s="115">
        <f ca="1">IF(ROWS($1:2)&gt;COUNT(Dong1),"",OFFSET(TH!E$1,SMALL(Dong1,ROWS($1:2)),))</f>
        <v>41195</v>
      </c>
      <c r="C15" s="116" t="str">
        <f ca="1">IF(ROWS($1:2)&gt;COUNT(Dong1),"",IF(OFFSET(TH!L$1,SMALL(Dong1,ROWS($1:2)),)="1111",OFFSET(TH!D$1,SMALL(Dong1,ROWS($1:2)),),""))</f>
        <v/>
      </c>
      <c r="D15" s="117" t="str">
        <f ca="1">IF(ROWS($1:2)&gt;COUNT(Dong1),"",IF(OFFSET(TH!M$1,SMALL(Dong1,ROWS($1:2)),)="1111",OFFSET(TH!D$1,SMALL(Dong1,ROWS($1:2)),),""))</f>
        <v>C01</v>
      </c>
      <c r="E15" s="216" t="str">
        <f ca="1">IF(ROWS($1:2)&gt;COUNT(Dong1),"",OFFSET(TH!F$1,SMALL(Dong1,ROWS($1:2)),))</f>
        <v>Thanh toán tiền hàng</v>
      </c>
      <c r="F15" s="119" t="str">
        <f ca="1">IF(ROWS($1:2)&gt;COUNT(Dong1),"",IF(OFFSET(TH!M$1,SMALL(Dong1,ROWS($1:2)),)="1111",OFFSET(TH!L$1,SMALL(Dong1,ROWS($1:2)),),OFFSET(TH!M$1,SMALL(Dong1,ROWS($1:2)),)))</f>
        <v>331</v>
      </c>
      <c r="G15" s="120">
        <f ca="1">IF(ROWS($1:2)&gt;COUNT(Dong1),"",IF(OFFSET(TH!L$1,SMALL(Dong1,ROWS($1:2)),)="1111",OFFSET(TH!K$1,SMALL(Dong1,ROWS($1:2)),),0))</f>
        <v>0</v>
      </c>
      <c r="H15" s="118">
        <f ca="1">IF(ROWS($1:2)&gt;COUNT(Dong1),"",IF(OFFSET(TH!M$1,SMALL(Dong1,ROWS($1:2)),)="1111",OFFSET(TH!K$1,SMALL(Dong1,ROWS($1:2)),),0))</f>
        <v>7012500</v>
      </c>
      <c r="I15" s="116">
        <f t="shared" ref="I15:I49" ca="1" si="0">IF(E15&lt;&gt;"",I14+G15-H15,0)</f>
        <v>2452734034</v>
      </c>
      <c r="J15" s="121"/>
      <c r="N15" s="531"/>
      <c r="O15" s="531"/>
    </row>
    <row r="16" spans="1:15" ht="21.75" customHeight="1">
      <c r="A16" s="115">
        <f ca="1">IF(ROWS($1:3)&gt;COUNT(Dong1),"",OFFSET(TH!C$1,SMALL(Dong1,ROWS($1:3)),))</f>
        <v>41199</v>
      </c>
      <c r="B16" s="115">
        <f ca="1">IF(ROWS($1:3)&gt;COUNT(Dong1),"",OFFSET(TH!E$1,SMALL(Dong1,ROWS($1:3)),))</f>
        <v>41199</v>
      </c>
      <c r="C16" s="116" t="str">
        <f ca="1">IF(ROWS($1:3)&gt;COUNT(Dong1),"",IF(OFFSET(TH!L$1,SMALL(Dong1,ROWS($1:3)),)="1111",OFFSET(TH!D$1,SMALL(Dong1,ROWS($1:3)),),""))</f>
        <v/>
      </c>
      <c r="D16" s="117" t="str">
        <f ca="1">IF(ROWS($1:3)&gt;COUNT(Dong1),"",IF(OFFSET(TH!M$1,SMALL(Dong1,ROWS($1:3)),)="1111",OFFSET(TH!D$1,SMALL(Dong1,ROWS($1:3)),),""))</f>
        <v>C02</v>
      </c>
      <c r="E16" s="216" t="str">
        <f ca="1">IF(ROWS($1:3)&gt;COUNT(Dong1),"",OFFSET(TH!F$1,SMALL(Dong1,ROWS($1:3)),))</f>
        <v>Thuế GTGT hàng sản xuất</v>
      </c>
      <c r="F16" s="119" t="str">
        <f ca="1">IF(ROWS($1:3)&gt;COUNT(Dong1),"",IF(OFFSET(TH!M$1,SMALL(Dong1,ROWS($1:3)),)="1111",OFFSET(TH!L$1,SMALL(Dong1,ROWS($1:3)),),OFFSET(TH!M$1,SMALL(Dong1,ROWS($1:3)),)))</f>
        <v>3388</v>
      </c>
      <c r="G16" s="120">
        <f ca="1">IF(ROWS($1:3)&gt;COUNT(Dong1),"",IF(OFFSET(TH!L$1,SMALL(Dong1,ROWS($1:3)),)="1111",OFFSET(TH!K$1,SMALL(Dong1,ROWS($1:3)),),0))</f>
        <v>0</v>
      </c>
      <c r="H16" s="118">
        <f ca="1">IF(ROWS($1:3)&gt;COUNT(Dong1),"",IF(OFFSET(TH!M$1,SMALL(Dong1,ROWS($1:3)),)="1111",OFFSET(TH!K$1,SMALL(Dong1,ROWS($1:3)),),0))</f>
        <v>366032</v>
      </c>
      <c r="I16" s="116">
        <f t="shared" ca="1" si="0"/>
        <v>2452368002</v>
      </c>
      <c r="J16" s="121"/>
      <c r="N16" s="531"/>
      <c r="O16" s="531"/>
    </row>
    <row r="17" spans="1:15" ht="21.75" customHeight="1">
      <c r="A17" s="115">
        <f ca="1">IF(ROWS($1:4)&gt;COUNT(Dong1),"",OFFSET(TH!C$1,SMALL(Dong1,ROWS($1:4)),))</f>
        <v>41199</v>
      </c>
      <c r="B17" s="115">
        <f ca="1">IF(ROWS($1:4)&gt;COUNT(Dong1),"",OFFSET(TH!E$1,SMALL(Dong1,ROWS($1:4)),))</f>
        <v>41199</v>
      </c>
      <c r="C17" s="116" t="str">
        <f ca="1">IF(ROWS($1:4)&gt;COUNT(Dong1),"",IF(OFFSET(TH!L$1,SMALL(Dong1,ROWS($1:4)),)="1111",OFFSET(TH!D$1,SMALL(Dong1,ROWS($1:4)),),""))</f>
        <v/>
      </c>
      <c r="D17" s="117" t="str">
        <f ca="1">IF(ROWS($1:4)&gt;COUNT(Dong1),"",IF(OFFSET(TH!M$1,SMALL(Dong1,ROWS($1:4)),)="1111",OFFSET(TH!D$1,SMALL(Dong1,ROWS($1:4)),),""))</f>
        <v>C02</v>
      </c>
      <c r="E17" s="216" t="str">
        <f ca="1">IF(ROWS($1:4)&gt;COUNT(Dong1),"",OFFSET(TH!F$1,SMALL(Dong1,ROWS($1:4)),))</f>
        <v>Thuế môn bài</v>
      </c>
      <c r="F17" s="119" t="str">
        <f ca="1">IF(ROWS($1:4)&gt;COUNT(Dong1),"",IF(OFFSET(TH!M$1,SMALL(Dong1,ROWS($1:4)),)="1111",OFFSET(TH!L$1,SMALL(Dong1,ROWS($1:4)),),OFFSET(TH!M$1,SMALL(Dong1,ROWS($1:4)),)))</f>
        <v>33382</v>
      </c>
      <c r="G17" s="120">
        <f ca="1">IF(ROWS($1:4)&gt;COUNT(Dong1),"",IF(OFFSET(TH!L$1,SMALL(Dong1,ROWS($1:4)),)="1111",OFFSET(TH!K$1,SMALL(Dong1,ROWS($1:4)),),0))</f>
        <v>0</v>
      </c>
      <c r="H17" s="118">
        <f ca="1">IF(ROWS($1:4)&gt;COUNT(Dong1),"",IF(OFFSET(TH!M$1,SMALL(Dong1,ROWS($1:4)),)="1111",OFFSET(TH!K$1,SMALL(Dong1,ROWS($1:4)),),0))</f>
        <v>750000</v>
      </c>
      <c r="I17" s="116">
        <f t="shared" ca="1" si="0"/>
        <v>2451618002</v>
      </c>
      <c r="J17" s="121"/>
      <c r="N17" s="531"/>
      <c r="O17" s="531"/>
    </row>
    <row r="18" spans="1:15" ht="21.75" customHeight="1">
      <c r="A18" s="115">
        <f ca="1">IF(ROWS($1:5)&gt;COUNT(Dong1),"",OFFSET(TH!C$1,SMALL(Dong1,ROWS($1:5)),))</f>
        <v>41201</v>
      </c>
      <c r="B18" s="115">
        <f ca="1">IF(ROWS($1:5)&gt;COUNT(Dong1),"",OFFSET(TH!E$1,SMALL(Dong1,ROWS($1:5)),))</f>
        <v>41201</v>
      </c>
      <c r="C18" s="116" t="str">
        <f ca="1">IF(ROWS($1:5)&gt;COUNT(Dong1),"",IF(OFFSET(TH!L$1,SMALL(Dong1,ROWS($1:5)),)="1111",OFFSET(TH!D$1,SMALL(Dong1,ROWS($1:5)),),""))</f>
        <v/>
      </c>
      <c r="D18" s="117" t="str">
        <f ca="1">IF(ROWS($1:5)&gt;COUNT(Dong1),"",IF(OFFSET(TH!M$1,SMALL(Dong1,ROWS($1:5)),)="1111",OFFSET(TH!D$1,SMALL(Dong1,ROWS($1:5)),),""))</f>
        <v>C03</v>
      </c>
      <c r="E18" s="216" t="str">
        <f ca="1">IF(ROWS($1:5)&gt;COUNT(Dong1),"",OFFSET(TH!F$1,SMALL(Dong1,ROWS($1:5)),))</f>
        <v>Phần mềm diệt virut</v>
      </c>
      <c r="F18" s="119" t="str">
        <f ca="1">IF(ROWS($1:5)&gt;COUNT(Dong1),"",IF(OFFSET(TH!M$1,SMALL(Dong1,ROWS($1:5)),)="1111",OFFSET(TH!L$1,SMALL(Dong1,ROWS($1:5)),),OFFSET(TH!M$1,SMALL(Dong1,ROWS($1:5)),)))</f>
        <v>642</v>
      </c>
      <c r="G18" s="120">
        <f ca="1">IF(ROWS($1:5)&gt;COUNT(Dong1),"",IF(OFFSET(TH!L$1,SMALL(Dong1,ROWS($1:5)),)="1111",OFFSET(TH!K$1,SMALL(Dong1,ROWS($1:5)),),0))</f>
        <v>0</v>
      </c>
      <c r="H18" s="118">
        <f ca="1">IF(ROWS($1:5)&gt;COUNT(Dong1),"",IF(OFFSET(TH!M$1,SMALL(Dong1,ROWS($1:5)),)="1111",OFFSET(TH!K$1,SMALL(Dong1,ROWS($1:5)),),0))</f>
        <v>272000</v>
      </c>
      <c r="I18" s="116">
        <f t="shared" ca="1" si="0"/>
        <v>2451346002</v>
      </c>
      <c r="J18" s="121"/>
      <c r="N18" s="531"/>
      <c r="O18" s="531"/>
    </row>
    <row r="19" spans="1:15" ht="21.75" customHeight="1">
      <c r="A19" s="115">
        <f ca="1">IF(ROWS($1:6)&gt;COUNT(Dong1),"",OFFSET(TH!C$1,SMALL(Dong1,ROWS($1:6)),))</f>
        <v>41201</v>
      </c>
      <c r="B19" s="115">
        <f ca="1">IF(ROWS($1:6)&gt;COUNT(Dong1),"",OFFSET(TH!E$1,SMALL(Dong1,ROWS($1:6)),))</f>
        <v>41201</v>
      </c>
      <c r="C19" s="116" t="str">
        <f ca="1">IF(ROWS($1:6)&gt;COUNT(Dong1),"",IF(OFFSET(TH!L$1,SMALL(Dong1,ROWS($1:6)),)="1111",OFFSET(TH!D$1,SMALL(Dong1,ROWS($1:6)),),""))</f>
        <v/>
      </c>
      <c r="D19" s="117" t="str">
        <f ca="1">IF(ROWS($1:6)&gt;COUNT(Dong1),"",IF(OFFSET(TH!M$1,SMALL(Dong1,ROWS($1:6)),)="1111",OFFSET(TH!D$1,SMALL(Dong1,ROWS($1:6)),),""))</f>
        <v>C04</v>
      </c>
      <c r="E19" s="216" t="str">
        <f ca="1">IF(ROWS($1:6)&gt;COUNT(Dong1),"",OFFSET(TH!F$1,SMALL(Dong1,ROWS($1:6)),))</f>
        <v>Thanh toán tiền hàng</v>
      </c>
      <c r="F19" s="119" t="str">
        <f ca="1">IF(ROWS($1:6)&gt;COUNT(Dong1),"",IF(OFFSET(TH!M$1,SMALL(Dong1,ROWS($1:6)),)="1111",OFFSET(TH!L$1,SMALL(Dong1,ROWS($1:6)),),OFFSET(TH!M$1,SMALL(Dong1,ROWS($1:6)),)))</f>
        <v>331</v>
      </c>
      <c r="G19" s="120">
        <f ca="1">IF(ROWS($1:6)&gt;COUNT(Dong1),"",IF(OFFSET(TH!L$1,SMALL(Dong1,ROWS($1:6)),)="1111",OFFSET(TH!K$1,SMALL(Dong1,ROWS($1:6)),),0))</f>
        <v>0</v>
      </c>
      <c r="H19" s="118">
        <f ca="1">IF(ROWS($1:6)&gt;COUNT(Dong1),"",IF(OFFSET(TH!M$1,SMALL(Dong1,ROWS($1:6)),)="1111",OFFSET(TH!K$1,SMALL(Dong1,ROWS($1:6)),),0))</f>
        <v>11097900</v>
      </c>
      <c r="I19" s="116">
        <f t="shared" ca="1" si="0"/>
        <v>2440248102</v>
      </c>
      <c r="J19" s="121"/>
      <c r="N19" s="531"/>
      <c r="O19" s="531"/>
    </row>
    <row r="20" spans="1:15" ht="21.75" customHeight="1">
      <c r="A20" s="115">
        <f ca="1">IF(ROWS($1:7)&gt;COUNT(Dong1),"",OFFSET(TH!C$1,SMALL(Dong1,ROWS($1:7)),))</f>
        <v>41202</v>
      </c>
      <c r="B20" s="115">
        <f ca="1">IF(ROWS($1:7)&gt;COUNT(Dong1),"",OFFSET(TH!E$1,SMALL(Dong1,ROWS($1:7)),))</f>
        <v>41202</v>
      </c>
      <c r="C20" s="116" t="str">
        <f ca="1">IF(ROWS($1:7)&gt;COUNT(Dong1),"",IF(OFFSET(TH!L$1,SMALL(Dong1,ROWS($1:7)),)="1111",OFFSET(TH!D$1,SMALL(Dong1,ROWS($1:7)),),""))</f>
        <v/>
      </c>
      <c r="D20" s="117" t="str">
        <f ca="1">IF(ROWS($1:7)&gt;COUNT(Dong1),"",IF(OFFSET(TH!M$1,SMALL(Dong1,ROWS($1:7)),)="1111",OFFSET(TH!D$1,SMALL(Dong1,ROWS($1:7)),),""))</f>
        <v>C05</v>
      </c>
      <c r="E20" s="216" t="str">
        <f ca="1">IF(ROWS($1:7)&gt;COUNT(Dong1),"",OFFSET(TH!F$1,SMALL(Dong1,ROWS($1:7)),))</f>
        <v>Thanh toán tiền viễn thông</v>
      </c>
      <c r="F20" s="119" t="str">
        <f ca="1">IF(ROWS($1:7)&gt;COUNT(Dong1),"",IF(OFFSET(TH!M$1,SMALL(Dong1,ROWS($1:7)),)="1111",OFFSET(TH!L$1,SMALL(Dong1,ROWS($1:7)),),OFFSET(TH!M$1,SMALL(Dong1,ROWS($1:7)),)))</f>
        <v>642</v>
      </c>
      <c r="G20" s="120">
        <f ca="1">IF(ROWS($1:7)&gt;COUNT(Dong1),"",IF(OFFSET(TH!L$1,SMALL(Dong1,ROWS($1:7)),)="1111",OFFSET(TH!K$1,SMALL(Dong1,ROWS($1:7)),),0))</f>
        <v>0</v>
      </c>
      <c r="H20" s="118">
        <f ca="1">IF(ROWS($1:7)&gt;COUNT(Dong1),"",IF(OFFSET(TH!M$1,SMALL(Dong1,ROWS($1:7)),)="1111",OFFSET(TH!K$1,SMALL(Dong1,ROWS($1:7)),),0))</f>
        <v>250000</v>
      </c>
      <c r="I20" s="116">
        <f t="shared" ca="1" si="0"/>
        <v>2439998102</v>
      </c>
      <c r="J20" s="121"/>
      <c r="N20" s="531"/>
      <c r="O20" s="531"/>
    </row>
    <row r="21" spans="1:15" ht="21.75" customHeight="1">
      <c r="A21" s="115">
        <f ca="1">IF(ROWS($1:8)&gt;COUNT(Dong1),"",OFFSET(TH!C$1,SMALL(Dong1,ROWS($1:8)),))</f>
        <v>41202</v>
      </c>
      <c r="B21" s="115">
        <f ca="1">IF(ROWS($1:8)&gt;COUNT(Dong1),"",OFFSET(TH!E$1,SMALL(Dong1,ROWS($1:8)),))</f>
        <v>41202</v>
      </c>
      <c r="C21" s="116" t="str">
        <f ca="1">IF(ROWS($1:8)&gt;COUNT(Dong1),"",IF(OFFSET(TH!L$1,SMALL(Dong1,ROWS($1:8)),)="1111",OFFSET(TH!D$1,SMALL(Dong1,ROWS($1:8)),),""))</f>
        <v/>
      </c>
      <c r="D21" s="117" t="str">
        <f ca="1">IF(ROWS($1:8)&gt;COUNT(Dong1),"",IF(OFFSET(TH!M$1,SMALL(Dong1,ROWS($1:8)),)="1111",OFFSET(TH!D$1,SMALL(Dong1,ROWS($1:8)),),""))</f>
        <v>C05</v>
      </c>
      <c r="E21" s="216" t="str">
        <f ca="1">IF(ROWS($1:8)&gt;COUNT(Dong1),"",OFFSET(TH!F$1,SMALL(Dong1,ROWS($1:8)),))</f>
        <v>VAT Thanh toán tiền viễn thông</v>
      </c>
      <c r="F21" s="119" t="str">
        <f ca="1">IF(ROWS($1:8)&gt;COUNT(Dong1),"",IF(OFFSET(TH!M$1,SMALL(Dong1,ROWS($1:8)),)="1111",OFFSET(TH!L$1,SMALL(Dong1,ROWS($1:8)),),OFFSET(TH!M$1,SMALL(Dong1,ROWS($1:8)),)))</f>
        <v>1331</v>
      </c>
      <c r="G21" s="120">
        <f ca="1">IF(ROWS($1:8)&gt;COUNT(Dong1),"",IF(OFFSET(TH!L$1,SMALL(Dong1,ROWS($1:8)),)="1111",OFFSET(TH!K$1,SMALL(Dong1,ROWS($1:8)),),0))</f>
        <v>0</v>
      </c>
      <c r="H21" s="118">
        <f ca="1">IF(ROWS($1:8)&gt;COUNT(Dong1),"",IF(OFFSET(TH!M$1,SMALL(Dong1,ROWS($1:8)),)="1111",OFFSET(TH!K$1,SMALL(Dong1,ROWS($1:8)),),0))</f>
        <v>25000</v>
      </c>
      <c r="I21" s="116">
        <f t="shared" ca="1" si="0"/>
        <v>2439973102</v>
      </c>
      <c r="J21" s="121"/>
      <c r="N21" s="531"/>
      <c r="O21" s="531"/>
    </row>
    <row r="22" spans="1:15" ht="21.75" customHeight="1">
      <c r="A22" s="115">
        <f ca="1">IF(ROWS($1:9)&gt;COUNT(Dong1),"",OFFSET(TH!C$1,SMALL(Dong1,ROWS($1:9)),))</f>
        <v>41205</v>
      </c>
      <c r="B22" s="115">
        <f ca="1">IF(ROWS($1:9)&gt;COUNT(Dong1),"",OFFSET(TH!E$1,SMALL(Dong1,ROWS($1:9)),))</f>
        <v>41205</v>
      </c>
      <c r="C22" s="116" t="str">
        <f ca="1">IF(ROWS($1:9)&gt;COUNT(Dong1),"",IF(OFFSET(TH!L$1,SMALL(Dong1,ROWS($1:9)),)="1111",OFFSET(TH!D$1,SMALL(Dong1,ROWS($1:9)),),""))</f>
        <v>T02</v>
      </c>
      <c r="D22" s="117" t="str">
        <f ca="1">IF(ROWS($1:9)&gt;COUNT(Dong1),"",IF(OFFSET(TH!M$1,SMALL(Dong1,ROWS($1:9)),)="1111",OFFSET(TH!D$1,SMALL(Dong1,ROWS($1:9)),),""))</f>
        <v/>
      </c>
      <c r="E22" s="216" t="str">
        <f ca="1">IF(ROWS($1:9)&gt;COUNT(Dong1),"",OFFSET(TH!F$1,SMALL(Dong1,ROWS($1:9)),))</f>
        <v>Thu tiền hàng</v>
      </c>
      <c r="F22" s="119" t="str">
        <f ca="1">IF(ROWS($1:9)&gt;COUNT(Dong1),"",IF(OFFSET(TH!M$1,SMALL(Dong1,ROWS($1:9)),)="1111",OFFSET(TH!L$1,SMALL(Dong1,ROWS($1:9)),),OFFSET(TH!M$1,SMALL(Dong1,ROWS($1:9)),)))</f>
        <v>131</v>
      </c>
      <c r="G22" s="120">
        <f ca="1">IF(ROWS($1:9)&gt;COUNT(Dong1),"",IF(OFFSET(TH!L$1,SMALL(Dong1,ROWS($1:9)),)="1111",OFFSET(TH!K$1,SMALL(Dong1,ROWS($1:9)),),0))</f>
        <v>13563660</v>
      </c>
      <c r="H22" s="118">
        <f ca="1">IF(ROWS($1:9)&gt;COUNT(Dong1),"",IF(OFFSET(TH!M$1,SMALL(Dong1,ROWS($1:9)),)="1111",OFFSET(TH!K$1,SMALL(Dong1,ROWS($1:9)),),0))</f>
        <v>0</v>
      </c>
      <c r="I22" s="116">
        <f t="shared" ca="1" si="0"/>
        <v>2453536762</v>
      </c>
      <c r="J22" s="121"/>
      <c r="N22" s="531"/>
      <c r="O22" s="531"/>
    </row>
    <row r="23" spans="1:15" ht="21.75" customHeight="1">
      <c r="A23" s="115">
        <f ca="1">IF(ROWS($1:10)&gt;COUNT(Dong1),"",OFFSET(TH!C$1,SMALL(Dong1,ROWS($1:10)),))</f>
        <v>41207</v>
      </c>
      <c r="B23" s="115">
        <f ca="1">IF(ROWS($1:10)&gt;COUNT(Dong1),"",OFFSET(TH!E$1,SMALL(Dong1,ROWS($1:10)),))</f>
        <v>41207</v>
      </c>
      <c r="C23" s="116" t="str">
        <f ca="1">IF(ROWS($1:10)&gt;COUNT(Dong1),"",IF(OFFSET(TH!L$1,SMALL(Dong1,ROWS($1:10)),)="1111",OFFSET(TH!D$1,SMALL(Dong1,ROWS($1:10)),),""))</f>
        <v/>
      </c>
      <c r="D23" s="117" t="str">
        <f ca="1">IF(ROWS($1:10)&gt;COUNT(Dong1),"",IF(OFFSET(TH!M$1,SMALL(Dong1,ROWS($1:10)),)="1111",OFFSET(TH!D$1,SMALL(Dong1,ROWS($1:10)),),""))</f>
        <v>C06</v>
      </c>
      <c r="E23" s="216" t="str">
        <f ca="1">IF(ROWS($1:10)&gt;COUNT(Dong1),"",OFFSET(TH!F$1,SMALL(Dong1,ROWS($1:10)),))</f>
        <v>Thanh toán tiền hàng</v>
      </c>
      <c r="F23" s="119" t="str">
        <f ca="1">IF(ROWS($1:10)&gt;COUNT(Dong1),"",IF(OFFSET(TH!M$1,SMALL(Dong1,ROWS($1:10)),)="1111",OFFSET(TH!L$1,SMALL(Dong1,ROWS($1:10)),),OFFSET(TH!M$1,SMALL(Dong1,ROWS($1:10)),)))</f>
        <v>331</v>
      </c>
      <c r="G23" s="120">
        <f ca="1">IF(ROWS($1:10)&gt;COUNT(Dong1),"",IF(OFFSET(TH!L$1,SMALL(Dong1,ROWS($1:10)),)="1111",OFFSET(TH!K$1,SMALL(Dong1,ROWS($1:10)),),0))</f>
        <v>0</v>
      </c>
      <c r="H23" s="118">
        <f ca="1">IF(ROWS($1:10)&gt;COUNT(Dong1),"",IF(OFFSET(TH!M$1,SMALL(Dong1,ROWS($1:10)),)="1111",OFFSET(TH!K$1,SMALL(Dong1,ROWS($1:10)),),0))</f>
        <v>12818300</v>
      </c>
      <c r="I23" s="116">
        <f t="shared" ca="1" si="0"/>
        <v>2440718462</v>
      </c>
      <c r="J23" s="121"/>
      <c r="N23" s="531"/>
      <c r="O23" s="531"/>
    </row>
    <row r="24" spans="1:15" ht="21.75" customHeight="1">
      <c r="A24" s="115">
        <f ca="1">IF(ROWS($1:11)&gt;COUNT(Dong1),"",OFFSET(TH!C$1,SMALL(Dong1,ROWS($1:11)),))</f>
        <v>41207</v>
      </c>
      <c r="B24" s="115">
        <f ca="1">IF(ROWS($1:11)&gt;COUNT(Dong1),"",OFFSET(TH!E$1,SMALL(Dong1,ROWS($1:11)),))</f>
        <v>41207</v>
      </c>
      <c r="C24" s="116" t="str">
        <f ca="1">IF(ROWS($1:11)&gt;COUNT(Dong1),"",IF(OFFSET(TH!L$1,SMALL(Dong1,ROWS($1:11)),)="1111",OFFSET(TH!D$1,SMALL(Dong1,ROWS($1:11)),),""))</f>
        <v>T03</v>
      </c>
      <c r="D24" s="117" t="str">
        <f ca="1">IF(ROWS($1:11)&gt;COUNT(Dong1),"",IF(OFFSET(TH!M$1,SMALL(Dong1,ROWS($1:11)),)="1111",OFFSET(TH!D$1,SMALL(Dong1,ROWS($1:11)),),""))</f>
        <v/>
      </c>
      <c r="E24" s="216" t="str">
        <f ca="1">IF(ROWS($1:11)&gt;COUNT(Dong1),"",OFFSET(TH!F$1,SMALL(Dong1,ROWS($1:11)),))</f>
        <v>Thu tiền hàng</v>
      </c>
      <c r="F24" s="119" t="str">
        <f ca="1">IF(ROWS($1:11)&gt;COUNT(Dong1),"",IF(OFFSET(TH!M$1,SMALL(Dong1,ROWS($1:11)),)="1111",OFFSET(TH!L$1,SMALL(Dong1,ROWS($1:11)),),OFFSET(TH!M$1,SMALL(Dong1,ROWS($1:11)),)))</f>
        <v>131</v>
      </c>
      <c r="G24" s="120">
        <f ca="1">IF(ROWS($1:11)&gt;COUNT(Dong1),"",IF(OFFSET(TH!L$1,SMALL(Dong1,ROWS($1:11)),)="1111",OFFSET(TH!K$1,SMALL(Dong1,ROWS($1:11)),),0))</f>
        <v>6888200</v>
      </c>
      <c r="H24" s="118">
        <f ca="1">IF(ROWS($1:11)&gt;COUNT(Dong1),"",IF(OFFSET(TH!M$1,SMALL(Dong1,ROWS($1:11)),)="1111",OFFSET(TH!K$1,SMALL(Dong1,ROWS($1:11)),),0))</f>
        <v>0</v>
      </c>
      <c r="I24" s="116">
        <f t="shared" ca="1" si="0"/>
        <v>2447606662</v>
      </c>
      <c r="J24" s="121"/>
      <c r="N24" s="531"/>
      <c r="O24" s="531"/>
    </row>
    <row r="25" spans="1:15" ht="21.75" customHeight="1">
      <c r="A25" s="115">
        <f ca="1">IF(ROWS($1:12)&gt;COUNT(Dong1),"",OFFSET(TH!C$1,SMALL(Dong1,ROWS($1:12)),))</f>
        <v>41208</v>
      </c>
      <c r="B25" s="115">
        <f ca="1">IF(ROWS($1:12)&gt;COUNT(Dong1),"",OFFSET(TH!E$1,SMALL(Dong1,ROWS($1:12)),))</f>
        <v>41208</v>
      </c>
      <c r="C25" s="116" t="str">
        <f ca="1">IF(ROWS($1:12)&gt;COUNT(Dong1),"",IF(OFFSET(TH!L$1,SMALL(Dong1,ROWS($1:12)),)="1111",OFFSET(TH!D$1,SMALL(Dong1,ROWS($1:12)),),""))</f>
        <v/>
      </c>
      <c r="D25" s="117" t="str">
        <f ca="1">IF(ROWS($1:12)&gt;COUNT(Dong1),"",IF(OFFSET(TH!M$1,SMALL(Dong1,ROWS($1:12)),)="1111",OFFSET(TH!D$1,SMALL(Dong1,ROWS($1:12)),),""))</f>
        <v>C07</v>
      </c>
      <c r="E25" s="216" t="str">
        <f ca="1">IF(ROWS($1:12)&gt;COUNT(Dong1),"",OFFSET(TH!F$1,SMALL(Dong1,ROWS($1:12)),))</f>
        <v>Thanh toán tiền hàng</v>
      </c>
      <c r="F25" s="119" t="str">
        <f ca="1">IF(ROWS($1:12)&gt;COUNT(Dong1),"",IF(OFFSET(TH!M$1,SMALL(Dong1,ROWS($1:12)),)="1111",OFFSET(TH!L$1,SMALL(Dong1,ROWS($1:12)),),OFFSET(TH!M$1,SMALL(Dong1,ROWS($1:12)),)))</f>
        <v>331</v>
      </c>
      <c r="G25" s="120">
        <f ca="1">IF(ROWS($1:12)&gt;COUNT(Dong1),"",IF(OFFSET(TH!L$1,SMALL(Dong1,ROWS($1:12)),)="1111",OFFSET(TH!K$1,SMALL(Dong1,ROWS($1:12)),),0))</f>
        <v>0</v>
      </c>
      <c r="H25" s="118">
        <f ca="1">IF(ROWS($1:12)&gt;COUNT(Dong1),"",IF(OFFSET(TH!M$1,SMALL(Dong1,ROWS($1:12)),)="1111",OFFSET(TH!K$1,SMALL(Dong1,ROWS($1:12)),),0))</f>
        <v>6734882</v>
      </c>
      <c r="I25" s="116">
        <f t="shared" ca="1" si="0"/>
        <v>2440871780</v>
      </c>
      <c r="J25" s="121"/>
      <c r="N25" s="531"/>
      <c r="O25" s="531"/>
    </row>
    <row r="26" spans="1:15" ht="21.75" customHeight="1">
      <c r="A26" s="115">
        <f ca="1">IF(ROWS($1:13)&gt;COUNT(Dong1),"",OFFSET(TH!C$1,SMALL(Dong1,ROWS($1:13)),))</f>
        <v>41209</v>
      </c>
      <c r="B26" s="115">
        <f ca="1">IF(ROWS($1:13)&gt;COUNT(Dong1),"",OFFSET(TH!E$1,SMALL(Dong1,ROWS($1:13)),))</f>
        <v>41209</v>
      </c>
      <c r="C26" s="116" t="str">
        <f ca="1">IF(ROWS($1:13)&gt;COUNT(Dong1),"",IF(OFFSET(TH!L$1,SMALL(Dong1,ROWS($1:13)),)="1111",OFFSET(TH!D$1,SMALL(Dong1,ROWS($1:13)),),""))</f>
        <v/>
      </c>
      <c r="D26" s="117" t="str">
        <f ca="1">IF(ROWS($1:13)&gt;COUNT(Dong1),"",IF(OFFSET(TH!M$1,SMALL(Dong1,ROWS($1:13)),)="1111",OFFSET(TH!D$1,SMALL(Dong1,ROWS($1:13)),),""))</f>
        <v>C08</v>
      </c>
      <c r="E26" s="216" t="str">
        <f ca="1">IF(ROWS($1:13)&gt;COUNT(Dong1),"",OFFSET(TH!F$1,SMALL(Dong1,ROWS($1:13)),))</f>
        <v>Thanh toán tiền hàng</v>
      </c>
      <c r="F26" s="119" t="str">
        <f ca="1">IF(ROWS($1:13)&gt;COUNT(Dong1),"",IF(OFFSET(TH!M$1,SMALL(Dong1,ROWS($1:13)),)="1111",OFFSET(TH!L$1,SMALL(Dong1,ROWS($1:13)),),OFFSET(TH!M$1,SMALL(Dong1,ROWS($1:13)),)))</f>
        <v>331</v>
      </c>
      <c r="G26" s="120">
        <f ca="1">IF(ROWS($1:13)&gt;COUNT(Dong1),"",IF(OFFSET(TH!L$1,SMALL(Dong1,ROWS($1:13)),)="1111",OFFSET(TH!K$1,SMALL(Dong1,ROWS($1:13)),),0))</f>
        <v>0</v>
      </c>
      <c r="H26" s="118">
        <f ca="1">IF(ROWS($1:13)&gt;COUNT(Dong1),"",IF(OFFSET(TH!M$1,SMALL(Dong1,ROWS($1:13)),)="1111",OFFSET(TH!K$1,SMALL(Dong1,ROWS($1:13)),),0))</f>
        <v>13550900</v>
      </c>
      <c r="I26" s="116">
        <f t="shared" ca="1" si="0"/>
        <v>2427320880</v>
      </c>
      <c r="J26" s="121"/>
      <c r="N26" s="531"/>
      <c r="O26" s="531"/>
    </row>
    <row r="27" spans="1:15" ht="21.75" customHeight="1">
      <c r="A27" s="115">
        <f ca="1">IF(ROWS($1:14)&gt;COUNT(Dong1),"",OFFSET(TH!C$1,SMALL(Dong1,ROWS($1:14)),))</f>
        <v>41211</v>
      </c>
      <c r="B27" s="115">
        <f ca="1">IF(ROWS($1:14)&gt;COUNT(Dong1),"",OFFSET(TH!E$1,SMALL(Dong1,ROWS($1:14)),))</f>
        <v>41211</v>
      </c>
      <c r="C27" s="116" t="str">
        <f ca="1">IF(ROWS($1:14)&gt;COUNT(Dong1),"",IF(OFFSET(TH!L$1,SMALL(Dong1,ROWS($1:14)),)="1111",OFFSET(TH!D$1,SMALL(Dong1,ROWS($1:14)),),""))</f>
        <v/>
      </c>
      <c r="D27" s="117" t="str">
        <f ca="1">IF(ROWS($1:14)&gt;COUNT(Dong1),"",IF(OFFSET(TH!M$1,SMALL(Dong1,ROWS($1:14)),)="1111",OFFSET(TH!D$1,SMALL(Dong1,ROWS($1:14)),),""))</f>
        <v>C09</v>
      </c>
      <c r="E27" s="216" t="str">
        <f ca="1">IF(ROWS($1:14)&gt;COUNT(Dong1),"",OFFSET(TH!F$1,SMALL(Dong1,ROWS($1:14)),))</f>
        <v>Mực in</v>
      </c>
      <c r="F27" s="119" t="str">
        <f ca="1">IF(ROWS($1:14)&gt;COUNT(Dong1),"",IF(OFFSET(TH!M$1,SMALL(Dong1,ROWS($1:14)),)="1111",OFFSET(TH!L$1,SMALL(Dong1,ROWS($1:14)),),OFFSET(TH!M$1,SMALL(Dong1,ROWS($1:14)),)))</f>
        <v>154</v>
      </c>
      <c r="G27" s="120">
        <f ca="1">IF(ROWS($1:14)&gt;COUNT(Dong1),"",IF(OFFSET(TH!L$1,SMALL(Dong1,ROWS($1:14)),)="1111",OFFSET(TH!K$1,SMALL(Dong1,ROWS($1:14)),),0))</f>
        <v>0</v>
      </c>
      <c r="H27" s="118">
        <f ca="1">IF(ROWS($1:14)&gt;COUNT(Dong1),"",IF(OFFSET(TH!M$1,SMALL(Dong1,ROWS($1:14)),)="1111",OFFSET(TH!K$1,SMALL(Dong1,ROWS($1:14)),),0))</f>
        <v>1400000</v>
      </c>
      <c r="I27" s="116">
        <f t="shared" ca="1" si="0"/>
        <v>2425920880</v>
      </c>
      <c r="J27" s="121"/>
      <c r="N27" s="531"/>
      <c r="O27" s="531"/>
    </row>
    <row r="28" spans="1:15" ht="21.75" customHeight="1">
      <c r="A28" s="115">
        <f ca="1">IF(ROWS($1:15)&gt;COUNT(Dong1),"",OFFSET(TH!C$1,SMALL(Dong1,ROWS($1:15)),))</f>
        <v>41213</v>
      </c>
      <c r="B28" s="115">
        <f ca="1">IF(ROWS($1:15)&gt;COUNT(Dong1),"",OFFSET(TH!E$1,SMALL(Dong1,ROWS($1:15)),))</f>
        <v>41213</v>
      </c>
      <c r="C28" s="116" t="str">
        <f ca="1">IF(ROWS($1:15)&gt;COUNT(Dong1),"",IF(OFFSET(TH!L$1,SMALL(Dong1,ROWS($1:15)),)="1111",OFFSET(TH!D$1,SMALL(Dong1,ROWS($1:15)),),""))</f>
        <v>T04</v>
      </c>
      <c r="D28" s="117" t="str">
        <f ca="1">IF(ROWS($1:15)&gt;COUNT(Dong1),"",IF(OFFSET(TH!M$1,SMALL(Dong1,ROWS($1:15)),)="1111",OFFSET(TH!D$1,SMALL(Dong1,ROWS($1:15)),),""))</f>
        <v/>
      </c>
      <c r="E28" s="216" t="str">
        <f ca="1">IF(ROWS($1:15)&gt;COUNT(Dong1),"",OFFSET(TH!F$1,SMALL(Dong1,ROWS($1:15)),))</f>
        <v>Thu tiền hàng</v>
      </c>
      <c r="F28" s="119" t="str">
        <f ca="1">IF(ROWS($1:15)&gt;COUNT(Dong1),"",IF(OFFSET(TH!M$1,SMALL(Dong1,ROWS($1:15)),)="1111",OFFSET(TH!L$1,SMALL(Dong1,ROWS($1:15)),),OFFSET(TH!M$1,SMALL(Dong1,ROWS($1:15)),)))</f>
        <v>131</v>
      </c>
      <c r="G28" s="120">
        <f ca="1">IF(ROWS($1:15)&gt;COUNT(Dong1),"",IF(OFFSET(TH!L$1,SMALL(Dong1,ROWS($1:15)),)="1111",OFFSET(TH!K$1,SMALL(Dong1,ROWS($1:15)),),0))</f>
        <v>11484000</v>
      </c>
      <c r="H28" s="118">
        <f ca="1">IF(ROWS($1:15)&gt;COUNT(Dong1),"",IF(OFFSET(TH!M$1,SMALL(Dong1,ROWS($1:15)),)="1111",OFFSET(TH!K$1,SMALL(Dong1,ROWS($1:15)),),0))</f>
        <v>0</v>
      </c>
      <c r="I28" s="116">
        <f t="shared" ca="1" si="0"/>
        <v>2437404880</v>
      </c>
      <c r="J28" s="121"/>
      <c r="N28" s="531"/>
      <c r="O28" s="531"/>
    </row>
    <row r="29" spans="1:15" ht="21.75" customHeight="1">
      <c r="A29" s="115">
        <f ca="1">IF(ROWS($1:16)&gt;COUNT(Dong1),"",OFFSET(TH!C$1,SMALL(Dong1,ROWS($1:16)),))</f>
        <v>41213</v>
      </c>
      <c r="B29" s="115">
        <f ca="1">IF(ROWS($1:16)&gt;COUNT(Dong1),"",OFFSET(TH!E$1,SMALL(Dong1,ROWS($1:16)),))</f>
        <v>41213</v>
      </c>
      <c r="C29" s="116" t="str">
        <f ca="1">IF(ROWS($1:16)&gt;COUNT(Dong1),"",IF(OFFSET(TH!L$1,SMALL(Dong1,ROWS($1:16)),)="1111",OFFSET(TH!D$1,SMALL(Dong1,ROWS($1:16)),),""))</f>
        <v/>
      </c>
      <c r="D29" s="117" t="str">
        <f ca="1">IF(ROWS($1:16)&gt;COUNT(Dong1),"",IF(OFFSET(TH!M$1,SMALL(Dong1,ROWS($1:16)),)="1111",OFFSET(TH!D$1,SMALL(Dong1,ROWS($1:16)),),""))</f>
        <v>C10</v>
      </c>
      <c r="E29" s="216" t="str">
        <f ca="1">IF(ROWS($1:16)&gt;COUNT(Dong1),"",OFFSET(TH!F$1,SMALL(Dong1,ROWS($1:16)),))</f>
        <v>Thanh toán lương T10/2012</v>
      </c>
      <c r="F29" s="119" t="str">
        <f ca="1">IF(ROWS($1:16)&gt;COUNT(Dong1),"",IF(OFFSET(TH!M$1,SMALL(Dong1,ROWS($1:16)),)="1111",OFFSET(TH!L$1,SMALL(Dong1,ROWS($1:16)),),OFFSET(TH!M$1,SMALL(Dong1,ROWS($1:16)),)))</f>
        <v>3341</v>
      </c>
      <c r="G29" s="120">
        <f ca="1">IF(ROWS($1:16)&gt;COUNT(Dong1),"",IF(OFFSET(TH!L$1,SMALL(Dong1,ROWS($1:16)),)="1111",OFFSET(TH!K$1,SMALL(Dong1,ROWS($1:16)),),0))</f>
        <v>0</v>
      </c>
      <c r="H29" s="118">
        <f ca="1">IF(ROWS($1:16)&gt;COUNT(Dong1),"",IF(OFFSET(TH!M$1,SMALL(Dong1,ROWS($1:16)),)="1111",OFFSET(TH!K$1,SMALL(Dong1,ROWS($1:16)),),0))</f>
        <v>13785000</v>
      </c>
      <c r="I29" s="116">
        <f t="shared" ca="1" si="0"/>
        <v>2423619880</v>
      </c>
      <c r="J29" s="121"/>
      <c r="N29" s="531"/>
      <c r="O29" s="531"/>
    </row>
    <row r="30" spans="1:15" ht="21.75" customHeight="1">
      <c r="A30" s="115">
        <f ca="1">IF(ROWS($1:17)&gt;COUNT(Dong1),"",OFFSET(TH!C$1,SMALL(Dong1,ROWS($1:17)),))</f>
        <v>41214</v>
      </c>
      <c r="B30" s="115">
        <f ca="1">IF(ROWS($1:17)&gt;COUNT(Dong1),"",OFFSET(TH!E$1,SMALL(Dong1,ROWS($1:17)),))</f>
        <v>41214</v>
      </c>
      <c r="C30" s="116" t="str">
        <f ca="1">IF(ROWS($1:17)&gt;COUNT(Dong1),"",IF(OFFSET(TH!L$1,SMALL(Dong1,ROWS($1:17)),)="1111",OFFSET(TH!D$1,SMALL(Dong1,ROWS($1:17)),),""))</f>
        <v>T05</v>
      </c>
      <c r="D30" s="117" t="str">
        <f ca="1">IF(ROWS($1:17)&gt;COUNT(Dong1),"",IF(OFFSET(TH!M$1,SMALL(Dong1,ROWS($1:17)),)="1111",OFFSET(TH!D$1,SMALL(Dong1,ROWS($1:17)),),""))</f>
        <v/>
      </c>
      <c r="E30" s="216" t="str">
        <f ca="1">IF(ROWS($1:17)&gt;COUNT(Dong1),"",OFFSET(TH!F$1,SMALL(Dong1,ROWS($1:17)),))</f>
        <v>Rút sec nhập quỹ tiền mặt</v>
      </c>
      <c r="F30" s="119" t="str">
        <f ca="1">IF(ROWS($1:17)&gt;COUNT(Dong1),"",IF(OFFSET(TH!M$1,SMALL(Dong1,ROWS($1:17)),)="1111",OFFSET(TH!L$1,SMALL(Dong1,ROWS($1:17)),),OFFSET(TH!M$1,SMALL(Dong1,ROWS($1:17)),)))</f>
        <v>1121</v>
      </c>
      <c r="G30" s="120">
        <f ca="1">IF(ROWS($1:17)&gt;COUNT(Dong1),"",IF(OFFSET(TH!L$1,SMALL(Dong1,ROWS($1:17)),)="1111",OFFSET(TH!K$1,SMALL(Dong1,ROWS($1:17)),),0))</f>
        <v>31000000</v>
      </c>
      <c r="H30" s="118">
        <f ca="1">IF(ROWS($1:17)&gt;COUNT(Dong1),"",IF(OFFSET(TH!M$1,SMALL(Dong1,ROWS($1:17)),)="1111",OFFSET(TH!K$1,SMALL(Dong1,ROWS($1:17)),),0))</f>
        <v>0</v>
      </c>
      <c r="I30" s="116">
        <f t="shared" ca="1" si="0"/>
        <v>2454619880</v>
      </c>
      <c r="J30" s="121"/>
      <c r="N30" s="531"/>
      <c r="O30" s="531"/>
    </row>
    <row r="31" spans="1:15" ht="21.75" customHeight="1">
      <c r="A31" s="115">
        <f ca="1">IF(ROWS($1:18)&gt;COUNT(Dong1),"",OFFSET(TH!C$1,SMALL(Dong1,ROWS($1:18)),))</f>
        <v>41214</v>
      </c>
      <c r="B31" s="115">
        <f ca="1">IF(ROWS($1:18)&gt;COUNT(Dong1),"",OFFSET(TH!E$1,SMALL(Dong1,ROWS($1:18)),))</f>
        <v>41214</v>
      </c>
      <c r="C31" s="116" t="str">
        <f ca="1">IF(ROWS($1:18)&gt;COUNT(Dong1),"",IF(OFFSET(TH!L$1,SMALL(Dong1,ROWS($1:18)),)="1111",OFFSET(TH!D$1,SMALL(Dong1,ROWS($1:18)),),""))</f>
        <v>T06</v>
      </c>
      <c r="D31" s="117" t="str">
        <f ca="1">IF(ROWS($1:18)&gt;COUNT(Dong1),"",IF(OFFSET(TH!M$1,SMALL(Dong1,ROWS($1:18)),)="1111",OFFSET(TH!D$1,SMALL(Dong1,ROWS($1:18)),),""))</f>
        <v/>
      </c>
      <c r="E31" s="216" t="str">
        <f ca="1">IF(ROWS($1:18)&gt;COUNT(Dong1),"",OFFSET(TH!F$1,SMALL(Dong1,ROWS($1:18)),))</f>
        <v>Thu tiền hàng</v>
      </c>
      <c r="F31" s="119" t="str">
        <f ca="1">IF(ROWS($1:18)&gt;COUNT(Dong1),"",IF(OFFSET(TH!M$1,SMALL(Dong1,ROWS($1:18)),)="1111",OFFSET(TH!L$1,SMALL(Dong1,ROWS($1:18)),),OFFSET(TH!M$1,SMALL(Dong1,ROWS($1:18)),)))</f>
        <v>131</v>
      </c>
      <c r="G31" s="120">
        <f ca="1">IF(ROWS($1:18)&gt;COUNT(Dong1),"",IF(OFFSET(TH!L$1,SMALL(Dong1,ROWS($1:18)),)="1111",OFFSET(TH!K$1,SMALL(Dong1,ROWS($1:18)),),0))</f>
        <v>11513425</v>
      </c>
      <c r="H31" s="118">
        <f ca="1">IF(ROWS($1:18)&gt;COUNT(Dong1),"",IF(OFFSET(TH!M$1,SMALL(Dong1,ROWS($1:18)),)="1111",OFFSET(TH!K$1,SMALL(Dong1,ROWS($1:18)),),0))</f>
        <v>0</v>
      </c>
      <c r="I31" s="116">
        <f t="shared" ca="1" si="0"/>
        <v>2466133305</v>
      </c>
      <c r="J31" s="121"/>
      <c r="N31" s="531"/>
      <c r="O31" s="531"/>
    </row>
    <row r="32" spans="1:15" ht="21.75" customHeight="1">
      <c r="A32" s="115">
        <f ca="1">IF(ROWS($1:19)&gt;COUNT(Dong1),"",OFFSET(TH!C$1,SMALL(Dong1,ROWS($1:19)),))</f>
        <v>41215</v>
      </c>
      <c r="B32" s="115">
        <f ca="1">IF(ROWS($1:19)&gt;COUNT(Dong1),"",OFFSET(TH!E$1,SMALL(Dong1,ROWS($1:19)),))</f>
        <v>41215</v>
      </c>
      <c r="C32" s="116" t="str">
        <f ca="1">IF(ROWS($1:19)&gt;COUNT(Dong1),"",IF(OFFSET(TH!L$1,SMALL(Dong1,ROWS($1:19)),)="1111",OFFSET(TH!D$1,SMALL(Dong1,ROWS($1:19)),),""))</f>
        <v/>
      </c>
      <c r="D32" s="117" t="str">
        <f ca="1">IF(ROWS($1:19)&gt;COUNT(Dong1),"",IF(OFFSET(TH!M$1,SMALL(Dong1,ROWS($1:19)),)="1111",OFFSET(TH!D$1,SMALL(Dong1,ROWS($1:19)),),""))</f>
        <v>C11</v>
      </c>
      <c r="E32" s="216" t="str">
        <f ca="1">IF(ROWS($1:19)&gt;COUNT(Dong1),"",OFFSET(TH!F$1,SMALL(Dong1,ROWS($1:19)),))</f>
        <v>Thanh toán tiền hàng</v>
      </c>
      <c r="F32" s="119" t="str">
        <f ca="1">IF(ROWS($1:19)&gt;COUNT(Dong1),"",IF(OFFSET(TH!M$1,SMALL(Dong1,ROWS($1:19)),)="1111",OFFSET(TH!L$1,SMALL(Dong1,ROWS($1:19)),),OFFSET(TH!M$1,SMALL(Dong1,ROWS($1:19)),)))</f>
        <v>331</v>
      </c>
      <c r="G32" s="120">
        <f ca="1">IF(ROWS($1:19)&gt;COUNT(Dong1),"",IF(OFFSET(TH!L$1,SMALL(Dong1,ROWS($1:19)),)="1111",OFFSET(TH!K$1,SMALL(Dong1,ROWS($1:19)),),0))</f>
        <v>0</v>
      </c>
      <c r="H32" s="118">
        <f ca="1">IF(ROWS($1:19)&gt;COUNT(Dong1),"",IF(OFFSET(TH!M$1,SMALL(Dong1,ROWS($1:19)),)="1111",OFFSET(TH!K$1,SMALL(Dong1,ROWS($1:19)),),0))</f>
        <v>14025000</v>
      </c>
      <c r="I32" s="116">
        <f t="shared" ca="1" si="0"/>
        <v>2452108305</v>
      </c>
      <c r="J32" s="121"/>
      <c r="N32" s="531"/>
      <c r="O32" s="531"/>
    </row>
    <row r="33" spans="1:15" ht="21.75" customHeight="1">
      <c r="A33" s="115">
        <f ca="1">IF(ROWS($1:20)&gt;COUNT(Dong1),"",OFFSET(TH!C$1,SMALL(Dong1,ROWS($1:20)),))</f>
        <v>41215</v>
      </c>
      <c r="B33" s="115">
        <f ca="1">IF(ROWS($1:20)&gt;COUNT(Dong1),"",OFFSET(TH!E$1,SMALL(Dong1,ROWS($1:20)),))</f>
        <v>41215</v>
      </c>
      <c r="C33" s="116" t="str">
        <f ca="1">IF(ROWS($1:20)&gt;COUNT(Dong1),"",IF(OFFSET(TH!L$1,SMALL(Dong1,ROWS($1:20)),)="1111",OFFSET(TH!D$1,SMALL(Dong1,ROWS($1:20)),),""))</f>
        <v/>
      </c>
      <c r="D33" s="117" t="str">
        <f ca="1">IF(ROWS($1:20)&gt;COUNT(Dong1),"",IF(OFFSET(TH!M$1,SMALL(Dong1,ROWS($1:20)),)="1111",OFFSET(TH!D$1,SMALL(Dong1,ROWS($1:20)),),""))</f>
        <v>C12</v>
      </c>
      <c r="E33" s="216" t="str">
        <f ca="1">IF(ROWS($1:20)&gt;COUNT(Dong1),"",OFFSET(TH!F$1,SMALL(Dong1,ROWS($1:20)),))</f>
        <v>Thanh toán tiền hàng</v>
      </c>
      <c r="F33" s="119" t="str">
        <f ca="1">IF(ROWS($1:20)&gt;COUNT(Dong1),"",IF(OFFSET(TH!M$1,SMALL(Dong1,ROWS($1:20)),)="1111",OFFSET(TH!L$1,SMALL(Dong1,ROWS($1:20)),),OFFSET(TH!M$1,SMALL(Dong1,ROWS($1:20)),)))</f>
        <v>331</v>
      </c>
      <c r="G33" s="120">
        <f ca="1">IF(ROWS($1:20)&gt;COUNT(Dong1),"",IF(OFFSET(TH!L$1,SMALL(Dong1,ROWS($1:20)),)="1111",OFFSET(TH!K$1,SMALL(Dong1,ROWS($1:20)),),0))</f>
        <v>0</v>
      </c>
      <c r="H33" s="118">
        <f ca="1">IF(ROWS($1:20)&gt;COUNT(Dong1),"",IF(OFFSET(TH!M$1,SMALL(Dong1,ROWS($1:20)),)="1111",OFFSET(TH!K$1,SMALL(Dong1,ROWS($1:20)),),0))</f>
        <v>5663900</v>
      </c>
      <c r="I33" s="116">
        <f t="shared" ca="1" si="0"/>
        <v>2446444405</v>
      </c>
      <c r="J33" s="121"/>
      <c r="N33" s="531"/>
      <c r="O33" s="531"/>
    </row>
    <row r="34" spans="1:15" ht="21.75" customHeight="1">
      <c r="A34" s="115">
        <f ca="1">IF(ROWS($1:21)&gt;COUNT(Dong1),"",OFFSET(TH!C$1,SMALL(Dong1,ROWS($1:21)),))</f>
        <v>41215</v>
      </c>
      <c r="B34" s="115">
        <f ca="1">IF(ROWS($1:21)&gt;COUNT(Dong1),"",OFFSET(TH!E$1,SMALL(Dong1,ROWS($1:21)),))</f>
        <v>41215</v>
      </c>
      <c r="C34" s="116" t="str">
        <f ca="1">IF(ROWS($1:21)&gt;COUNT(Dong1),"",IF(OFFSET(TH!L$1,SMALL(Dong1,ROWS($1:21)),)="1111",OFFSET(TH!D$1,SMALL(Dong1,ROWS($1:21)),),""))</f>
        <v>T07</v>
      </c>
      <c r="D34" s="117" t="str">
        <f ca="1">IF(ROWS($1:21)&gt;COUNT(Dong1),"",IF(OFFSET(TH!M$1,SMALL(Dong1,ROWS($1:21)),)="1111",OFFSET(TH!D$1,SMALL(Dong1,ROWS($1:21)),),""))</f>
        <v/>
      </c>
      <c r="E34" s="216" t="str">
        <f ca="1">IF(ROWS($1:21)&gt;COUNT(Dong1),"",OFFSET(TH!F$1,SMALL(Dong1,ROWS($1:21)),))</f>
        <v>Thu tiền hàng</v>
      </c>
      <c r="F34" s="119" t="str">
        <f ca="1">IF(ROWS($1:21)&gt;COUNT(Dong1),"",IF(OFFSET(TH!M$1,SMALL(Dong1,ROWS($1:21)),)="1111",OFFSET(TH!L$1,SMALL(Dong1,ROWS($1:21)),),OFFSET(TH!M$1,SMALL(Dong1,ROWS($1:21)),)))</f>
        <v>131</v>
      </c>
      <c r="G34" s="120">
        <f ca="1">IF(ROWS($1:21)&gt;COUNT(Dong1),"",IF(OFFSET(TH!L$1,SMALL(Dong1,ROWS($1:21)),)="1111",OFFSET(TH!K$1,SMALL(Dong1,ROWS($1:21)),),0))</f>
        <v>10939500</v>
      </c>
      <c r="H34" s="118">
        <f ca="1">IF(ROWS($1:21)&gt;COUNT(Dong1),"",IF(OFFSET(TH!M$1,SMALL(Dong1,ROWS($1:21)),)="1111",OFFSET(TH!K$1,SMALL(Dong1,ROWS($1:21)),),0))</f>
        <v>0</v>
      </c>
      <c r="I34" s="116">
        <f t="shared" ca="1" si="0"/>
        <v>2457383905</v>
      </c>
      <c r="J34" s="121"/>
      <c r="N34" s="531"/>
      <c r="O34" s="531"/>
    </row>
    <row r="35" spans="1:15" ht="21.75" customHeight="1">
      <c r="A35" s="115">
        <f ca="1">IF(ROWS($1:22)&gt;COUNT(Dong1),"",OFFSET(TH!C$1,SMALL(Dong1,ROWS($1:22)),))</f>
        <v>41219</v>
      </c>
      <c r="B35" s="115">
        <f ca="1">IF(ROWS($1:22)&gt;COUNT(Dong1),"",OFFSET(TH!E$1,SMALL(Dong1,ROWS($1:22)),))</f>
        <v>41219</v>
      </c>
      <c r="C35" s="116" t="str">
        <f ca="1">IF(ROWS($1:22)&gt;COUNT(Dong1),"",IF(OFFSET(TH!L$1,SMALL(Dong1,ROWS($1:22)),)="1111",OFFSET(TH!D$1,SMALL(Dong1,ROWS($1:22)),),""))</f>
        <v>T08</v>
      </c>
      <c r="D35" s="117" t="str">
        <f ca="1">IF(ROWS($1:22)&gt;COUNT(Dong1),"",IF(OFFSET(TH!M$1,SMALL(Dong1,ROWS($1:22)),)="1111",OFFSET(TH!D$1,SMALL(Dong1,ROWS($1:22)),),""))</f>
        <v/>
      </c>
      <c r="E35" s="216" t="str">
        <f ca="1">IF(ROWS($1:22)&gt;COUNT(Dong1),"",OFFSET(TH!F$1,SMALL(Dong1,ROWS($1:22)),))</f>
        <v>Thu tiền hàng</v>
      </c>
      <c r="F35" s="119" t="str">
        <f ca="1">IF(ROWS($1:22)&gt;COUNT(Dong1),"",IF(OFFSET(TH!M$1,SMALL(Dong1,ROWS($1:22)),)="1111",OFFSET(TH!L$1,SMALL(Dong1,ROWS($1:22)),),OFFSET(TH!M$1,SMALL(Dong1,ROWS($1:22)),)))</f>
        <v>131</v>
      </c>
      <c r="G35" s="120">
        <f ca="1">IF(ROWS($1:22)&gt;COUNT(Dong1),"",IF(OFFSET(TH!L$1,SMALL(Dong1,ROWS($1:22)),)="1111",OFFSET(TH!K$1,SMALL(Dong1,ROWS($1:22)),),0))</f>
        <v>6297500</v>
      </c>
      <c r="H35" s="118">
        <f ca="1">IF(ROWS($1:22)&gt;COUNT(Dong1),"",IF(OFFSET(TH!M$1,SMALL(Dong1,ROWS($1:22)),)="1111",OFFSET(TH!K$1,SMALL(Dong1,ROWS($1:22)),),0))</f>
        <v>0</v>
      </c>
      <c r="I35" s="116">
        <f t="shared" ca="1" si="0"/>
        <v>2463681405</v>
      </c>
      <c r="J35" s="121"/>
      <c r="N35" s="531"/>
      <c r="O35" s="531"/>
    </row>
    <row r="36" spans="1:15" ht="21.75" customHeight="1">
      <c r="A36" s="115">
        <f ca="1">IF(ROWS($1:23)&gt;COUNT(Dong1),"",OFFSET(TH!C$1,SMALL(Dong1,ROWS($1:23)),))</f>
        <v>41220</v>
      </c>
      <c r="B36" s="115">
        <f ca="1">IF(ROWS($1:23)&gt;COUNT(Dong1),"",OFFSET(TH!E$1,SMALL(Dong1,ROWS($1:23)),))</f>
        <v>41220</v>
      </c>
      <c r="C36" s="116" t="str">
        <f ca="1">IF(ROWS($1:23)&gt;COUNT(Dong1),"",IF(OFFSET(TH!L$1,SMALL(Dong1,ROWS($1:23)),)="1111",OFFSET(TH!D$1,SMALL(Dong1,ROWS($1:23)),),""))</f>
        <v/>
      </c>
      <c r="D36" s="117" t="str">
        <f ca="1">IF(ROWS($1:23)&gt;COUNT(Dong1),"",IF(OFFSET(TH!M$1,SMALL(Dong1,ROWS($1:23)),)="1111",OFFSET(TH!D$1,SMALL(Dong1,ROWS($1:23)),),""))</f>
        <v>C13</v>
      </c>
      <c r="E36" s="216" t="str">
        <f ca="1">IF(ROWS($1:23)&gt;COUNT(Dong1),"",OFFSET(TH!F$1,SMALL(Dong1,ROWS($1:23)),))</f>
        <v>Vật dụng phòng khách</v>
      </c>
      <c r="F36" s="119" t="str">
        <f ca="1">IF(ROWS($1:23)&gt;COUNT(Dong1),"",IF(OFFSET(TH!M$1,SMALL(Dong1,ROWS($1:23)),)="1111",OFFSET(TH!L$1,SMALL(Dong1,ROWS($1:23)),),OFFSET(TH!M$1,SMALL(Dong1,ROWS($1:23)),)))</f>
        <v>642</v>
      </c>
      <c r="G36" s="120">
        <f ca="1">IF(ROWS($1:23)&gt;COUNT(Dong1),"",IF(OFFSET(TH!L$1,SMALL(Dong1,ROWS($1:23)),)="1111",OFFSET(TH!K$1,SMALL(Dong1,ROWS($1:23)),),0))</f>
        <v>0</v>
      </c>
      <c r="H36" s="118">
        <f ca="1">IF(ROWS($1:23)&gt;COUNT(Dong1),"",IF(OFFSET(TH!M$1,SMALL(Dong1,ROWS($1:23)),)="1111",OFFSET(TH!K$1,SMALL(Dong1,ROWS($1:23)),),0))</f>
        <v>4845455</v>
      </c>
      <c r="I36" s="116">
        <f t="shared" ca="1" si="0"/>
        <v>2458835950</v>
      </c>
      <c r="J36" s="121"/>
      <c r="N36" s="531"/>
      <c r="O36" s="531"/>
    </row>
    <row r="37" spans="1:15" ht="21.75" customHeight="1">
      <c r="A37" s="115">
        <f ca="1">IF(ROWS($1:24)&gt;COUNT(Dong1),"",OFFSET(TH!C$1,SMALL(Dong1,ROWS($1:24)),))</f>
        <v>41220</v>
      </c>
      <c r="B37" s="115">
        <f ca="1">IF(ROWS($1:24)&gt;COUNT(Dong1),"",OFFSET(TH!E$1,SMALL(Dong1,ROWS($1:24)),))</f>
        <v>41220</v>
      </c>
      <c r="C37" s="116" t="str">
        <f ca="1">IF(ROWS($1:24)&gt;COUNT(Dong1),"",IF(OFFSET(TH!L$1,SMALL(Dong1,ROWS($1:24)),)="1111",OFFSET(TH!D$1,SMALL(Dong1,ROWS($1:24)),),""))</f>
        <v/>
      </c>
      <c r="D37" s="117" t="str">
        <f ca="1">IF(ROWS($1:24)&gt;COUNT(Dong1),"",IF(OFFSET(TH!M$1,SMALL(Dong1,ROWS($1:24)),)="1111",OFFSET(TH!D$1,SMALL(Dong1,ROWS($1:24)),),""))</f>
        <v>C13</v>
      </c>
      <c r="E37" s="216" t="str">
        <f ca="1">IF(ROWS($1:24)&gt;COUNT(Dong1),"",OFFSET(TH!F$1,SMALL(Dong1,ROWS($1:24)),))</f>
        <v>VAT Vật dụng phòng khách</v>
      </c>
      <c r="F37" s="119" t="str">
        <f ca="1">IF(ROWS($1:24)&gt;COUNT(Dong1),"",IF(OFFSET(TH!M$1,SMALL(Dong1,ROWS($1:24)),)="1111",OFFSET(TH!L$1,SMALL(Dong1,ROWS($1:24)),),OFFSET(TH!M$1,SMALL(Dong1,ROWS($1:24)),)))</f>
        <v>1331</v>
      </c>
      <c r="G37" s="120">
        <f ca="1">IF(ROWS($1:24)&gt;COUNT(Dong1),"",IF(OFFSET(TH!L$1,SMALL(Dong1,ROWS($1:24)),)="1111",OFFSET(TH!K$1,SMALL(Dong1,ROWS($1:24)),),0))</f>
        <v>0</v>
      </c>
      <c r="H37" s="118">
        <f ca="1">IF(ROWS($1:24)&gt;COUNT(Dong1),"",IF(OFFSET(TH!M$1,SMALL(Dong1,ROWS($1:24)),)="1111",OFFSET(TH!K$1,SMALL(Dong1,ROWS($1:24)),),0))</f>
        <v>484545</v>
      </c>
      <c r="I37" s="116">
        <f t="shared" ca="1" si="0"/>
        <v>2458351405</v>
      </c>
      <c r="J37" s="121"/>
      <c r="N37" s="531"/>
      <c r="O37" s="531"/>
    </row>
    <row r="38" spans="1:15" ht="21.75" customHeight="1">
      <c r="A38" s="115">
        <f ca="1">IF(ROWS($1:25)&gt;COUNT(Dong1),"",OFFSET(TH!C$1,SMALL(Dong1,ROWS($1:25)),))</f>
        <v>41221</v>
      </c>
      <c r="B38" s="115">
        <f ca="1">IF(ROWS($1:25)&gt;COUNT(Dong1),"",OFFSET(TH!E$1,SMALL(Dong1,ROWS($1:25)),))</f>
        <v>41221</v>
      </c>
      <c r="C38" s="116" t="str">
        <f ca="1">IF(ROWS($1:25)&gt;COUNT(Dong1),"",IF(OFFSET(TH!L$1,SMALL(Dong1,ROWS($1:25)),)="1111",OFFSET(TH!D$1,SMALL(Dong1,ROWS($1:25)),),""))</f>
        <v/>
      </c>
      <c r="D38" s="117" t="str">
        <f ca="1">IF(ROWS($1:25)&gt;COUNT(Dong1),"",IF(OFFSET(TH!M$1,SMALL(Dong1,ROWS($1:25)),)="1111",OFFSET(TH!D$1,SMALL(Dong1,ROWS($1:25)),),""))</f>
        <v>C14</v>
      </c>
      <c r="E38" s="216" t="str">
        <f ca="1">IF(ROWS($1:25)&gt;COUNT(Dong1),"",OFFSET(TH!F$1,SMALL(Dong1,ROWS($1:25)),))</f>
        <v>Vật liệu xây dựng</v>
      </c>
      <c r="F38" s="119" t="str">
        <f ca="1">IF(ROWS($1:25)&gt;COUNT(Dong1),"",IF(OFFSET(TH!M$1,SMALL(Dong1,ROWS($1:25)),)="1111",OFFSET(TH!L$1,SMALL(Dong1,ROWS($1:25)),),OFFSET(TH!M$1,SMALL(Dong1,ROWS($1:25)),)))</f>
        <v>642</v>
      </c>
      <c r="G38" s="120">
        <f ca="1">IF(ROWS($1:25)&gt;COUNT(Dong1),"",IF(OFFSET(TH!L$1,SMALL(Dong1,ROWS($1:25)),)="1111",OFFSET(TH!K$1,SMALL(Dong1,ROWS($1:25)),),0))</f>
        <v>0</v>
      </c>
      <c r="H38" s="118">
        <f ca="1">IF(ROWS($1:25)&gt;COUNT(Dong1),"",IF(OFFSET(TH!M$1,SMALL(Dong1,ROWS($1:25)),)="1111",OFFSET(TH!K$1,SMALL(Dong1,ROWS($1:25)),),0))</f>
        <v>4372550</v>
      </c>
      <c r="I38" s="116">
        <f t="shared" ca="1" si="0"/>
        <v>2453978855</v>
      </c>
      <c r="J38" s="121"/>
      <c r="N38" s="531"/>
      <c r="O38" s="531"/>
    </row>
    <row r="39" spans="1:15" ht="21.75" customHeight="1">
      <c r="A39" s="115">
        <f ca="1">IF(ROWS($1:26)&gt;COUNT(Dong1),"",OFFSET(TH!C$1,SMALL(Dong1,ROWS($1:26)),))</f>
        <v>41221</v>
      </c>
      <c r="B39" s="115">
        <f ca="1">IF(ROWS($1:26)&gt;COUNT(Dong1),"",OFFSET(TH!E$1,SMALL(Dong1,ROWS($1:26)),))</f>
        <v>41221</v>
      </c>
      <c r="C39" s="116" t="str">
        <f ca="1">IF(ROWS($1:26)&gt;COUNT(Dong1),"",IF(OFFSET(TH!L$1,SMALL(Dong1,ROWS($1:26)),)="1111",OFFSET(TH!D$1,SMALL(Dong1,ROWS($1:26)),),""))</f>
        <v/>
      </c>
      <c r="D39" s="117" t="str">
        <f ca="1">IF(ROWS($1:26)&gt;COUNT(Dong1),"",IF(OFFSET(TH!M$1,SMALL(Dong1,ROWS($1:26)),)="1111",OFFSET(TH!D$1,SMALL(Dong1,ROWS($1:26)),),""))</f>
        <v>C14</v>
      </c>
      <c r="E39" s="216" t="str">
        <f ca="1">IF(ROWS($1:26)&gt;COUNT(Dong1),"",OFFSET(TH!F$1,SMALL(Dong1,ROWS($1:26)),))</f>
        <v>VAT Vật liệu xây dựng</v>
      </c>
      <c r="F39" s="119" t="str">
        <f ca="1">IF(ROWS($1:26)&gt;COUNT(Dong1),"",IF(OFFSET(TH!M$1,SMALL(Dong1,ROWS($1:26)),)="1111",OFFSET(TH!L$1,SMALL(Dong1,ROWS($1:26)),),OFFSET(TH!M$1,SMALL(Dong1,ROWS($1:26)),)))</f>
        <v>1331</v>
      </c>
      <c r="G39" s="120">
        <f ca="1">IF(ROWS($1:26)&gt;COUNT(Dong1),"",IF(OFFSET(TH!L$1,SMALL(Dong1,ROWS($1:26)),)="1111",OFFSET(TH!K$1,SMALL(Dong1,ROWS($1:26)),),0))</f>
        <v>0</v>
      </c>
      <c r="H39" s="118">
        <f ca="1">IF(ROWS($1:26)&gt;COUNT(Dong1),"",IF(OFFSET(TH!M$1,SMALL(Dong1,ROWS($1:26)),)="1111",OFFSET(TH!K$1,SMALL(Dong1,ROWS($1:26)),),0))</f>
        <v>437255</v>
      </c>
      <c r="I39" s="116">
        <f t="shared" ca="1" si="0"/>
        <v>2453541600</v>
      </c>
      <c r="J39" s="121"/>
      <c r="N39" s="531"/>
      <c r="O39" s="531"/>
    </row>
    <row r="40" spans="1:15" ht="21.75" customHeight="1">
      <c r="A40" s="115">
        <f ca="1">IF(ROWS($1:27)&gt;COUNT(Dong1),"",OFFSET(TH!C$1,SMALL(Dong1,ROWS($1:27)),))</f>
        <v>41221</v>
      </c>
      <c r="B40" s="115">
        <f ca="1">IF(ROWS($1:27)&gt;COUNT(Dong1),"",OFFSET(TH!E$1,SMALL(Dong1,ROWS($1:27)),))</f>
        <v>41221</v>
      </c>
      <c r="C40" s="116" t="str">
        <f ca="1">IF(ROWS($1:27)&gt;COUNT(Dong1),"",IF(OFFSET(TH!L$1,SMALL(Dong1,ROWS($1:27)),)="1111",OFFSET(TH!D$1,SMALL(Dong1,ROWS($1:27)),),""))</f>
        <v>T09</v>
      </c>
      <c r="D40" s="117" t="str">
        <f ca="1">IF(ROWS($1:27)&gt;COUNT(Dong1),"",IF(OFFSET(TH!M$1,SMALL(Dong1,ROWS($1:27)),)="1111",OFFSET(TH!D$1,SMALL(Dong1,ROWS($1:27)),),""))</f>
        <v/>
      </c>
      <c r="E40" s="216" t="str">
        <f ca="1">IF(ROWS($1:27)&gt;COUNT(Dong1),"",OFFSET(TH!F$1,SMALL(Dong1,ROWS($1:27)),))</f>
        <v>Thu tiền hàng</v>
      </c>
      <c r="F40" s="119" t="str">
        <f ca="1">IF(ROWS($1:27)&gt;COUNT(Dong1),"",IF(OFFSET(TH!M$1,SMALL(Dong1,ROWS($1:27)),)="1111",OFFSET(TH!L$1,SMALL(Dong1,ROWS($1:27)),),OFFSET(TH!M$1,SMALL(Dong1,ROWS($1:27)),)))</f>
        <v>131</v>
      </c>
      <c r="G40" s="120">
        <f ca="1">IF(ROWS($1:27)&gt;COUNT(Dong1),"",IF(OFFSET(TH!L$1,SMALL(Dong1,ROWS($1:27)),)="1111",OFFSET(TH!K$1,SMALL(Dong1,ROWS($1:27)),),0))</f>
        <v>6976200</v>
      </c>
      <c r="H40" s="118">
        <f ca="1">IF(ROWS($1:27)&gt;COUNT(Dong1),"",IF(OFFSET(TH!M$1,SMALL(Dong1,ROWS($1:27)),)="1111",OFFSET(TH!K$1,SMALL(Dong1,ROWS($1:27)),),0))</f>
        <v>0</v>
      </c>
      <c r="I40" s="116">
        <f t="shared" ca="1" si="0"/>
        <v>2460517800</v>
      </c>
      <c r="J40" s="121"/>
      <c r="N40" s="531"/>
      <c r="O40" s="531"/>
    </row>
    <row r="41" spans="1:15" ht="21.75" customHeight="1">
      <c r="A41" s="115">
        <f ca="1">IF(ROWS($1:28)&gt;COUNT(Dong1),"",OFFSET(TH!C$1,SMALL(Dong1,ROWS($1:28)),))</f>
        <v>41222</v>
      </c>
      <c r="B41" s="115">
        <f ca="1">IF(ROWS($1:28)&gt;COUNT(Dong1),"",OFFSET(TH!E$1,SMALL(Dong1,ROWS($1:28)),))</f>
        <v>41222</v>
      </c>
      <c r="C41" s="116" t="str">
        <f ca="1">IF(ROWS($1:28)&gt;COUNT(Dong1),"",IF(OFFSET(TH!L$1,SMALL(Dong1,ROWS($1:28)),)="1111",OFFSET(TH!D$1,SMALL(Dong1,ROWS($1:28)),),""))</f>
        <v/>
      </c>
      <c r="D41" s="117" t="str">
        <f ca="1">IF(ROWS($1:28)&gt;COUNT(Dong1),"",IF(OFFSET(TH!M$1,SMALL(Dong1,ROWS($1:28)),)="1111",OFFSET(TH!D$1,SMALL(Dong1,ROWS($1:28)),),""))</f>
        <v>C15</v>
      </c>
      <c r="E41" s="216" t="str">
        <f ca="1">IF(ROWS($1:28)&gt;COUNT(Dong1),"",OFFSET(TH!F$1,SMALL(Dong1,ROWS($1:28)),))</f>
        <v>Thuế GTGT hàng sản xuất</v>
      </c>
      <c r="F41" s="119" t="str">
        <f ca="1">IF(ROWS($1:28)&gt;COUNT(Dong1),"",IF(OFFSET(TH!M$1,SMALL(Dong1,ROWS($1:28)),)="1111",OFFSET(TH!L$1,SMALL(Dong1,ROWS($1:28)),),OFFSET(TH!M$1,SMALL(Dong1,ROWS($1:28)),)))</f>
        <v>3388</v>
      </c>
      <c r="G41" s="120">
        <f ca="1">IF(ROWS($1:28)&gt;COUNT(Dong1),"",IF(OFFSET(TH!L$1,SMALL(Dong1,ROWS($1:28)),)="1111",OFFSET(TH!K$1,SMALL(Dong1,ROWS($1:28)),),0))</f>
        <v>0</v>
      </c>
      <c r="H41" s="118">
        <f ca="1">IF(ROWS($1:28)&gt;COUNT(Dong1),"",IF(OFFSET(TH!M$1,SMALL(Dong1,ROWS($1:28)),)="1111",OFFSET(TH!K$1,SMALL(Dong1,ROWS($1:28)),),0))</f>
        <v>505710</v>
      </c>
      <c r="I41" s="116">
        <f t="shared" ca="1" si="0"/>
        <v>2460012090</v>
      </c>
      <c r="J41" s="121"/>
      <c r="N41" s="531"/>
      <c r="O41" s="531"/>
    </row>
    <row r="42" spans="1:15" ht="21.75" customHeight="1">
      <c r="A42" s="115">
        <f ca="1">IF(ROWS($1:29)&gt;COUNT(Dong1),"",OFFSET(TH!C$1,SMALL(Dong1,ROWS($1:29)),))</f>
        <v>41229</v>
      </c>
      <c r="B42" s="115">
        <f ca="1">IF(ROWS($1:29)&gt;COUNT(Dong1),"",OFFSET(TH!E$1,SMALL(Dong1,ROWS($1:29)),))</f>
        <v>41229</v>
      </c>
      <c r="C42" s="116" t="str">
        <f ca="1">IF(ROWS($1:29)&gt;COUNT(Dong1),"",IF(OFFSET(TH!L$1,SMALL(Dong1,ROWS($1:29)),)="1111",OFFSET(TH!D$1,SMALL(Dong1,ROWS($1:29)),),""))</f>
        <v>T10</v>
      </c>
      <c r="D42" s="117" t="str">
        <f ca="1">IF(ROWS($1:29)&gt;COUNT(Dong1),"",IF(OFFSET(TH!M$1,SMALL(Dong1,ROWS($1:29)),)="1111",OFFSET(TH!D$1,SMALL(Dong1,ROWS($1:29)),),""))</f>
        <v/>
      </c>
      <c r="E42" s="216" t="str">
        <f ca="1">IF(ROWS($1:29)&gt;COUNT(Dong1),"",OFFSET(TH!F$1,SMALL(Dong1,ROWS($1:29)),))</f>
        <v>Thu tiền hàng</v>
      </c>
      <c r="F42" s="119" t="str">
        <f ca="1">IF(ROWS($1:29)&gt;COUNT(Dong1),"",IF(OFFSET(TH!M$1,SMALL(Dong1,ROWS($1:29)),)="1111",OFFSET(TH!L$1,SMALL(Dong1,ROWS($1:29)),),OFFSET(TH!M$1,SMALL(Dong1,ROWS($1:29)),)))</f>
        <v>131</v>
      </c>
      <c r="G42" s="120">
        <f ca="1">IF(ROWS($1:29)&gt;COUNT(Dong1),"",IF(OFFSET(TH!L$1,SMALL(Dong1,ROWS($1:29)),)="1111",OFFSET(TH!K$1,SMALL(Dong1,ROWS($1:29)),),0))</f>
        <v>6820000</v>
      </c>
      <c r="H42" s="118">
        <f ca="1">IF(ROWS($1:29)&gt;COUNT(Dong1),"",IF(OFFSET(TH!M$1,SMALL(Dong1,ROWS($1:29)),)="1111",OFFSET(TH!K$1,SMALL(Dong1,ROWS($1:29)),),0))</f>
        <v>0</v>
      </c>
      <c r="I42" s="116">
        <f t="shared" ca="1" si="0"/>
        <v>2466832090</v>
      </c>
      <c r="J42" s="121"/>
      <c r="N42" s="531"/>
      <c r="O42" s="531"/>
    </row>
    <row r="43" spans="1:15" ht="21.75" customHeight="1">
      <c r="A43" s="115">
        <f ca="1">IF(ROWS($1:30)&gt;COUNT(Dong1),"",OFFSET(TH!C$1,SMALL(Dong1,ROWS($1:30)),))</f>
        <v>41230</v>
      </c>
      <c r="B43" s="115">
        <f ca="1">IF(ROWS($1:30)&gt;COUNT(Dong1),"",OFFSET(TH!E$1,SMALL(Dong1,ROWS($1:30)),))</f>
        <v>41230</v>
      </c>
      <c r="C43" s="116" t="str">
        <f ca="1">IF(ROWS($1:30)&gt;COUNT(Dong1),"",IF(OFFSET(TH!L$1,SMALL(Dong1,ROWS($1:30)),)="1111",OFFSET(TH!D$1,SMALL(Dong1,ROWS($1:30)),),""))</f>
        <v/>
      </c>
      <c r="D43" s="117" t="str">
        <f ca="1">IF(ROWS($1:30)&gt;COUNT(Dong1),"",IF(OFFSET(TH!M$1,SMALL(Dong1,ROWS($1:30)),)="1111",OFFSET(TH!D$1,SMALL(Dong1,ROWS($1:30)),),""))</f>
        <v>C16</v>
      </c>
      <c r="E43" s="216" t="str">
        <f ca="1">IF(ROWS($1:30)&gt;COUNT(Dong1),"",OFFSET(TH!F$1,SMALL(Dong1,ROWS($1:30)),))</f>
        <v>Thanh toán tiền hàng</v>
      </c>
      <c r="F43" s="119" t="str">
        <f ca="1">IF(ROWS($1:30)&gt;COUNT(Dong1),"",IF(OFFSET(TH!M$1,SMALL(Dong1,ROWS($1:30)),)="1111",OFFSET(TH!L$1,SMALL(Dong1,ROWS($1:30)),),OFFSET(TH!M$1,SMALL(Dong1,ROWS($1:30)),)))</f>
        <v>331</v>
      </c>
      <c r="G43" s="120">
        <f ca="1">IF(ROWS($1:30)&gt;COUNT(Dong1),"",IF(OFFSET(TH!L$1,SMALL(Dong1,ROWS($1:30)),)="1111",OFFSET(TH!K$1,SMALL(Dong1,ROWS($1:30)),),0))</f>
        <v>0</v>
      </c>
      <c r="H43" s="118">
        <f ca="1">IF(ROWS($1:30)&gt;COUNT(Dong1),"",IF(OFFSET(TH!M$1,SMALL(Dong1,ROWS($1:30)),)="1111",OFFSET(TH!K$1,SMALL(Dong1,ROWS($1:30)),),0))</f>
        <v>18991665</v>
      </c>
      <c r="I43" s="116">
        <f t="shared" ca="1" si="0"/>
        <v>2447840425</v>
      </c>
      <c r="J43" s="121"/>
      <c r="N43" s="531"/>
      <c r="O43" s="531"/>
    </row>
    <row r="44" spans="1:15" ht="21.75" customHeight="1">
      <c r="A44" s="115">
        <f ca="1">IF(ROWS($1:31)&gt;COUNT(Dong1),"",OFFSET(TH!C$1,SMALL(Dong1,ROWS($1:31)),))</f>
        <v>41233</v>
      </c>
      <c r="B44" s="115">
        <f ca="1">IF(ROWS($1:31)&gt;COUNT(Dong1),"",OFFSET(TH!E$1,SMALL(Dong1,ROWS($1:31)),))</f>
        <v>41233</v>
      </c>
      <c r="C44" s="116" t="str">
        <f ca="1">IF(ROWS($1:31)&gt;COUNT(Dong1),"",IF(OFFSET(TH!L$1,SMALL(Dong1,ROWS($1:31)),)="1111",OFFSET(TH!D$1,SMALL(Dong1,ROWS($1:31)),),""))</f>
        <v/>
      </c>
      <c r="D44" s="117" t="str">
        <f ca="1">IF(ROWS($1:31)&gt;COUNT(Dong1),"",IF(OFFSET(TH!M$1,SMALL(Dong1,ROWS($1:31)),)="1111",OFFSET(TH!D$1,SMALL(Dong1,ROWS($1:31)),),""))</f>
        <v>C17</v>
      </c>
      <c r="E44" s="216" t="str">
        <f ca="1">IF(ROWS($1:31)&gt;COUNT(Dong1),"",OFFSET(TH!F$1,SMALL(Dong1,ROWS($1:31)),))</f>
        <v>Thanh toán tiền viễn thông</v>
      </c>
      <c r="F44" s="119" t="str">
        <f ca="1">IF(ROWS($1:31)&gt;COUNT(Dong1),"",IF(OFFSET(TH!M$1,SMALL(Dong1,ROWS($1:31)),)="1111",OFFSET(TH!L$1,SMALL(Dong1,ROWS($1:31)),),OFFSET(TH!M$1,SMALL(Dong1,ROWS($1:31)),)))</f>
        <v>642</v>
      </c>
      <c r="G44" s="120">
        <f ca="1">IF(ROWS($1:31)&gt;COUNT(Dong1),"",IF(OFFSET(TH!L$1,SMALL(Dong1,ROWS($1:31)),)="1111",OFFSET(TH!K$1,SMALL(Dong1,ROWS($1:31)),),0))</f>
        <v>0</v>
      </c>
      <c r="H44" s="118">
        <f ca="1">IF(ROWS($1:31)&gt;COUNT(Dong1),"",IF(OFFSET(TH!M$1,SMALL(Dong1,ROWS($1:31)),)="1111",OFFSET(TH!K$1,SMALL(Dong1,ROWS($1:31)),),0))</f>
        <v>254545</v>
      </c>
      <c r="I44" s="116">
        <f t="shared" ca="1" si="0"/>
        <v>2447585880</v>
      </c>
      <c r="J44" s="121"/>
      <c r="N44" s="531"/>
      <c r="O44" s="531"/>
    </row>
    <row r="45" spans="1:15" ht="21.75" customHeight="1">
      <c r="A45" s="115">
        <f ca="1">IF(ROWS($1:32)&gt;COUNT(Dong1),"",OFFSET(TH!C$1,SMALL(Dong1,ROWS($1:32)),))</f>
        <v>41233</v>
      </c>
      <c r="B45" s="115">
        <f ca="1">IF(ROWS($1:32)&gt;COUNT(Dong1),"",OFFSET(TH!E$1,SMALL(Dong1,ROWS($1:32)),))</f>
        <v>41233</v>
      </c>
      <c r="C45" s="116" t="str">
        <f ca="1">IF(ROWS($1:32)&gt;COUNT(Dong1),"",IF(OFFSET(TH!L$1,SMALL(Dong1,ROWS($1:32)),)="1111",OFFSET(TH!D$1,SMALL(Dong1,ROWS($1:32)),),""))</f>
        <v/>
      </c>
      <c r="D45" s="117" t="str">
        <f ca="1">IF(ROWS($1:32)&gt;COUNT(Dong1),"",IF(OFFSET(TH!M$1,SMALL(Dong1,ROWS($1:32)),)="1111",OFFSET(TH!D$1,SMALL(Dong1,ROWS($1:32)),),""))</f>
        <v>C17</v>
      </c>
      <c r="E45" s="216" t="str">
        <f ca="1">IF(ROWS($1:32)&gt;COUNT(Dong1),"",OFFSET(TH!F$1,SMALL(Dong1,ROWS($1:32)),))</f>
        <v>VAT Thanh toán tiền viễn thông</v>
      </c>
      <c r="F45" s="119" t="str">
        <f ca="1">IF(ROWS($1:32)&gt;COUNT(Dong1),"",IF(OFFSET(TH!M$1,SMALL(Dong1,ROWS($1:32)),)="1111",OFFSET(TH!L$1,SMALL(Dong1,ROWS($1:32)),),OFFSET(TH!M$1,SMALL(Dong1,ROWS($1:32)),)))</f>
        <v>1331</v>
      </c>
      <c r="G45" s="120">
        <f ca="1">IF(ROWS($1:32)&gt;COUNT(Dong1),"",IF(OFFSET(TH!L$1,SMALL(Dong1,ROWS($1:32)),)="1111",OFFSET(TH!K$1,SMALL(Dong1,ROWS($1:32)),),0))</f>
        <v>0</v>
      </c>
      <c r="H45" s="118">
        <f ca="1">IF(ROWS($1:32)&gt;COUNT(Dong1),"",IF(OFFSET(TH!M$1,SMALL(Dong1,ROWS($1:32)),)="1111",OFFSET(TH!K$1,SMALL(Dong1,ROWS($1:32)),),0))</f>
        <v>25455</v>
      </c>
      <c r="I45" s="116">
        <f t="shared" ca="1" si="0"/>
        <v>2447560425</v>
      </c>
      <c r="J45" s="121"/>
      <c r="N45" s="531"/>
      <c r="O45" s="531"/>
    </row>
    <row r="46" spans="1:15" ht="21.75" customHeight="1">
      <c r="A46" s="115">
        <f ca="1">IF(ROWS($1:33)&gt;COUNT(Dong1),"",OFFSET(TH!C$1,SMALL(Dong1,ROWS($1:33)),))</f>
        <v>41235</v>
      </c>
      <c r="B46" s="115">
        <f ca="1">IF(ROWS($1:33)&gt;COUNT(Dong1),"",OFFSET(TH!E$1,SMALL(Dong1,ROWS($1:33)),))</f>
        <v>41235</v>
      </c>
      <c r="C46" s="116" t="str">
        <f ca="1">IF(ROWS($1:33)&gt;COUNT(Dong1),"",IF(OFFSET(TH!L$1,SMALL(Dong1,ROWS($1:33)),)="1111",OFFSET(TH!D$1,SMALL(Dong1,ROWS($1:33)),),""))</f>
        <v/>
      </c>
      <c r="D46" s="117" t="str">
        <f ca="1">IF(ROWS($1:33)&gt;COUNT(Dong1),"",IF(OFFSET(TH!M$1,SMALL(Dong1,ROWS($1:33)),)="1111",OFFSET(TH!D$1,SMALL(Dong1,ROWS($1:33)),),""))</f>
        <v>C18</v>
      </c>
      <c r="E46" s="216" t="str">
        <f ca="1">IF(ROWS($1:33)&gt;COUNT(Dong1),"",OFFSET(TH!F$1,SMALL(Dong1,ROWS($1:33)),))</f>
        <v>Thanh toán tiền hàng</v>
      </c>
      <c r="F46" s="119" t="str">
        <f ca="1">IF(ROWS($1:33)&gt;COUNT(Dong1),"",IF(OFFSET(TH!M$1,SMALL(Dong1,ROWS($1:33)),)="1111",OFFSET(TH!L$1,SMALL(Dong1,ROWS($1:33)),),OFFSET(TH!M$1,SMALL(Dong1,ROWS($1:33)),)))</f>
        <v>331</v>
      </c>
      <c r="G46" s="120">
        <f ca="1">IF(ROWS($1:33)&gt;COUNT(Dong1),"",IF(OFFSET(TH!L$1,SMALL(Dong1,ROWS($1:33)),)="1111",OFFSET(TH!K$1,SMALL(Dong1,ROWS($1:33)),),0))</f>
        <v>0</v>
      </c>
      <c r="H46" s="118">
        <f ca="1">IF(ROWS($1:33)&gt;COUNT(Dong1),"",IF(OFFSET(TH!M$1,SMALL(Dong1,ROWS($1:33)),)="1111",OFFSET(TH!K$1,SMALL(Dong1,ROWS($1:33)),),0))</f>
        <v>17016560</v>
      </c>
      <c r="I46" s="116">
        <f t="shared" ca="1" si="0"/>
        <v>2430543865</v>
      </c>
      <c r="J46" s="121"/>
      <c r="N46" s="531"/>
      <c r="O46" s="531"/>
    </row>
    <row r="47" spans="1:15" ht="21.75" customHeight="1">
      <c r="A47" s="115">
        <f ca="1">IF(ROWS($1:34)&gt;COUNT(Dong1),"",OFFSET(TH!C$1,SMALL(Dong1,ROWS($1:34)),))</f>
        <v>41236</v>
      </c>
      <c r="B47" s="115">
        <f ca="1">IF(ROWS($1:34)&gt;COUNT(Dong1),"",OFFSET(TH!E$1,SMALL(Dong1,ROWS($1:34)),))</f>
        <v>41236</v>
      </c>
      <c r="C47" s="116" t="str">
        <f ca="1">IF(ROWS($1:34)&gt;COUNT(Dong1),"",IF(OFFSET(TH!L$1,SMALL(Dong1,ROWS($1:34)),)="1111",OFFSET(TH!D$1,SMALL(Dong1,ROWS($1:34)),),""))</f>
        <v>T11</v>
      </c>
      <c r="D47" s="117" t="str">
        <f ca="1">IF(ROWS($1:34)&gt;COUNT(Dong1),"",IF(OFFSET(TH!M$1,SMALL(Dong1,ROWS($1:34)),)="1111",OFFSET(TH!D$1,SMALL(Dong1,ROWS($1:34)),),""))</f>
        <v/>
      </c>
      <c r="E47" s="216" t="str">
        <f ca="1">IF(ROWS($1:34)&gt;COUNT(Dong1),"",OFFSET(TH!F$1,SMALL(Dong1,ROWS($1:34)),))</f>
        <v>Rút sec nhập quỹ tiền mặt</v>
      </c>
      <c r="F47" s="119" t="str">
        <f ca="1">IF(ROWS($1:34)&gt;COUNT(Dong1),"",IF(OFFSET(TH!M$1,SMALL(Dong1,ROWS($1:34)),)="1111",OFFSET(TH!L$1,SMALL(Dong1,ROWS($1:34)),),OFFSET(TH!M$1,SMALL(Dong1,ROWS($1:34)),)))</f>
        <v>1121</v>
      </c>
      <c r="G47" s="120">
        <f ca="1">IF(ROWS($1:34)&gt;COUNT(Dong1),"",IF(OFFSET(TH!L$1,SMALL(Dong1,ROWS($1:34)),)="1111",OFFSET(TH!K$1,SMALL(Dong1,ROWS($1:34)),),0))</f>
        <v>7500000</v>
      </c>
      <c r="H47" s="118">
        <f ca="1">IF(ROWS($1:34)&gt;COUNT(Dong1),"",IF(OFFSET(TH!M$1,SMALL(Dong1,ROWS($1:34)),)="1111",OFFSET(TH!K$1,SMALL(Dong1,ROWS($1:34)),),0))</f>
        <v>0</v>
      </c>
      <c r="I47" s="116">
        <f t="shared" ca="1" si="0"/>
        <v>2438043865</v>
      </c>
      <c r="J47" s="121"/>
      <c r="N47" s="531"/>
      <c r="O47" s="531"/>
    </row>
    <row r="48" spans="1:15" ht="21.75" customHeight="1">
      <c r="A48" s="115">
        <f ca="1">IF(ROWS($1:35)&gt;COUNT(Dong1),"",OFFSET(TH!C$1,SMALL(Dong1,ROWS($1:35)),))</f>
        <v>41236</v>
      </c>
      <c r="B48" s="115">
        <f ca="1">IF(ROWS($1:35)&gt;COUNT(Dong1),"",OFFSET(TH!E$1,SMALL(Dong1,ROWS($1:35)),))</f>
        <v>41236</v>
      </c>
      <c r="C48" s="116" t="str">
        <f ca="1">IF(ROWS($1:35)&gt;COUNT(Dong1),"",IF(OFFSET(TH!L$1,SMALL(Dong1,ROWS($1:35)),)="1111",OFFSET(TH!D$1,SMALL(Dong1,ROWS($1:35)),),""))</f>
        <v>T12</v>
      </c>
      <c r="D48" s="117" t="str">
        <f ca="1">IF(ROWS($1:35)&gt;COUNT(Dong1),"",IF(OFFSET(TH!M$1,SMALL(Dong1,ROWS($1:35)),)="1111",OFFSET(TH!D$1,SMALL(Dong1,ROWS($1:35)),),""))</f>
        <v/>
      </c>
      <c r="E48" s="216" t="str">
        <f ca="1">IF(ROWS($1:35)&gt;COUNT(Dong1),"",OFFSET(TH!F$1,SMALL(Dong1,ROWS($1:35)),))</f>
        <v>Thu tiền hàng</v>
      </c>
      <c r="F48" s="119" t="str">
        <f ca="1">IF(ROWS($1:35)&gt;COUNT(Dong1),"",IF(OFFSET(TH!M$1,SMALL(Dong1,ROWS($1:35)),)="1111",OFFSET(TH!L$1,SMALL(Dong1,ROWS($1:35)),),OFFSET(TH!M$1,SMALL(Dong1,ROWS($1:35)),)))</f>
        <v>131</v>
      </c>
      <c r="G48" s="120">
        <f ca="1">IF(ROWS($1:35)&gt;COUNT(Dong1),"",IF(OFFSET(TH!L$1,SMALL(Dong1,ROWS($1:35)),)="1111",OFFSET(TH!K$1,SMALL(Dong1,ROWS($1:35)),),0))</f>
        <v>14969460</v>
      </c>
      <c r="H48" s="118">
        <f ca="1">IF(ROWS($1:35)&gt;COUNT(Dong1),"",IF(OFFSET(TH!M$1,SMALL(Dong1,ROWS($1:35)),)="1111",OFFSET(TH!K$1,SMALL(Dong1,ROWS($1:35)),),0))</f>
        <v>0</v>
      </c>
      <c r="I48" s="116">
        <f t="shared" ca="1" si="0"/>
        <v>2453013325</v>
      </c>
      <c r="J48" s="121"/>
      <c r="N48" s="531"/>
      <c r="O48" s="531"/>
    </row>
    <row r="49" spans="1:15" ht="21.75" customHeight="1">
      <c r="A49" s="115">
        <f ca="1">IF(ROWS($1:36)&gt;COUNT(Dong1),"",OFFSET(TH!C$1,SMALL(Dong1,ROWS($1:36)),))</f>
        <v>41237</v>
      </c>
      <c r="B49" s="115">
        <f ca="1">IF(ROWS($1:36)&gt;COUNT(Dong1),"",OFFSET(TH!E$1,SMALL(Dong1,ROWS($1:36)),))</f>
        <v>41237</v>
      </c>
      <c r="C49" s="116" t="str">
        <f ca="1">IF(ROWS($1:36)&gt;COUNT(Dong1),"",IF(OFFSET(TH!L$1,SMALL(Dong1,ROWS($1:36)),)="1111",OFFSET(TH!D$1,SMALL(Dong1,ROWS($1:36)),),""))</f>
        <v/>
      </c>
      <c r="D49" s="117" t="str">
        <f ca="1">IF(ROWS($1:36)&gt;COUNT(Dong1),"",IF(OFFSET(TH!M$1,SMALL(Dong1,ROWS($1:36)),)="1111",OFFSET(TH!D$1,SMALL(Dong1,ROWS($1:36)),),""))</f>
        <v>C19</v>
      </c>
      <c r="E49" s="216" t="str">
        <f ca="1">IF(ROWS($1:36)&gt;COUNT(Dong1),"",OFFSET(TH!F$1,SMALL(Dong1,ROWS($1:36)),))</f>
        <v>Thanh toán tiền hàng</v>
      </c>
      <c r="F49" s="119" t="str">
        <f ca="1">IF(ROWS($1:36)&gt;COUNT(Dong1),"",IF(OFFSET(TH!M$1,SMALL(Dong1,ROWS($1:36)),)="1111",OFFSET(TH!L$1,SMALL(Dong1,ROWS($1:36)),),OFFSET(TH!M$1,SMALL(Dong1,ROWS($1:36)),)))</f>
        <v>331</v>
      </c>
      <c r="G49" s="120">
        <f ca="1">IF(ROWS($1:36)&gt;COUNT(Dong1),"",IF(OFFSET(TH!L$1,SMALL(Dong1,ROWS($1:36)),)="1111",OFFSET(TH!K$1,SMALL(Dong1,ROWS($1:36)),),0))</f>
        <v>0</v>
      </c>
      <c r="H49" s="118">
        <f ca="1">IF(ROWS($1:36)&gt;COUNT(Dong1),"",IF(OFFSET(TH!M$1,SMALL(Dong1,ROWS($1:36)),)="1111",OFFSET(TH!K$1,SMALL(Dong1,ROWS($1:36)),),0))</f>
        <v>7864859</v>
      </c>
      <c r="I49" s="116">
        <f t="shared" ca="1" si="0"/>
        <v>2445148466</v>
      </c>
      <c r="J49" s="121"/>
      <c r="N49" s="531"/>
      <c r="O49" s="531"/>
    </row>
    <row r="50" spans="1:15" ht="21.75" customHeight="1">
      <c r="A50" s="115">
        <f ca="1">IF(ROWS($1:37)&gt;COUNT(Dong1),"",OFFSET(TH!C$1,SMALL(Dong1,ROWS($1:37)),))</f>
        <v>41237</v>
      </c>
      <c r="B50" s="115">
        <f ca="1">IF(ROWS($1:37)&gt;COUNT(Dong1),"",OFFSET(TH!E$1,SMALL(Dong1,ROWS($1:37)),))</f>
        <v>41237</v>
      </c>
      <c r="C50" s="116" t="str">
        <f ca="1">IF(ROWS($1:37)&gt;COUNT(Dong1),"",IF(OFFSET(TH!L$1,SMALL(Dong1,ROWS($1:37)),)="1111",OFFSET(TH!D$1,SMALL(Dong1,ROWS($1:37)),),""))</f>
        <v/>
      </c>
      <c r="D50" s="117" t="str">
        <f ca="1">IF(ROWS($1:37)&gt;COUNT(Dong1),"",IF(OFFSET(TH!M$1,SMALL(Dong1,ROWS($1:37)),)="1111",OFFSET(TH!D$1,SMALL(Dong1,ROWS($1:37)),),""))</f>
        <v>C20</v>
      </c>
      <c r="E50" s="216" t="str">
        <f ca="1">IF(ROWS($1:37)&gt;COUNT(Dong1),"",OFFSET(TH!F$1,SMALL(Dong1,ROWS($1:37)),))</f>
        <v>Dây mạ kẽm</v>
      </c>
      <c r="F50" s="119" t="str">
        <f ca="1">IF(ROWS($1:37)&gt;COUNT(Dong1),"",IF(OFFSET(TH!M$1,SMALL(Dong1,ROWS($1:37)),)="1111",OFFSET(TH!L$1,SMALL(Dong1,ROWS($1:37)),),OFFSET(TH!M$1,SMALL(Dong1,ROWS($1:37)),)))</f>
        <v>154</v>
      </c>
      <c r="G50" s="120">
        <f ca="1">IF(ROWS($1:37)&gt;COUNT(Dong1),"",IF(OFFSET(TH!L$1,SMALL(Dong1,ROWS($1:37)),)="1111",OFFSET(TH!K$1,SMALL(Dong1,ROWS($1:37)),),0))</f>
        <v>0</v>
      </c>
      <c r="H50" s="118">
        <f ca="1">IF(ROWS($1:37)&gt;COUNT(Dong1),"",IF(OFFSET(TH!M$1,SMALL(Dong1,ROWS($1:37)),)="1111",OFFSET(TH!K$1,SMALL(Dong1,ROWS($1:37)),),0))</f>
        <v>2520000</v>
      </c>
      <c r="I50" s="116">
        <f t="shared" ref="I50:I65" ca="1" si="1">IF(E50&lt;&gt;"",I49+G50-H50,0)</f>
        <v>2442628466</v>
      </c>
      <c r="J50" s="121"/>
      <c r="N50" s="531"/>
      <c r="O50" s="531"/>
    </row>
    <row r="51" spans="1:15" ht="21.75" customHeight="1">
      <c r="A51" s="115">
        <f ca="1">IF(ROWS($1:38)&gt;COUNT(Dong1),"",OFFSET(TH!C$1,SMALL(Dong1,ROWS($1:38)),))</f>
        <v>41237</v>
      </c>
      <c r="B51" s="115">
        <f ca="1">IF(ROWS($1:38)&gt;COUNT(Dong1),"",OFFSET(TH!E$1,SMALL(Dong1,ROWS($1:38)),))</f>
        <v>41237</v>
      </c>
      <c r="C51" s="116" t="str">
        <f ca="1">IF(ROWS($1:38)&gt;COUNT(Dong1),"",IF(OFFSET(TH!L$1,SMALL(Dong1,ROWS($1:38)),)="1111",OFFSET(TH!D$1,SMALL(Dong1,ROWS($1:38)),),""))</f>
        <v/>
      </c>
      <c r="D51" s="117" t="str">
        <f ca="1">IF(ROWS($1:38)&gt;COUNT(Dong1),"",IF(OFFSET(TH!M$1,SMALL(Dong1,ROWS($1:38)),)="1111",OFFSET(TH!D$1,SMALL(Dong1,ROWS($1:38)),),""))</f>
        <v>C20</v>
      </c>
      <c r="E51" s="216" t="str">
        <f ca="1">IF(ROWS($1:38)&gt;COUNT(Dong1),"",OFFSET(TH!F$1,SMALL(Dong1,ROWS($1:38)),))</f>
        <v>VAT Dây mạ kẽm</v>
      </c>
      <c r="F51" s="119" t="str">
        <f ca="1">IF(ROWS($1:38)&gt;COUNT(Dong1),"",IF(OFFSET(TH!M$1,SMALL(Dong1,ROWS($1:38)),)="1111",OFFSET(TH!L$1,SMALL(Dong1,ROWS($1:38)),),OFFSET(TH!M$1,SMALL(Dong1,ROWS($1:38)),)))</f>
        <v>1331</v>
      </c>
      <c r="G51" s="120">
        <f ca="1">IF(ROWS($1:38)&gt;COUNT(Dong1),"",IF(OFFSET(TH!L$1,SMALL(Dong1,ROWS($1:38)),)="1111",OFFSET(TH!K$1,SMALL(Dong1,ROWS($1:38)),),0))</f>
        <v>0</v>
      </c>
      <c r="H51" s="118">
        <f ca="1">IF(ROWS($1:38)&gt;COUNT(Dong1),"",IF(OFFSET(TH!M$1,SMALL(Dong1,ROWS($1:38)),)="1111",OFFSET(TH!K$1,SMALL(Dong1,ROWS($1:38)),),0))</f>
        <v>252000</v>
      </c>
      <c r="I51" s="116">
        <f t="shared" ca="1" si="1"/>
        <v>2442376466</v>
      </c>
      <c r="J51" s="121"/>
      <c r="N51" s="531"/>
      <c r="O51" s="531"/>
    </row>
    <row r="52" spans="1:15" ht="21.75" customHeight="1">
      <c r="A52" s="115">
        <f ca="1">IF(ROWS($1:39)&gt;COUNT(Dong1),"",OFFSET(TH!C$1,SMALL(Dong1,ROWS($1:39)),))</f>
        <v>41240</v>
      </c>
      <c r="B52" s="115">
        <f ca="1">IF(ROWS($1:39)&gt;COUNT(Dong1),"",OFFSET(TH!E$1,SMALL(Dong1,ROWS($1:39)),))</f>
        <v>41240</v>
      </c>
      <c r="C52" s="116" t="str">
        <f ca="1">IF(ROWS($1:39)&gt;COUNT(Dong1),"",IF(OFFSET(TH!L$1,SMALL(Dong1,ROWS($1:39)),)="1111",OFFSET(TH!D$1,SMALL(Dong1,ROWS($1:39)),),""))</f>
        <v>T13</v>
      </c>
      <c r="D52" s="117" t="str">
        <f ca="1">IF(ROWS($1:39)&gt;COUNT(Dong1),"",IF(OFFSET(TH!M$1,SMALL(Dong1,ROWS($1:39)),)="1111",OFFSET(TH!D$1,SMALL(Dong1,ROWS($1:39)),),""))</f>
        <v/>
      </c>
      <c r="E52" s="216" t="str">
        <f ca="1">IF(ROWS($1:39)&gt;COUNT(Dong1),"",OFFSET(TH!F$1,SMALL(Dong1,ROWS($1:39)),))</f>
        <v>Thu tiền hàng</v>
      </c>
      <c r="F52" s="119" t="str">
        <f ca="1">IF(ROWS($1:39)&gt;COUNT(Dong1),"",IF(OFFSET(TH!M$1,SMALL(Dong1,ROWS($1:39)),)="1111",OFFSET(TH!L$1,SMALL(Dong1,ROWS($1:39)),),OFFSET(TH!M$1,SMALL(Dong1,ROWS($1:39)),)))</f>
        <v>131</v>
      </c>
      <c r="G52" s="120">
        <f ca="1">IF(ROWS($1:39)&gt;COUNT(Dong1),"",IF(OFFSET(TH!L$1,SMALL(Dong1,ROWS($1:39)),)="1111",OFFSET(TH!K$1,SMALL(Dong1,ROWS($1:39)),),0))</f>
        <v>13395800</v>
      </c>
      <c r="H52" s="118">
        <f ca="1">IF(ROWS($1:39)&gt;COUNT(Dong1),"",IF(OFFSET(TH!M$1,SMALL(Dong1,ROWS($1:39)),)="1111",OFFSET(TH!K$1,SMALL(Dong1,ROWS($1:39)),),0))</f>
        <v>0</v>
      </c>
      <c r="I52" s="116">
        <f t="shared" ca="1" si="1"/>
        <v>2455772266</v>
      </c>
      <c r="J52" s="121"/>
      <c r="N52" s="531"/>
      <c r="O52" s="531"/>
    </row>
    <row r="53" spans="1:15" ht="21.75" customHeight="1">
      <c r="A53" s="115">
        <f ca="1">IF(ROWS($1:40)&gt;COUNT(Dong1),"",OFFSET(TH!C$1,SMALL(Dong1,ROWS($1:40)),))</f>
        <v>41242</v>
      </c>
      <c r="B53" s="115">
        <f ca="1">IF(ROWS($1:40)&gt;COUNT(Dong1),"",OFFSET(TH!E$1,SMALL(Dong1,ROWS($1:40)),))</f>
        <v>41242</v>
      </c>
      <c r="C53" s="116" t="str">
        <f ca="1">IF(ROWS($1:40)&gt;COUNT(Dong1),"",IF(OFFSET(TH!L$1,SMALL(Dong1,ROWS($1:40)),)="1111",OFFSET(TH!D$1,SMALL(Dong1,ROWS($1:40)),),""))</f>
        <v/>
      </c>
      <c r="D53" s="117" t="str">
        <f ca="1">IF(ROWS($1:40)&gt;COUNT(Dong1),"",IF(OFFSET(TH!M$1,SMALL(Dong1,ROWS($1:40)),)="1111",OFFSET(TH!D$1,SMALL(Dong1,ROWS($1:40)),),""))</f>
        <v>C21</v>
      </c>
      <c r="E53" s="216" t="str">
        <f ca="1">IF(ROWS($1:40)&gt;COUNT(Dong1),"",OFFSET(TH!F$1,SMALL(Dong1,ROWS($1:40)),))</f>
        <v>Cước vận chuyển</v>
      </c>
      <c r="F53" s="119" t="str">
        <f ca="1">IF(ROWS($1:40)&gt;COUNT(Dong1),"",IF(OFFSET(TH!M$1,SMALL(Dong1,ROWS($1:40)),)="1111",OFFSET(TH!L$1,SMALL(Dong1,ROWS($1:40)),),OFFSET(TH!M$1,SMALL(Dong1,ROWS($1:40)),)))</f>
        <v>642</v>
      </c>
      <c r="G53" s="120">
        <f ca="1">IF(ROWS($1:40)&gt;COUNT(Dong1),"",IF(OFFSET(TH!L$1,SMALL(Dong1,ROWS($1:40)),)="1111",OFFSET(TH!K$1,SMALL(Dong1,ROWS($1:40)),),0))</f>
        <v>0</v>
      </c>
      <c r="H53" s="118">
        <f ca="1">IF(ROWS($1:40)&gt;COUNT(Dong1),"",IF(OFFSET(TH!M$1,SMALL(Dong1,ROWS($1:40)),)="1111",OFFSET(TH!K$1,SMALL(Dong1,ROWS($1:40)),),0))</f>
        <v>3000000</v>
      </c>
      <c r="I53" s="116">
        <f t="shared" ca="1" si="1"/>
        <v>2452772266</v>
      </c>
      <c r="J53" s="121"/>
      <c r="N53" s="531"/>
      <c r="O53" s="531"/>
    </row>
    <row r="54" spans="1:15" ht="21.75" customHeight="1">
      <c r="A54" s="115">
        <f ca="1">IF(ROWS($1:41)&gt;COUNT(Dong1),"",OFFSET(TH!C$1,SMALL(Dong1,ROWS($1:41)),))</f>
        <v>41242</v>
      </c>
      <c r="B54" s="115">
        <f ca="1">IF(ROWS($1:41)&gt;COUNT(Dong1),"",OFFSET(TH!E$1,SMALL(Dong1,ROWS($1:41)),))</f>
        <v>41242</v>
      </c>
      <c r="C54" s="116" t="str">
        <f ca="1">IF(ROWS($1:41)&gt;COUNT(Dong1),"",IF(OFFSET(TH!L$1,SMALL(Dong1,ROWS($1:41)),)="1111",OFFSET(TH!D$1,SMALL(Dong1,ROWS($1:41)),),""))</f>
        <v/>
      </c>
      <c r="D54" s="117" t="str">
        <f ca="1">IF(ROWS($1:41)&gt;COUNT(Dong1),"",IF(OFFSET(TH!M$1,SMALL(Dong1,ROWS($1:41)),)="1111",OFFSET(TH!D$1,SMALL(Dong1,ROWS($1:41)),),""))</f>
        <v>C21</v>
      </c>
      <c r="E54" s="216" t="str">
        <f ca="1">IF(ROWS($1:41)&gt;COUNT(Dong1),"",OFFSET(TH!F$1,SMALL(Dong1,ROWS($1:41)),))</f>
        <v>VAT Cước vận chuyển</v>
      </c>
      <c r="F54" s="119" t="str">
        <f ca="1">IF(ROWS($1:41)&gt;COUNT(Dong1),"",IF(OFFSET(TH!M$1,SMALL(Dong1,ROWS($1:41)),)="1111",OFFSET(TH!L$1,SMALL(Dong1,ROWS($1:41)),),OFFSET(TH!M$1,SMALL(Dong1,ROWS($1:41)),)))</f>
        <v>1331</v>
      </c>
      <c r="G54" s="120">
        <f ca="1">IF(ROWS($1:41)&gt;COUNT(Dong1),"",IF(OFFSET(TH!L$1,SMALL(Dong1,ROWS($1:41)),)="1111",OFFSET(TH!K$1,SMALL(Dong1,ROWS($1:41)),),0))</f>
        <v>0</v>
      </c>
      <c r="H54" s="118">
        <f ca="1">IF(ROWS($1:41)&gt;COUNT(Dong1),"",IF(OFFSET(TH!M$1,SMALL(Dong1,ROWS($1:41)),)="1111",OFFSET(TH!K$1,SMALL(Dong1,ROWS($1:41)),),0))</f>
        <v>300000</v>
      </c>
      <c r="I54" s="116">
        <f t="shared" ca="1" si="1"/>
        <v>2452472266</v>
      </c>
      <c r="J54" s="121"/>
      <c r="N54" s="531"/>
      <c r="O54" s="531"/>
    </row>
    <row r="55" spans="1:15" ht="21.75" customHeight="1">
      <c r="A55" s="115">
        <f ca="1">IF(ROWS($1:42)&gt;COUNT(Dong1),"",OFFSET(TH!C$1,SMALL(Dong1,ROWS($1:42)),))</f>
        <v>41243</v>
      </c>
      <c r="B55" s="115">
        <f ca="1">IF(ROWS($1:42)&gt;COUNT(Dong1),"",OFFSET(TH!E$1,SMALL(Dong1,ROWS($1:42)),))</f>
        <v>41243</v>
      </c>
      <c r="C55" s="116" t="str">
        <f ca="1">IF(ROWS($1:42)&gt;COUNT(Dong1),"",IF(OFFSET(TH!L$1,SMALL(Dong1,ROWS($1:42)),)="1111",OFFSET(TH!D$1,SMALL(Dong1,ROWS($1:42)),),""))</f>
        <v/>
      </c>
      <c r="D55" s="117" t="str">
        <f ca="1">IF(ROWS($1:42)&gt;COUNT(Dong1),"",IF(OFFSET(TH!M$1,SMALL(Dong1,ROWS($1:42)),)="1111",OFFSET(TH!D$1,SMALL(Dong1,ROWS($1:42)),),""))</f>
        <v>C22</v>
      </c>
      <c r="E55" s="216" t="str">
        <f ca="1">IF(ROWS($1:42)&gt;COUNT(Dong1),"",OFFSET(TH!F$1,SMALL(Dong1,ROWS($1:42)),))</f>
        <v>Thanh toán lương T11/2012</v>
      </c>
      <c r="F55" s="119" t="str">
        <f ca="1">IF(ROWS($1:42)&gt;COUNT(Dong1),"",IF(OFFSET(TH!M$1,SMALL(Dong1,ROWS($1:42)),)="1111",OFFSET(TH!L$1,SMALL(Dong1,ROWS($1:42)),),OFFSET(TH!M$1,SMALL(Dong1,ROWS($1:42)),)))</f>
        <v>3341</v>
      </c>
      <c r="G55" s="120">
        <f ca="1">IF(ROWS($1:42)&gt;COUNT(Dong1),"",IF(OFFSET(TH!L$1,SMALL(Dong1,ROWS($1:42)),)="1111",OFFSET(TH!K$1,SMALL(Dong1,ROWS($1:42)),),0))</f>
        <v>0</v>
      </c>
      <c r="H55" s="118">
        <f ca="1">IF(ROWS($1:42)&gt;COUNT(Dong1),"",IF(OFFSET(TH!M$1,SMALL(Dong1,ROWS($1:42)),)="1111",OFFSET(TH!K$1,SMALL(Dong1,ROWS($1:42)),),0))</f>
        <v>15285000</v>
      </c>
      <c r="I55" s="116">
        <f t="shared" ca="1" si="1"/>
        <v>2437187266</v>
      </c>
      <c r="J55" s="121"/>
      <c r="N55" s="531"/>
      <c r="O55" s="531"/>
    </row>
    <row r="56" spans="1:15" ht="21.75" customHeight="1">
      <c r="A56" s="115">
        <f ca="1">IF(ROWS($1:43)&gt;COUNT(Dong1),"",OFFSET(TH!C$1,SMALL(Dong1,ROWS($1:43)),))</f>
        <v>41244</v>
      </c>
      <c r="B56" s="115">
        <f ca="1">IF(ROWS($1:43)&gt;COUNT(Dong1),"",OFFSET(TH!E$1,SMALL(Dong1,ROWS($1:43)),))</f>
        <v>41244</v>
      </c>
      <c r="C56" s="116" t="str">
        <f ca="1">IF(ROWS($1:43)&gt;COUNT(Dong1),"",IF(OFFSET(TH!L$1,SMALL(Dong1,ROWS($1:43)),)="1111",OFFSET(TH!D$1,SMALL(Dong1,ROWS($1:43)),),""))</f>
        <v/>
      </c>
      <c r="D56" s="117" t="str">
        <f ca="1">IF(ROWS($1:43)&gt;COUNT(Dong1),"",IF(OFFSET(TH!M$1,SMALL(Dong1,ROWS($1:43)),)="1111",OFFSET(TH!D$1,SMALL(Dong1,ROWS($1:43)),),""))</f>
        <v>C23</v>
      </c>
      <c r="E56" s="216" t="str">
        <f ca="1">IF(ROWS($1:43)&gt;COUNT(Dong1),"",OFFSET(TH!F$1,SMALL(Dong1,ROWS($1:43)),))</f>
        <v>Khung gỗ, mực in</v>
      </c>
      <c r="F56" s="119" t="str">
        <f ca="1">IF(ROWS($1:43)&gt;COUNT(Dong1),"",IF(OFFSET(TH!M$1,SMALL(Dong1,ROWS($1:43)),)="1111",OFFSET(TH!L$1,SMALL(Dong1,ROWS($1:43)),),OFFSET(TH!M$1,SMALL(Dong1,ROWS($1:43)),)))</f>
        <v>154</v>
      </c>
      <c r="G56" s="120">
        <f ca="1">IF(ROWS($1:43)&gt;COUNT(Dong1),"",IF(OFFSET(TH!L$1,SMALL(Dong1,ROWS($1:43)),)="1111",OFFSET(TH!K$1,SMALL(Dong1,ROWS($1:43)),),0))</f>
        <v>0</v>
      </c>
      <c r="H56" s="118">
        <f ca="1">IF(ROWS($1:43)&gt;COUNT(Dong1),"",IF(OFFSET(TH!M$1,SMALL(Dong1,ROWS($1:43)),)="1111",OFFSET(TH!K$1,SMALL(Dong1,ROWS($1:43)),),0))</f>
        <v>1713000</v>
      </c>
      <c r="I56" s="116">
        <f t="shared" ca="1" si="1"/>
        <v>2435474266</v>
      </c>
      <c r="J56" s="121"/>
      <c r="N56" s="531"/>
      <c r="O56" s="531"/>
    </row>
    <row r="57" spans="1:15" ht="21.75" customHeight="1">
      <c r="A57" s="115">
        <f ca="1">IF(ROWS($1:44)&gt;COUNT(Dong1),"",OFFSET(TH!C$1,SMALL(Dong1,ROWS($1:44)),))</f>
        <v>41246</v>
      </c>
      <c r="B57" s="115">
        <f ca="1">IF(ROWS($1:44)&gt;COUNT(Dong1),"",OFFSET(TH!E$1,SMALL(Dong1,ROWS($1:44)),))</f>
        <v>41246</v>
      </c>
      <c r="C57" s="116" t="str">
        <f ca="1">IF(ROWS($1:44)&gt;COUNT(Dong1),"",IF(OFFSET(TH!L$1,SMALL(Dong1,ROWS($1:44)),)="1111",OFFSET(TH!D$1,SMALL(Dong1,ROWS($1:44)),),""))</f>
        <v/>
      </c>
      <c r="D57" s="117" t="str">
        <f ca="1">IF(ROWS($1:44)&gt;COUNT(Dong1),"",IF(OFFSET(TH!M$1,SMALL(Dong1,ROWS($1:44)),)="1111",OFFSET(TH!D$1,SMALL(Dong1,ROWS($1:44)),),""))</f>
        <v>C24</v>
      </c>
      <c r="E57" s="216" t="str">
        <f ca="1">IF(ROWS($1:44)&gt;COUNT(Dong1),"",OFFSET(TH!F$1,SMALL(Dong1,ROWS($1:44)),))</f>
        <v>Thanh toán tiền hàng</v>
      </c>
      <c r="F57" s="119" t="str">
        <f ca="1">IF(ROWS($1:44)&gt;COUNT(Dong1),"",IF(OFFSET(TH!M$1,SMALL(Dong1,ROWS($1:44)),)="1111",OFFSET(TH!L$1,SMALL(Dong1,ROWS($1:44)),),OFFSET(TH!M$1,SMALL(Dong1,ROWS($1:44)),)))</f>
        <v>331</v>
      </c>
      <c r="G57" s="120">
        <f ca="1">IF(ROWS($1:44)&gt;COUNT(Dong1),"",IF(OFFSET(TH!L$1,SMALL(Dong1,ROWS($1:44)),)="1111",OFFSET(TH!K$1,SMALL(Dong1,ROWS($1:44)),),0))</f>
        <v>0</v>
      </c>
      <c r="H57" s="118">
        <f ca="1">IF(ROWS($1:44)&gt;COUNT(Dong1),"",IF(OFFSET(TH!M$1,SMALL(Dong1,ROWS($1:44)),)="1111",OFFSET(TH!K$1,SMALL(Dong1,ROWS($1:44)),),0))</f>
        <v>14686100</v>
      </c>
      <c r="I57" s="116">
        <f t="shared" ca="1" si="1"/>
        <v>2420788166</v>
      </c>
      <c r="J57" s="121"/>
      <c r="N57" s="531"/>
      <c r="O57" s="531"/>
    </row>
    <row r="58" spans="1:15" ht="21.75" customHeight="1">
      <c r="A58" s="115">
        <f ca="1">IF(ROWS($1:45)&gt;COUNT(Dong1),"",OFFSET(TH!C$1,SMALL(Dong1,ROWS($1:45)),))</f>
        <v>41250</v>
      </c>
      <c r="B58" s="115">
        <f ca="1">IF(ROWS($1:45)&gt;COUNT(Dong1),"",OFFSET(TH!E$1,SMALL(Dong1,ROWS($1:45)),))</f>
        <v>41250</v>
      </c>
      <c r="C58" s="116" t="str">
        <f ca="1">IF(ROWS($1:45)&gt;COUNT(Dong1),"",IF(OFFSET(TH!L$1,SMALL(Dong1,ROWS($1:45)),)="1111",OFFSET(TH!D$1,SMALL(Dong1,ROWS($1:45)),),""))</f>
        <v>T14</v>
      </c>
      <c r="D58" s="117" t="str">
        <f ca="1">IF(ROWS($1:45)&gt;COUNT(Dong1),"",IF(OFFSET(TH!M$1,SMALL(Dong1,ROWS($1:45)),)="1111",OFFSET(TH!D$1,SMALL(Dong1,ROWS($1:45)),),""))</f>
        <v/>
      </c>
      <c r="E58" s="216" t="str">
        <f ca="1">IF(ROWS($1:45)&gt;COUNT(Dong1),"",OFFSET(TH!F$1,SMALL(Dong1,ROWS($1:45)),))</f>
        <v>Rút sec nhập quỹ tiền mặt</v>
      </c>
      <c r="F58" s="119" t="str">
        <f ca="1">IF(ROWS($1:45)&gt;COUNT(Dong1),"",IF(OFFSET(TH!M$1,SMALL(Dong1,ROWS($1:45)),)="1111",OFFSET(TH!L$1,SMALL(Dong1,ROWS($1:45)),),OFFSET(TH!M$1,SMALL(Dong1,ROWS($1:45)),)))</f>
        <v>1121</v>
      </c>
      <c r="G58" s="120">
        <f ca="1">IF(ROWS($1:45)&gt;COUNT(Dong1),"",IF(OFFSET(TH!L$1,SMALL(Dong1,ROWS($1:45)),)="1111",OFFSET(TH!K$1,SMALL(Dong1,ROWS($1:45)),),0))</f>
        <v>8400000</v>
      </c>
      <c r="H58" s="118">
        <f ca="1">IF(ROWS($1:45)&gt;COUNT(Dong1),"",IF(OFFSET(TH!M$1,SMALL(Dong1,ROWS($1:45)),)="1111",OFFSET(TH!K$1,SMALL(Dong1,ROWS($1:45)),),0))</f>
        <v>0</v>
      </c>
      <c r="I58" s="116">
        <f t="shared" ca="1" si="1"/>
        <v>2429188166</v>
      </c>
      <c r="J58" s="121"/>
      <c r="N58" s="531"/>
      <c r="O58" s="531"/>
    </row>
    <row r="59" spans="1:15" ht="21.75" customHeight="1">
      <c r="A59" s="115">
        <f ca="1">IF(ROWS($1:46)&gt;COUNT(Dong1),"",OFFSET(TH!C$1,SMALL(Dong1,ROWS($1:46)),))</f>
        <v>41251</v>
      </c>
      <c r="B59" s="115">
        <f ca="1">IF(ROWS($1:46)&gt;COUNT(Dong1),"",OFFSET(TH!E$1,SMALL(Dong1,ROWS($1:46)),))</f>
        <v>41251</v>
      </c>
      <c r="C59" s="116" t="str">
        <f ca="1">IF(ROWS($1:46)&gt;COUNT(Dong1),"",IF(OFFSET(TH!L$1,SMALL(Dong1,ROWS($1:46)),)="1111",OFFSET(TH!D$1,SMALL(Dong1,ROWS($1:46)),),""))</f>
        <v/>
      </c>
      <c r="D59" s="117" t="str">
        <f ca="1">IF(ROWS($1:46)&gt;COUNT(Dong1),"",IF(OFFSET(TH!M$1,SMALL(Dong1,ROWS($1:46)),)="1111",OFFSET(TH!D$1,SMALL(Dong1,ROWS($1:46)),),""))</f>
        <v>C25</v>
      </c>
      <c r="E59" s="216" t="str">
        <f ca="1">IF(ROWS($1:46)&gt;COUNT(Dong1),"",OFFSET(TH!F$1,SMALL(Dong1,ROWS($1:46)),))</f>
        <v>Thanh toán tiền hàng</v>
      </c>
      <c r="F59" s="119" t="str">
        <f ca="1">IF(ROWS($1:46)&gt;COUNT(Dong1),"",IF(OFFSET(TH!M$1,SMALL(Dong1,ROWS($1:46)),)="1111",OFFSET(TH!L$1,SMALL(Dong1,ROWS($1:46)),),OFFSET(TH!M$1,SMALL(Dong1,ROWS($1:46)),)))</f>
        <v>331</v>
      </c>
      <c r="G59" s="120">
        <f ca="1">IF(ROWS($1:46)&gt;COUNT(Dong1),"",IF(OFFSET(TH!L$1,SMALL(Dong1,ROWS($1:46)),)="1111",OFFSET(TH!K$1,SMALL(Dong1,ROWS($1:46)),),0))</f>
        <v>0</v>
      </c>
      <c r="H59" s="118">
        <f ca="1">IF(ROWS($1:46)&gt;COUNT(Dong1),"",IF(OFFSET(TH!M$1,SMALL(Dong1,ROWS($1:46)),)="1111",OFFSET(TH!K$1,SMALL(Dong1,ROWS($1:46)),),0))</f>
        <v>11321200</v>
      </c>
      <c r="I59" s="116">
        <f t="shared" ca="1" si="1"/>
        <v>2417866966</v>
      </c>
      <c r="J59" s="121"/>
      <c r="N59" s="531"/>
      <c r="O59" s="531"/>
    </row>
    <row r="60" spans="1:15" ht="21.75" customHeight="1">
      <c r="A60" s="115">
        <f ca="1">IF(ROWS($1:47)&gt;COUNT(Dong1),"",OFFSET(TH!C$1,SMALL(Dong1,ROWS($1:47)),))</f>
        <v>41253</v>
      </c>
      <c r="B60" s="115">
        <f ca="1">IF(ROWS($1:47)&gt;COUNT(Dong1),"",OFFSET(TH!E$1,SMALL(Dong1,ROWS($1:47)),))</f>
        <v>41253</v>
      </c>
      <c r="C60" s="116" t="str">
        <f ca="1">IF(ROWS($1:47)&gt;COUNT(Dong1),"",IF(OFFSET(TH!L$1,SMALL(Dong1,ROWS($1:47)),)="1111",OFFSET(TH!D$1,SMALL(Dong1,ROWS($1:47)),),""))</f>
        <v>T15</v>
      </c>
      <c r="D60" s="117" t="str">
        <f ca="1">IF(ROWS($1:47)&gt;COUNT(Dong1),"",IF(OFFSET(TH!M$1,SMALL(Dong1,ROWS($1:47)),)="1111",OFFSET(TH!D$1,SMALL(Dong1,ROWS($1:47)),),""))</f>
        <v/>
      </c>
      <c r="E60" s="216" t="str">
        <f ca="1">IF(ROWS($1:47)&gt;COUNT(Dong1),"",OFFSET(TH!F$1,SMALL(Dong1,ROWS($1:47)),))</f>
        <v>Thu tiền hàng</v>
      </c>
      <c r="F60" s="119" t="str">
        <f ca="1">IF(ROWS($1:47)&gt;COUNT(Dong1),"",IF(OFFSET(TH!M$1,SMALL(Dong1,ROWS($1:47)),)="1111",OFFSET(TH!L$1,SMALL(Dong1,ROWS($1:47)),),OFFSET(TH!M$1,SMALL(Dong1,ROWS($1:47)),)))</f>
        <v>131</v>
      </c>
      <c r="G60" s="120">
        <f ca="1">IF(ROWS($1:47)&gt;COUNT(Dong1),"",IF(OFFSET(TH!L$1,SMALL(Dong1,ROWS($1:47)),)="1111",OFFSET(TH!K$1,SMALL(Dong1,ROWS($1:47)),),0))</f>
        <v>15466440</v>
      </c>
      <c r="H60" s="118">
        <f ca="1">IF(ROWS($1:47)&gt;COUNT(Dong1),"",IF(OFFSET(TH!M$1,SMALL(Dong1,ROWS($1:47)),)="1111",OFFSET(TH!K$1,SMALL(Dong1,ROWS($1:47)),),0))</f>
        <v>0</v>
      </c>
      <c r="I60" s="116">
        <f t="shared" ca="1" si="1"/>
        <v>2433333406</v>
      </c>
      <c r="J60" s="121"/>
      <c r="N60" s="531"/>
      <c r="O60" s="531"/>
    </row>
    <row r="61" spans="1:15" ht="21.75" customHeight="1">
      <c r="A61" s="115">
        <f ca="1">IF(ROWS($1:48)&gt;COUNT(Dong1),"",OFFSET(TH!C$1,SMALL(Dong1,ROWS($1:48)),))</f>
        <v>41255</v>
      </c>
      <c r="B61" s="115">
        <f ca="1">IF(ROWS($1:48)&gt;COUNT(Dong1),"",OFFSET(TH!E$1,SMALL(Dong1,ROWS($1:48)),))</f>
        <v>41255</v>
      </c>
      <c r="C61" s="116" t="str">
        <f ca="1">IF(ROWS($1:48)&gt;COUNT(Dong1),"",IF(OFFSET(TH!L$1,SMALL(Dong1,ROWS($1:48)),)="1111",OFFSET(TH!D$1,SMALL(Dong1,ROWS($1:48)),),""))</f>
        <v/>
      </c>
      <c r="D61" s="117" t="str">
        <f ca="1">IF(ROWS($1:48)&gt;COUNT(Dong1),"",IF(OFFSET(TH!M$1,SMALL(Dong1,ROWS($1:48)),)="1111",OFFSET(TH!D$1,SMALL(Dong1,ROWS($1:48)),),""))</f>
        <v>C26</v>
      </c>
      <c r="E61" s="216" t="str">
        <f ca="1">IF(ROWS($1:48)&gt;COUNT(Dong1),"",OFFSET(TH!F$1,SMALL(Dong1,ROWS($1:48)),))</f>
        <v>Văn phòng phẩm</v>
      </c>
      <c r="F61" s="119" t="str">
        <f ca="1">IF(ROWS($1:48)&gt;COUNT(Dong1),"",IF(OFFSET(TH!M$1,SMALL(Dong1,ROWS($1:48)),)="1111",OFFSET(TH!L$1,SMALL(Dong1,ROWS($1:48)),),OFFSET(TH!M$1,SMALL(Dong1,ROWS($1:48)),)))</f>
        <v>642</v>
      </c>
      <c r="G61" s="120">
        <f ca="1">IF(ROWS($1:48)&gt;COUNT(Dong1),"",IF(OFFSET(TH!L$1,SMALL(Dong1,ROWS($1:48)),)="1111",OFFSET(TH!K$1,SMALL(Dong1,ROWS($1:48)),),0))</f>
        <v>0</v>
      </c>
      <c r="H61" s="118">
        <f ca="1">IF(ROWS($1:48)&gt;COUNT(Dong1),"",IF(OFFSET(TH!M$1,SMALL(Dong1,ROWS($1:48)),)="1111",OFFSET(TH!K$1,SMALL(Dong1,ROWS($1:48)),),0))</f>
        <v>262000</v>
      </c>
      <c r="I61" s="116">
        <f t="shared" ca="1" si="1"/>
        <v>2433071406</v>
      </c>
      <c r="J61" s="121"/>
      <c r="N61" s="531"/>
      <c r="O61" s="531"/>
    </row>
    <row r="62" spans="1:15" ht="21.75" customHeight="1">
      <c r="A62" s="115">
        <f ca="1">IF(ROWS($1:49)&gt;COUNT(Dong1),"",OFFSET(TH!C$1,SMALL(Dong1,ROWS($1:49)),))</f>
        <v>41260</v>
      </c>
      <c r="B62" s="115">
        <f ca="1">IF(ROWS($1:49)&gt;COUNT(Dong1),"",OFFSET(TH!E$1,SMALL(Dong1,ROWS($1:49)),))</f>
        <v>41260</v>
      </c>
      <c r="C62" s="116" t="str">
        <f ca="1">IF(ROWS($1:49)&gt;COUNT(Dong1),"",IF(OFFSET(TH!L$1,SMALL(Dong1,ROWS($1:49)),)="1111",OFFSET(TH!D$1,SMALL(Dong1,ROWS($1:49)),),""))</f>
        <v/>
      </c>
      <c r="D62" s="117" t="str">
        <f ca="1">IF(ROWS($1:49)&gt;COUNT(Dong1),"",IF(OFFSET(TH!M$1,SMALL(Dong1,ROWS($1:49)),)="1111",OFFSET(TH!D$1,SMALL(Dong1,ROWS($1:49)),),""))</f>
        <v>C27</v>
      </c>
      <c r="E62" s="216" t="str">
        <f ca="1">IF(ROWS($1:49)&gt;COUNT(Dong1),"",OFFSET(TH!F$1,SMALL(Dong1,ROWS($1:49)),))</f>
        <v>Thanh toán tiền viễn thông</v>
      </c>
      <c r="F62" s="119" t="str">
        <f ca="1">IF(ROWS($1:49)&gt;COUNT(Dong1),"",IF(OFFSET(TH!M$1,SMALL(Dong1,ROWS($1:49)),)="1111",OFFSET(TH!L$1,SMALL(Dong1,ROWS($1:49)),),OFFSET(TH!M$1,SMALL(Dong1,ROWS($1:49)),)))</f>
        <v>642</v>
      </c>
      <c r="G62" s="120">
        <f ca="1">IF(ROWS($1:49)&gt;COUNT(Dong1),"",IF(OFFSET(TH!L$1,SMALL(Dong1,ROWS($1:49)),)="1111",OFFSET(TH!K$1,SMALL(Dong1,ROWS($1:49)),),0))</f>
        <v>0</v>
      </c>
      <c r="H62" s="118">
        <f ca="1">IF(ROWS($1:49)&gt;COUNT(Dong1),"",IF(OFFSET(TH!M$1,SMALL(Dong1,ROWS($1:49)),)="1111",OFFSET(TH!K$1,SMALL(Dong1,ROWS($1:49)),),0))</f>
        <v>277272</v>
      </c>
      <c r="I62" s="116">
        <f t="shared" ca="1" si="1"/>
        <v>2432794134</v>
      </c>
      <c r="J62" s="121"/>
      <c r="N62" s="531"/>
      <c r="O62" s="531"/>
    </row>
    <row r="63" spans="1:15" ht="21.75" customHeight="1">
      <c r="A63" s="115">
        <f ca="1">IF(ROWS($1:50)&gt;COUNT(Dong1),"",OFFSET(TH!C$1,SMALL(Dong1,ROWS($1:50)),))</f>
        <v>41260</v>
      </c>
      <c r="B63" s="115">
        <f ca="1">IF(ROWS($1:50)&gt;COUNT(Dong1),"",OFFSET(TH!E$1,SMALL(Dong1,ROWS($1:50)),))</f>
        <v>41260</v>
      </c>
      <c r="C63" s="116" t="str">
        <f ca="1">IF(ROWS($1:50)&gt;COUNT(Dong1),"",IF(OFFSET(TH!L$1,SMALL(Dong1,ROWS($1:50)),)="1111",OFFSET(TH!D$1,SMALL(Dong1,ROWS($1:50)),),""))</f>
        <v/>
      </c>
      <c r="D63" s="117" t="str">
        <f ca="1">IF(ROWS($1:50)&gt;COUNT(Dong1),"",IF(OFFSET(TH!M$1,SMALL(Dong1,ROWS($1:50)),)="1111",OFFSET(TH!D$1,SMALL(Dong1,ROWS($1:50)),),""))</f>
        <v>C27</v>
      </c>
      <c r="E63" s="216" t="str">
        <f ca="1">IF(ROWS($1:50)&gt;COUNT(Dong1),"",OFFSET(TH!F$1,SMALL(Dong1,ROWS($1:50)),))</f>
        <v>VAT Thanh toán tiền viễn thông</v>
      </c>
      <c r="F63" s="119" t="str">
        <f ca="1">IF(ROWS($1:50)&gt;COUNT(Dong1),"",IF(OFFSET(TH!M$1,SMALL(Dong1,ROWS($1:50)),)="1111",OFFSET(TH!L$1,SMALL(Dong1,ROWS($1:50)),),OFFSET(TH!M$1,SMALL(Dong1,ROWS($1:50)),)))</f>
        <v>1331</v>
      </c>
      <c r="G63" s="120">
        <f ca="1">IF(ROWS($1:50)&gt;COUNT(Dong1),"",IF(OFFSET(TH!L$1,SMALL(Dong1,ROWS($1:50)),)="1111",OFFSET(TH!K$1,SMALL(Dong1,ROWS($1:50)),),0))</f>
        <v>0</v>
      </c>
      <c r="H63" s="118">
        <f ca="1">IF(ROWS($1:50)&gt;COUNT(Dong1),"",IF(OFFSET(TH!M$1,SMALL(Dong1,ROWS($1:50)),)="1111",OFFSET(TH!K$1,SMALL(Dong1,ROWS($1:50)),),0))</f>
        <v>7728</v>
      </c>
      <c r="I63" s="116">
        <f t="shared" ca="1" si="1"/>
        <v>2432786406</v>
      </c>
      <c r="J63" s="121"/>
      <c r="N63" s="531"/>
      <c r="O63" s="531"/>
    </row>
    <row r="64" spans="1:15" ht="21.75" customHeight="1">
      <c r="A64" s="115">
        <f ca="1">IF(ROWS($1:51)&gt;COUNT(Dong1),"",OFFSET(TH!C$1,SMALL(Dong1,ROWS($1:51)),))</f>
        <v>41268</v>
      </c>
      <c r="B64" s="115">
        <f ca="1">IF(ROWS($1:51)&gt;COUNT(Dong1),"",OFFSET(TH!E$1,SMALL(Dong1,ROWS($1:51)),))</f>
        <v>41268</v>
      </c>
      <c r="C64" s="116" t="str">
        <f ca="1">IF(ROWS($1:51)&gt;COUNT(Dong1),"",IF(OFFSET(TH!L$1,SMALL(Dong1,ROWS($1:51)),)="1111",OFFSET(TH!D$1,SMALL(Dong1,ROWS($1:51)),),""))</f>
        <v>T16</v>
      </c>
      <c r="D64" s="117" t="str">
        <f ca="1">IF(ROWS($1:51)&gt;COUNT(Dong1),"",IF(OFFSET(TH!M$1,SMALL(Dong1,ROWS($1:51)),)="1111",OFFSET(TH!D$1,SMALL(Dong1,ROWS($1:51)),),""))</f>
        <v/>
      </c>
      <c r="E64" s="216" t="str">
        <f ca="1">IF(ROWS($1:51)&gt;COUNT(Dong1),"",OFFSET(TH!F$1,SMALL(Dong1,ROWS($1:51)),))</f>
        <v>Thu tiền hàng</v>
      </c>
      <c r="F64" s="119" t="str">
        <f ca="1">IF(ROWS($1:51)&gt;COUNT(Dong1),"",IF(OFFSET(TH!M$1,SMALL(Dong1,ROWS($1:51)),)="1111",OFFSET(TH!L$1,SMALL(Dong1,ROWS($1:51)),),OFFSET(TH!M$1,SMALL(Dong1,ROWS($1:51)),)))</f>
        <v>131</v>
      </c>
      <c r="G64" s="120">
        <f ca="1">IF(ROWS($1:51)&gt;COUNT(Dong1),"",IF(OFFSET(TH!L$1,SMALL(Dong1,ROWS($1:51)),)="1111",OFFSET(TH!K$1,SMALL(Dong1,ROWS($1:51)),),0))</f>
        <v>1678600</v>
      </c>
      <c r="H64" s="118">
        <f ca="1">IF(ROWS($1:51)&gt;COUNT(Dong1),"",IF(OFFSET(TH!M$1,SMALL(Dong1,ROWS($1:51)),)="1111",OFFSET(TH!K$1,SMALL(Dong1,ROWS($1:51)),),0))</f>
        <v>0</v>
      </c>
      <c r="I64" s="116">
        <f t="shared" ca="1" si="1"/>
        <v>2434465006</v>
      </c>
      <c r="J64" s="121"/>
      <c r="N64" s="531"/>
      <c r="O64" s="531"/>
    </row>
    <row r="65" spans="1:15" ht="21.75" customHeight="1">
      <c r="A65" s="115">
        <f ca="1">IF(ROWS($1:52)&gt;COUNT(Dong1),"",OFFSET(TH!C$1,SMALL(Dong1,ROWS($1:52)),))</f>
        <v>41269</v>
      </c>
      <c r="B65" s="115">
        <f ca="1">IF(ROWS($1:52)&gt;COUNT(Dong1),"",OFFSET(TH!E$1,SMALL(Dong1,ROWS($1:52)),))</f>
        <v>41269</v>
      </c>
      <c r="C65" s="116" t="str">
        <f ca="1">IF(ROWS($1:52)&gt;COUNT(Dong1),"",IF(OFFSET(TH!L$1,SMALL(Dong1,ROWS($1:52)),)="1111",OFFSET(TH!D$1,SMALL(Dong1,ROWS($1:52)),),""))</f>
        <v/>
      </c>
      <c r="D65" s="117" t="str">
        <f ca="1">IF(ROWS($1:52)&gt;COUNT(Dong1),"",IF(OFFSET(TH!M$1,SMALL(Dong1,ROWS($1:52)),)="1111",OFFSET(TH!D$1,SMALL(Dong1,ROWS($1:52)),),""))</f>
        <v>C28</v>
      </c>
      <c r="E65" s="216" t="str">
        <f ca="1">IF(ROWS($1:52)&gt;COUNT(Dong1),"",OFFSET(TH!F$1,SMALL(Dong1,ROWS($1:52)),))</f>
        <v>Chi phí tiếp khách</v>
      </c>
      <c r="F65" s="119" t="str">
        <f ca="1">IF(ROWS($1:52)&gt;COUNT(Dong1),"",IF(OFFSET(TH!M$1,SMALL(Dong1,ROWS($1:52)),)="1111",OFFSET(TH!L$1,SMALL(Dong1,ROWS($1:52)),),OFFSET(TH!M$1,SMALL(Dong1,ROWS($1:52)),)))</f>
        <v>642</v>
      </c>
      <c r="G65" s="120">
        <f ca="1">IF(ROWS($1:52)&gt;COUNT(Dong1),"",IF(OFFSET(TH!L$1,SMALL(Dong1,ROWS($1:52)),)="1111",OFFSET(TH!K$1,SMALL(Dong1,ROWS($1:52)),),0))</f>
        <v>0</v>
      </c>
      <c r="H65" s="118">
        <f ca="1">IF(ROWS($1:52)&gt;COUNT(Dong1),"",IF(OFFSET(TH!M$1,SMALL(Dong1,ROWS($1:52)),)="1111",OFFSET(TH!K$1,SMALL(Dong1,ROWS($1:52)),),0))</f>
        <v>3181818</v>
      </c>
      <c r="I65" s="116">
        <f t="shared" ca="1" si="1"/>
        <v>2431283188</v>
      </c>
      <c r="J65" s="121"/>
      <c r="N65" s="531"/>
      <c r="O65" s="531"/>
    </row>
    <row r="66" spans="1:15" ht="21.75" customHeight="1">
      <c r="A66" s="115">
        <f ca="1">IF(ROWS($1:53)&gt;COUNT(Dong1),"",OFFSET(TH!C$1,SMALL(Dong1,ROWS($1:53)),))</f>
        <v>41269</v>
      </c>
      <c r="B66" s="115">
        <f ca="1">IF(ROWS($1:53)&gt;COUNT(Dong1),"",OFFSET(TH!E$1,SMALL(Dong1,ROWS($1:53)),))</f>
        <v>41269</v>
      </c>
      <c r="C66" s="116" t="str">
        <f ca="1">IF(ROWS($1:53)&gt;COUNT(Dong1),"",IF(OFFSET(TH!L$1,SMALL(Dong1,ROWS($1:53)),)="1111",OFFSET(TH!D$1,SMALL(Dong1,ROWS($1:53)),),""))</f>
        <v/>
      </c>
      <c r="D66" s="117" t="str">
        <f ca="1">IF(ROWS($1:53)&gt;COUNT(Dong1),"",IF(OFFSET(TH!M$1,SMALL(Dong1,ROWS($1:53)),)="1111",OFFSET(TH!D$1,SMALL(Dong1,ROWS($1:53)),),""))</f>
        <v>C28</v>
      </c>
      <c r="E66" s="216" t="str">
        <f ca="1">IF(ROWS($1:53)&gt;COUNT(Dong1),"",OFFSET(TH!F$1,SMALL(Dong1,ROWS($1:53)),))</f>
        <v>VAT Chi phí tiếp khách</v>
      </c>
      <c r="F66" s="119" t="str">
        <f ca="1">IF(ROWS($1:53)&gt;COUNT(Dong1),"",IF(OFFSET(TH!M$1,SMALL(Dong1,ROWS($1:53)),)="1111",OFFSET(TH!L$1,SMALL(Dong1,ROWS($1:53)),),OFFSET(TH!M$1,SMALL(Dong1,ROWS($1:53)),)))</f>
        <v>1331</v>
      </c>
      <c r="G66" s="120">
        <f ca="1">IF(ROWS($1:53)&gt;COUNT(Dong1),"",IF(OFFSET(TH!L$1,SMALL(Dong1,ROWS($1:53)),)="1111",OFFSET(TH!K$1,SMALL(Dong1,ROWS($1:53)),),0))</f>
        <v>0</v>
      </c>
      <c r="H66" s="118">
        <f ca="1">IF(ROWS($1:53)&gt;COUNT(Dong1),"",IF(OFFSET(TH!M$1,SMALL(Dong1,ROWS($1:53)),)="1111",OFFSET(TH!K$1,SMALL(Dong1,ROWS($1:53)),),0))</f>
        <v>318182</v>
      </c>
      <c r="I66" s="116">
        <f t="shared" ref="I66:I71" ca="1" si="2">IF(E66&lt;&gt;"",I65+G66-H66,0)</f>
        <v>2430965006</v>
      </c>
      <c r="J66" s="121"/>
      <c r="N66" s="531"/>
      <c r="O66" s="531"/>
    </row>
    <row r="67" spans="1:15" ht="21.75" customHeight="1">
      <c r="A67" s="115">
        <f ca="1">IF(ROWS($1:54)&gt;COUNT(Dong1),"",OFFSET(TH!C$1,SMALL(Dong1,ROWS($1:54)),))</f>
        <v>41270</v>
      </c>
      <c r="B67" s="115">
        <f ca="1">IF(ROWS($1:54)&gt;COUNT(Dong1),"",OFFSET(TH!E$1,SMALL(Dong1,ROWS($1:54)),))</f>
        <v>41270</v>
      </c>
      <c r="C67" s="116" t="str">
        <f ca="1">IF(ROWS($1:54)&gt;COUNT(Dong1),"",IF(OFFSET(TH!L$1,SMALL(Dong1,ROWS($1:54)),)="1111",OFFSET(TH!D$1,SMALL(Dong1,ROWS($1:54)),),""))</f>
        <v>T17</v>
      </c>
      <c r="D67" s="117" t="str">
        <f ca="1">IF(ROWS($1:54)&gt;COUNT(Dong1),"",IF(OFFSET(TH!M$1,SMALL(Dong1,ROWS($1:54)),)="1111",OFFSET(TH!D$1,SMALL(Dong1,ROWS($1:54)),),""))</f>
        <v/>
      </c>
      <c r="E67" s="216" t="str">
        <f ca="1">IF(ROWS($1:54)&gt;COUNT(Dong1),"",OFFSET(TH!F$1,SMALL(Dong1,ROWS($1:54)),))</f>
        <v>Thu tiền hàng</v>
      </c>
      <c r="F67" s="119" t="str">
        <f ca="1">IF(ROWS($1:54)&gt;COUNT(Dong1),"",IF(OFFSET(TH!M$1,SMALL(Dong1,ROWS($1:54)),)="1111",OFFSET(TH!L$1,SMALL(Dong1,ROWS($1:54)),),OFFSET(TH!M$1,SMALL(Dong1,ROWS($1:54)),)))</f>
        <v>131</v>
      </c>
      <c r="G67" s="120">
        <f ca="1">IF(ROWS($1:54)&gt;COUNT(Dong1),"",IF(OFFSET(TH!L$1,SMALL(Dong1,ROWS($1:54)),)="1111",OFFSET(TH!K$1,SMALL(Dong1,ROWS($1:54)),),0))</f>
        <v>5864760</v>
      </c>
      <c r="H67" s="118">
        <f ca="1">IF(ROWS($1:54)&gt;COUNT(Dong1),"",IF(OFFSET(TH!M$1,SMALL(Dong1,ROWS($1:54)),)="1111",OFFSET(TH!K$1,SMALL(Dong1,ROWS($1:54)),),0))</f>
        <v>0</v>
      </c>
      <c r="I67" s="116">
        <f t="shared" ca="1" si="2"/>
        <v>2436829766</v>
      </c>
      <c r="J67" s="121"/>
      <c r="N67" s="531"/>
      <c r="O67" s="531"/>
    </row>
    <row r="68" spans="1:15" ht="21.75" customHeight="1">
      <c r="A68" s="115">
        <f ca="1">IF(ROWS($1:55)&gt;COUNT(Dong1),"",OFFSET(TH!C$1,SMALL(Dong1,ROWS($1:55)),))</f>
        <v>41271</v>
      </c>
      <c r="B68" s="115">
        <f ca="1">IF(ROWS($1:55)&gt;COUNT(Dong1),"",OFFSET(TH!E$1,SMALL(Dong1,ROWS($1:55)),))</f>
        <v>41271</v>
      </c>
      <c r="C68" s="116" t="str">
        <f ca="1">IF(ROWS($1:55)&gt;COUNT(Dong1),"",IF(OFFSET(TH!L$1,SMALL(Dong1,ROWS($1:55)),)="1111",OFFSET(TH!D$1,SMALL(Dong1,ROWS($1:55)),),""))</f>
        <v>T18</v>
      </c>
      <c r="D68" s="117" t="str">
        <f ca="1">IF(ROWS($1:55)&gt;COUNT(Dong1),"",IF(OFFSET(TH!M$1,SMALL(Dong1,ROWS($1:55)),)="1111",OFFSET(TH!D$1,SMALL(Dong1,ROWS($1:55)),),""))</f>
        <v/>
      </c>
      <c r="E68" s="216" t="str">
        <f ca="1">IF(ROWS($1:55)&gt;COUNT(Dong1),"",OFFSET(TH!F$1,SMALL(Dong1,ROWS($1:55)),))</f>
        <v>Rút sec nhập quỹ tiền mặt</v>
      </c>
      <c r="F68" s="119" t="str">
        <f ca="1">IF(ROWS($1:55)&gt;COUNT(Dong1),"",IF(OFFSET(TH!M$1,SMALL(Dong1,ROWS($1:55)),)="1111",OFFSET(TH!L$1,SMALL(Dong1,ROWS($1:55)),),OFFSET(TH!M$1,SMALL(Dong1,ROWS($1:55)),)))</f>
        <v>1121</v>
      </c>
      <c r="G68" s="120">
        <f ca="1">IF(ROWS($1:55)&gt;COUNT(Dong1),"",IF(OFFSET(TH!L$1,SMALL(Dong1,ROWS($1:55)),)="1111",OFFSET(TH!K$1,SMALL(Dong1,ROWS($1:55)),),0))</f>
        <v>19000000</v>
      </c>
      <c r="H68" s="118">
        <f ca="1">IF(ROWS($1:55)&gt;COUNT(Dong1),"",IF(OFFSET(TH!M$1,SMALL(Dong1,ROWS($1:55)),)="1111",OFFSET(TH!K$1,SMALL(Dong1,ROWS($1:55)),),0))</f>
        <v>0</v>
      </c>
      <c r="I68" s="116">
        <f t="shared" ca="1" si="2"/>
        <v>2455829766</v>
      </c>
      <c r="J68" s="121"/>
      <c r="N68" s="531"/>
      <c r="O68" s="531"/>
    </row>
    <row r="69" spans="1:15" ht="21.75" customHeight="1">
      <c r="A69" s="115">
        <f ca="1">IF(ROWS($1:56)&gt;COUNT(Dong1),"",OFFSET(TH!C$1,SMALL(Dong1,ROWS($1:56)),))</f>
        <v>41271</v>
      </c>
      <c r="B69" s="115">
        <f ca="1">IF(ROWS($1:56)&gt;COUNT(Dong1),"",OFFSET(TH!E$1,SMALL(Dong1,ROWS($1:56)),))</f>
        <v>41271</v>
      </c>
      <c r="C69" s="116" t="str">
        <f ca="1">IF(ROWS($1:56)&gt;COUNT(Dong1),"",IF(OFFSET(TH!L$1,SMALL(Dong1,ROWS($1:56)),)="1111",OFFSET(TH!D$1,SMALL(Dong1,ROWS($1:56)),),""))</f>
        <v/>
      </c>
      <c r="D69" s="117" t="str">
        <f ca="1">IF(ROWS($1:56)&gt;COUNT(Dong1),"",IF(OFFSET(TH!M$1,SMALL(Dong1,ROWS($1:56)),)="1111",OFFSET(TH!D$1,SMALL(Dong1,ROWS($1:56)),),""))</f>
        <v>C29</v>
      </c>
      <c r="E69" s="216" t="str">
        <f ca="1">IF(ROWS($1:56)&gt;COUNT(Dong1),"",OFFSET(TH!F$1,SMALL(Dong1,ROWS($1:56)),))</f>
        <v>Chi phí tiếp khách</v>
      </c>
      <c r="F69" s="119" t="str">
        <f ca="1">IF(ROWS($1:56)&gt;COUNT(Dong1),"",IF(OFFSET(TH!M$1,SMALL(Dong1,ROWS($1:56)),)="1111",OFFSET(TH!L$1,SMALL(Dong1,ROWS($1:56)),),OFFSET(TH!M$1,SMALL(Dong1,ROWS($1:56)),)))</f>
        <v>642</v>
      </c>
      <c r="G69" s="120">
        <f ca="1">IF(ROWS($1:56)&gt;COUNT(Dong1),"",IF(OFFSET(TH!L$1,SMALL(Dong1,ROWS($1:56)),)="1111",OFFSET(TH!K$1,SMALL(Dong1,ROWS($1:56)),),0))</f>
        <v>0</v>
      </c>
      <c r="H69" s="118">
        <f ca="1">IF(ROWS($1:56)&gt;COUNT(Dong1),"",IF(OFFSET(TH!M$1,SMALL(Dong1,ROWS($1:56)),)="1111",OFFSET(TH!K$1,SMALL(Dong1,ROWS($1:56)),),0))</f>
        <v>3363636</v>
      </c>
      <c r="I69" s="116">
        <f t="shared" ca="1" si="2"/>
        <v>2452466130</v>
      </c>
      <c r="J69" s="121"/>
      <c r="N69" s="531"/>
      <c r="O69" s="531"/>
    </row>
    <row r="70" spans="1:15" ht="21.75" customHeight="1">
      <c r="A70" s="115">
        <f ca="1">IF(ROWS($1:57)&gt;COUNT(Dong1),"",OFFSET(TH!C$1,SMALL(Dong1,ROWS($1:57)),))</f>
        <v>41271</v>
      </c>
      <c r="B70" s="115">
        <f ca="1">IF(ROWS($1:57)&gt;COUNT(Dong1),"",OFFSET(TH!E$1,SMALL(Dong1,ROWS($1:57)),))</f>
        <v>41271</v>
      </c>
      <c r="C70" s="116" t="str">
        <f ca="1">IF(ROWS($1:57)&gt;COUNT(Dong1),"",IF(OFFSET(TH!L$1,SMALL(Dong1,ROWS($1:57)),)="1111",OFFSET(TH!D$1,SMALL(Dong1,ROWS($1:57)),),""))</f>
        <v/>
      </c>
      <c r="D70" s="117" t="str">
        <f ca="1">IF(ROWS($1:57)&gt;COUNT(Dong1),"",IF(OFFSET(TH!M$1,SMALL(Dong1,ROWS($1:57)),)="1111",OFFSET(TH!D$1,SMALL(Dong1,ROWS($1:57)),),""))</f>
        <v>C29</v>
      </c>
      <c r="E70" s="216" t="str">
        <f ca="1">IF(ROWS($1:57)&gt;COUNT(Dong1),"",OFFSET(TH!F$1,SMALL(Dong1,ROWS($1:57)),))</f>
        <v>VAT Chi phí tiếp khách</v>
      </c>
      <c r="F70" s="119" t="str">
        <f ca="1">IF(ROWS($1:57)&gt;COUNT(Dong1),"",IF(OFFSET(TH!M$1,SMALL(Dong1,ROWS($1:57)),)="1111",OFFSET(TH!L$1,SMALL(Dong1,ROWS($1:57)),),OFFSET(TH!M$1,SMALL(Dong1,ROWS($1:57)),)))</f>
        <v>1331</v>
      </c>
      <c r="G70" s="120">
        <f ca="1">IF(ROWS($1:57)&gt;COUNT(Dong1),"",IF(OFFSET(TH!L$1,SMALL(Dong1,ROWS($1:57)),)="1111",OFFSET(TH!K$1,SMALL(Dong1,ROWS($1:57)),),0))</f>
        <v>0</v>
      </c>
      <c r="H70" s="118">
        <f ca="1">IF(ROWS($1:57)&gt;COUNT(Dong1),"",IF(OFFSET(TH!M$1,SMALL(Dong1,ROWS($1:57)),)="1111",OFFSET(TH!K$1,SMALL(Dong1,ROWS($1:57)),),0))</f>
        <v>336364</v>
      </c>
      <c r="I70" s="116">
        <f t="shared" ca="1" si="2"/>
        <v>2452129766</v>
      </c>
      <c r="J70" s="121"/>
      <c r="N70" s="531"/>
      <c r="O70" s="531"/>
    </row>
    <row r="71" spans="1:15" ht="21.75" customHeight="1">
      <c r="A71" s="115">
        <f ca="1">IF(ROWS($1:58)&gt;COUNT(Dong1),"",OFFSET(TH!C$1,SMALL(Dong1,ROWS($1:58)),))</f>
        <v>41273</v>
      </c>
      <c r="B71" s="115">
        <f ca="1">IF(ROWS($1:58)&gt;COUNT(Dong1),"",OFFSET(TH!E$1,SMALL(Dong1,ROWS($1:58)),))</f>
        <v>41273</v>
      </c>
      <c r="C71" s="116" t="str">
        <f ca="1">IF(ROWS($1:58)&gt;COUNT(Dong1),"",IF(OFFSET(TH!L$1,SMALL(Dong1,ROWS($1:58)),)="1111",OFFSET(TH!D$1,SMALL(Dong1,ROWS($1:58)),),""))</f>
        <v/>
      </c>
      <c r="D71" s="117" t="str">
        <f ca="1">IF(ROWS($1:58)&gt;COUNT(Dong1),"",IF(OFFSET(TH!M$1,SMALL(Dong1,ROWS($1:58)),)="1111",OFFSET(TH!D$1,SMALL(Dong1,ROWS($1:58)),),""))</f>
        <v>C30</v>
      </c>
      <c r="E71" s="216" t="str">
        <f ca="1">IF(ROWS($1:58)&gt;COUNT(Dong1),"",OFFSET(TH!F$1,SMALL(Dong1,ROWS($1:58)),))</f>
        <v>Thanh toán tiền hàng</v>
      </c>
      <c r="F71" s="119" t="str">
        <f ca="1">IF(ROWS($1:58)&gt;COUNT(Dong1),"",IF(OFFSET(TH!M$1,SMALL(Dong1,ROWS($1:58)),)="1111",OFFSET(TH!L$1,SMALL(Dong1,ROWS($1:58)),),OFFSET(TH!M$1,SMALL(Dong1,ROWS($1:58)),)))</f>
        <v>331</v>
      </c>
      <c r="G71" s="120">
        <f ca="1">IF(ROWS($1:58)&gt;COUNT(Dong1),"",IF(OFFSET(TH!L$1,SMALL(Dong1,ROWS($1:58)),)="1111",OFFSET(TH!K$1,SMALL(Dong1,ROWS($1:58)),),0))</f>
        <v>0</v>
      </c>
      <c r="H71" s="118">
        <f ca="1">IF(ROWS($1:58)&gt;COUNT(Dong1),"",IF(OFFSET(TH!M$1,SMALL(Dong1,ROWS($1:58)),)="1111",OFFSET(TH!K$1,SMALL(Dong1,ROWS($1:58)),),0))</f>
        <v>17817140</v>
      </c>
      <c r="I71" s="116">
        <f t="shared" ca="1" si="2"/>
        <v>2434312626</v>
      </c>
      <c r="J71" s="121"/>
      <c r="N71" s="531"/>
      <c r="O71" s="531"/>
    </row>
    <row r="72" spans="1:15" ht="21.75" customHeight="1">
      <c r="A72" s="115">
        <f ca="1">IF(ROWS($1:59)&gt;COUNT(Dong1),"",OFFSET(TH!C$1,SMALL(Dong1,ROWS($1:59)),))</f>
        <v>41273</v>
      </c>
      <c r="B72" s="115">
        <f ca="1">IF(ROWS($1:59)&gt;COUNT(Dong1),"",OFFSET(TH!E$1,SMALL(Dong1,ROWS($1:59)),))</f>
        <v>41273</v>
      </c>
      <c r="C72" s="116" t="str">
        <f ca="1">IF(ROWS($1:59)&gt;COUNT(Dong1),"",IF(OFFSET(TH!L$1,SMALL(Dong1,ROWS($1:59)),)="1111",OFFSET(TH!D$1,SMALL(Dong1,ROWS($1:59)),),""))</f>
        <v/>
      </c>
      <c r="D72" s="117" t="str">
        <f ca="1">IF(ROWS($1:59)&gt;COUNT(Dong1),"",IF(OFFSET(TH!M$1,SMALL(Dong1,ROWS($1:59)),)="1111",OFFSET(TH!D$1,SMALL(Dong1,ROWS($1:59)),),""))</f>
        <v>C31</v>
      </c>
      <c r="E72" s="216" t="str">
        <f ca="1">IF(ROWS($1:59)&gt;COUNT(Dong1),"",OFFSET(TH!F$1,SMALL(Dong1,ROWS($1:59)),))</f>
        <v>Chi phí tiếp khách</v>
      </c>
      <c r="F72" s="119" t="str">
        <f ca="1">IF(ROWS($1:59)&gt;COUNT(Dong1),"",IF(OFFSET(TH!M$1,SMALL(Dong1,ROWS($1:59)),)="1111",OFFSET(TH!L$1,SMALL(Dong1,ROWS($1:59)),),OFFSET(TH!M$1,SMALL(Dong1,ROWS($1:59)),)))</f>
        <v>642</v>
      </c>
      <c r="G72" s="120">
        <f ca="1">IF(ROWS($1:59)&gt;COUNT(Dong1),"",IF(OFFSET(TH!L$1,SMALL(Dong1,ROWS($1:59)),)="1111",OFFSET(TH!K$1,SMALL(Dong1,ROWS($1:59)),),0))</f>
        <v>0</v>
      </c>
      <c r="H72" s="118">
        <f ca="1">IF(ROWS($1:59)&gt;COUNT(Dong1),"",IF(OFFSET(TH!M$1,SMALL(Dong1,ROWS($1:59)),)="1111",OFFSET(TH!K$1,SMALL(Dong1,ROWS($1:59)),),0))</f>
        <v>2545455</v>
      </c>
      <c r="I72" s="116">
        <f t="shared" ref="I72:I77" ca="1" si="3">IF(E72&lt;&gt;"",I71+G72-H72,0)</f>
        <v>2431767171</v>
      </c>
      <c r="J72" s="121"/>
      <c r="N72" s="531"/>
      <c r="O72" s="531"/>
    </row>
    <row r="73" spans="1:15" ht="21.75" customHeight="1">
      <c r="A73" s="115">
        <f ca="1">IF(ROWS($1:60)&gt;COUNT(Dong1),"",OFFSET(TH!C$1,SMALL(Dong1,ROWS($1:60)),))</f>
        <v>41273</v>
      </c>
      <c r="B73" s="115">
        <f ca="1">IF(ROWS($1:60)&gt;COUNT(Dong1),"",OFFSET(TH!E$1,SMALL(Dong1,ROWS($1:60)),))</f>
        <v>41273</v>
      </c>
      <c r="C73" s="116" t="str">
        <f ca="1">IF(ROWS($1:60)&gt;COUNT(Dong1),"",IF(OFFSET(TH!L$1,SMALL(Dong1,ROWS($1:60)),)="1111",OFFSET(TH!D$1,SMALL(Dong1,ROWS($1:60)),),""))</f>
        <v/>
      </c>
      <c r="D73" s="117" t="str">
        <f ca="1">IF(ROWS($1:60)&gt;COUNT(Dong1),"",IF(OFFSET(TH!M$1,SMALL(Dong1,ROWS($1:60)),)="1111",OFFSET(TH!D$1,SMALL(Dong1,ROWS($1:60)),),""))</f>
        <v>C31</v>
      </c>
      <c r="E73" s="216" t="str">
        <f ca="1">IF(ROWS($1:60)&gt;COUNT(Dong1),"",OFFSET(TH!F$1,SMALL(Dong1,ROWS($1:60)),))</f>
        <v>VAT Chi phí tiếp khách</v>
      </c>
      <c r="F73" s="119" t="str">
        <f ca="1">IF(ROWS($1:60)&gt;COUNT(Dong1),"",IF(OFFSET(TH!M$1,SMALL(Dong1,ROWS($1:60)),)="1111",OFFSET(TH!L$1,SMALL(Dong1,ROWS($1:60)),),OFFSET(TH!M$1,SMALL(Dong1,ROWS($1:60)),)))</f>
        <v>1331</v>
      </c>
      <c r="G73" s="120">
        <f ca="1">IF(ROWS($1:60)&gt;COUNT(Dong1),"",IF(OFFSET(TH!L$1,SMALL(Dong1,ROWS($1:60)),)="1111",OFFSET(TH!K$1,SMALL(Dong1,ROWS($1:60)),),0))</f>
        <v>0</v>
      </c>
      <c r="H73" s="118">
        <f ca="1">IF(ROWS($1:60)&gt;COUNT(Dong1),"",IF(OFFSET(TH!M$1,SMALL(Dong1,ROWS($1:60)),)="1111",OFFSET(TH!K$1,SMALL(Dong1,ROWS($1:60)),),0))</f>
        <v>254545</v>
      </c>
      <c r="I73" s="116">
        <f t="shared" ca="1" si="3"/>
        <v>2431512626</v>
      </c>
      <c r="J73" s="121"/>
      <c r="N73" s="531"/>
      <c r="O73" s="531"/>
    </row>
    <row r="74" spans="1:15" ht="21.75" customHeight="1">
      <c r="A74" s="115">
        <f ca="1">IF(ROWS($1:61)&gt;COUNT(Dong1),"",OFFSET(TH!C$1,SMALL(Dong1,ROWS($1:61)),))</f>
        <v>41274</v>
      </c>
      <c r="B74" s="115">
        <f ca="1">IF(ROWS($1:61)&gt;COUNT(Dong1),"",OFFSET(TH!E$1,SMALL(Dong1,ROWS($1:61)),))</f>
        <v>41274</v>
      </c>
      <c r="C74" s="116" t="str">
        <f ca="1">IF(ROWS($1:61)&gt;COUNT(Dong1),"",IF(OFFSET(TH!L$1,SMALL(Dong1,ROWS($1:61)),)="1111",OFFSET(TH!D$1,SMALL(Dong1,ROWS($1:61)),),""))</f>
        <v/>
      </c>
      <c r="D74" s="117" t="str">
        <f ca="1">IF(ROWS($1:61)&gt;COUNT(Dong1),"",IF(OFFSET(TH!M$1,SMALL(Dong1,ROWS($1:61)),)="1111",OFFSET(TH!D$1,SMALL(Dong1,ROWS($1:61)),),""))</f>
        <v>C32</v>
      </c>
      <c r="E74" s="216" t="str">
        <f ca="1">IF(ROWS($1:61)&gt;COUNT(Dong1),"",OFFSET(TH!F$1,SMALL(Dong1,ROWS($1:61)),))</f>
        <v>Cước vận chuyển</v>
      </c>
      <c r="F74" s="119" t="str">
        <f ca="1">IF(ROWS($1:61)&gt;COUNT(Dong1),"",IF(OFFSET(TH!M$1,SMALL(Dong1,ROWS($1:61)),)="1111",OFFSET(TH!L$1,SMALL(Dong1,ROWS($1:61)),),OFFSET(TH!M$1,SMALL(Dong1,ROWS($1:61)),)))</f>
        <v>642</v>
      </c>
      <c r="G74" s="120">
        <f ca="1">IF(ROWS($1:61)&gt;COUNT(Dong1),"",IF(OFFSET(TH!L$1,SMALL(Dong1,ROWS($1:61)),)="1111",OFFSET(TH!K$1,SMALL(Dong1,ROWS($1:61)),),0))</f>
        <v>0</v>
      </c>
      <c r="H74" s="118">
        <f ca="1">IF(ROWS($1:61)&gt;COUNT(Dong1),"",IF(OFFSET(TH!M$1,SMALL(Dong1,ROWS($1:61)),)="1111",OFFSET(TH!K$1,SMALL(Dong1,ROWS($1:61)),),0))</f>
        <v>3000000</v>
      </c>
      <c r="I74" s="116">
        <f t="shared" ca="1" si="3"/>
        <v>2428512626</v>
      </c>
      <c r="J74" s="121"/>
      <c r="N74" s="531"/>
      <c r="O74" s="531"/>
    </row>
    <row r="75" spans="1:15" ht="21.75" customHeight="1">
      <c r="A75" s="115">
        <f ca="1">IF(ROWS($1:62)&gt;COUNT(Dong1),"",OFFSET(TH!C$1,SMALL(Dong1,ROWS($1:62)),))</f>
        <v>41274</v>
      </c>
      <c r="B75" s="115">
        <f ca="1">IF(ROWS($1:62)&gt;COUNT(Dong1),"",OFFSET(TH!E$1,SMALL(Dong1,ROWS($1:62)),))</f>
        <v>41274</v>
      </c>
      <c r="C75" s="116" t="str">
        <f ca="1">IF(ROWS($1:62)&gt;COUNT(Dong1),"",IF(OFFSET(TH!L$1,SMALL(Dong1,ROWS($1:62)),)="1111",OFFSET(TH!D$1,SMALL(Dong1,ROWS($1:62)),),""))</f>
        <v/>
      </c>
      <c r="D75" s="117" t="str">
        <f ca="1">IF(ROWS($1:62)&gt;COUNT(Dong1),"",IF(OFFSET(TH!M$1,SMALL(Dong1,ROWS($1:62)),)="1111",OFFSET(TH!D$1,SMALL(Dong1,ROWS($1:62)),),""))</f>
        <v>C32</v>
      </c>
      <c r="E75" s="216" t="str">
        <f ca="1">IF(ROWS($1:62)&gt;COUNT(Dong1),"",OFFSET(TH!F$1,SMALL(Dong1,ROWS($1:62)),))</f>
        <v>VAT Cước vận chuyển</v>
      </c>
      <c r="F75" s="119" t="str">
        <f ca="1">IF(ROWS($1:62)&gt;COUNT(Dong1),"",IF(OFFSET(TH!M$1,SMALL(Dong1,ROWS($1:62)),)="1111",OFFSET(TH!L$1,SMALL(Dong1,ROWS($1:62)),),OFFSET(TH!M$1,SMALL(Dong1,ROWS($1:62)),)))</f>
        <v>1331</v>
      </c>
      <c r="G75" s="120">
        <f ca="1">IF(ROWS($1:62)&gt;COUNT(Dong1),"",IF(OFFSET(TH!L$1,SMALL(Dong1,ROWS($1:62)),)="1111",OFFSET(TH!K$1,SMALL(Dong1,ROWS($1:62)),),0))</f>
        <v>0</v>
      </c>
      <c r="H75" s="118">
        <f ca="1">IF(ROWS($1:62)&gt;COUNT(Dong1),"",IF(OFFSET(TH!M$1,SMALL(Dong1,ROWS($1:62)),)="1111",OFFSET(TH!K$1,SMALL(Dong1,ROWS($1:62)),),0))</f>
        <v>300000</v>
      </c>
      <c r="I75" s="116">
        <f t="shared" ca="1" si="3"/>
        <v>2428212626</v>
      </c>
      <c r="J75" s="121"/>
      <c r="N75" s="531"/>
      <c r="O75" s="531"/>
    </row>
    <row r="76" spans="1:15" ht="21.75" customHeight="1">
      <c r="A76" s="115">
        <f ca="1">IF(ROWS($1:63)&gt;COUNT(Dong1),"",OFFSET(TH!C$1,SMALL(Dong1,ROWS($1:63)),))</f>
        <v>41274</v>
      </c>
      <c r="B76" s="115">
        <f ca="1">IF(ROWS($1:63)&gt;COUNT(Dong1),"",OFFSET(TH!E$1,SMALL(Dong1,ROWS($1:63)),))</f>
        <v>41274</v>
      </c>
      <c r="C76" s="116" t="str">
        <f ca="1">IF(ROWS($1:63)&gt;COUNT(Dong1),"",IF(OFFSET(TH!L$1,SMALL(Dong1,ROWS($1:63)),)="1111",OFFSET(TH!D$1,SMALL(Dong1,ROWS($1:63)),),""))</f>
        <v/>
      </c>
      <c r="D76" s="117" t="str">
        <f ca="1">IF(ROWS($1:63)&gt;COUNT(Dong1),"",IF(OFFSET(TH!M$1,SMALL(Dong1,ROWS($1:63)),)="1111",OFFSET(TH!D$1,SMALL(Dong1,ROWS($1:63)),),""))</f>
        <v>C33</v>
      </c>
      <c r="E76" s="216" t="str">
        <f ca="1">IF(ROWS($1:63)&gt;COUNT(Dong1),"",OFFSET(TH!F$1,SMALL(Dong1,ROWS($1:63)),))</f>
        <v>Mực in</v>
      </c>
      <c r="F76" s="119" t="str">
        <f ca="1">IF(ROWS($1:63)&gt;COUNT(Dong1),"",IF(OFFSET(TH!M$1,SMALL(Dong1,ROWS($1:63)),)="1111",OFFSET(TH!L$1,SMALL(Dong1,ROWS($1:63)),),OFFSET(TH!M$1,SMALL(Dong1,ROWS($1:63)),)))</f>
        <v>154</v>
      </c>
      <c r="G76" s="120">
        <f ca="1">IF(ROWS($1:63)&gt;COUNT(Dong1),"",IF(OFFSET(TH!L$1,SMALL(Dong1,ROWS($1:63)),)="1111",OFFSET(TH!K$1,SMALL(Dong1,ROWS($1:63)),),0))</f>
        <v>0</v>
      </c>
      <c r="H76" s="118">
        <f ca="1">IF(ROWS($1:63)&gt;COUNT(Dong1),"",IF(OFFSET(TH!M$1,SMALL(Dong1,ROWS($1:63)),)="1111",OFFSET(TH!K$1,SMALL(Dong1,ROWS($1:63)),),0))</f>
        <v>1137500</v>
      </c>
      <c r="I76" s="116">
        <f t="shared" ca="1" si="3"/>
        <v>2427075126</v>
      </c>
      <c r="J76" s="121"/>
      <c r="N76" s="531"/>
      <c r="O76" s="531"/>
    </row>
    <row r="77" spans="1:15" ht="21.75" customHeight="1">
      <c r="A77" s="115">
        <f ca="1">IF(ROWS($1:64)&gt;COUNT(Dong1),"",OFFSET(TH!C$1,SMALL(Dong1,ROWS($1:64)),))</f>
        <v>41274</v>
      </c>
      <c r="B77" s="115">
        <f ca="1">IF(ROWS($1:64)&gt;COUNT(Dong1),"",OFFSET(TH!E$1,SMALL(Dong1,ROWS($1:64)),))</f>
        <v>41274</v>
      </c>
      <c r="C77" s="116" t="str">
        <f ca="1">IF(ROWS($1:64)&gt;COUNT(Dong1),"",IF(OFFSET(TH!L$1,SMALL(Dong1,ROWS($1:64)),)="1111",OFFSET(TH!D$1,SMALL(Dong1,ROWS($1:64)),),""))</f>
        <v/>
      </c>
      <c r="D77" s="117" t="str">
        <f ca="1">IF(ROWS($1:64)&gt;COUNT(Dong1),"",IF(OFFSET(TH!M$1,SMALL(Dong1,ROWS($1:64)),)="1111",OFFSET(TH!D$1,SMALL(Dong1,ROWS($1:64)),),""))</f>
        <v>C34</v>
      </c>
      <c r="E77" s="216" t="str">
        <f ca="1">IF(ROWS($1:64)&gt;COUNT(Dong1),"",OFFSET(TH!F$1,SMALL(Dong1,ROWS($1:64)),))</f>
        <v>Thanh toán lương T12/2012</v>
      </c>
      <c r="F77" s="119" t="str">
        <f ca="1">IF(ROWS($1:64)&gt;COUNT(Dong1),"",IF(OFFSET(TH!M$1,SMALL(Dong1,ROWS($1:64)),)="1111",OFFSET(TH!L$1,SMALL(Dong1,ROWS($1:64)),),OFFSET(TH!M$1,SMALL(Dong1,ROWS($1:64)),)))</f>
        <v>3341</v>
      </c>
      <c r="G77" s="120">
        <f ca="1">IF(ROWS($1:64)&gt;COUNT(Dong1),"",IF(OFFSET(TH!L$1,SMALL(Dong1,ROWS($1:64)),)="1111",OFFSET(TH!K$1,SMALL(Dong1,ROWS($1:64)),),0))</f>
        <v>0</v>
      </c>
      <c r="H77" s="118">
        <f ca="1">IF(ROWS($1:64)&gt;COUNT(Dong1),"",IF(OFFSET(TH!M$1,SMALL(Dong1,ROWS($1:64)),)="1111",OFFSET(TH!K$1,SMALL(Dong1,ROWS($1:64)),),0))</f>
        <v>15285000</v>
      </c>
      <c r="I77" s="116">
        <f t="shared" ca="1" si="3"/>
        <v>2411790126</v>
      </c>
      <c r="J77" s="121"/>
      <c r="N77" s="531"/>
      <c r="O77" s="531"/>
    </row>
    <row r="78" spans="1:15" ht="21.75" customHeight="1">
      <c r="A78" s="122"/>
      <c r="B78" s="121"/>
      <c r="C78" s="121"/>
      <c r="D78" s="121"/>
      <c r="E78" s="217"/>
      <c r="F78" s="123"/>
      <c r="G78" s="121"/>
      <c r="H78" s="121"/>
      <c r="I78" s="116"/>
      <c r="J78" s="121"/>
    </row>
    <row r="79" spans="1:15" s="111" customFormat="1" ht="21.75" customHeight="1">
      <c r="A79" s="124"/>
      <c r="B79" s="124"/>
      <c r="C79" s="124"/>
      <c r="D79" s="124"/>
      <c r="E79" s="124" t="s">
        <v>133</v>
      </c>
      <c r="F79" s="125" t="s">
        <v>19</v>
      </c>
      <c r="G79" s="124">
        <f ca="1">SUM(G14:G78)</f>
        <v>219757545</v>
      </c>
      <c r="H79" s="124">
        <f ca="1">SUM(H14:H78)</f>
        <v>239713953</v>
      </c>
      <c r="I79" s="125" t="s">
        <v>19</v>
      </c>
      <c r="J79" s="125" t="s">
        <v>19</v>
      </c>
    </row>
    <row r="80" spans="1:15" s="111" customFormat="1" ht="21.75" customHeight="1">
      <c r="A80" s="126"/>
      <c r="B80" s="126"/>
      <c r="C80" s="126"/>
      <c r="D80" s="126"/>
      <c r="E80" s="126" t="s">
        <v>134</v>
      </c>
      <c r="F80" s="127" t="s">
        <v>19</v>
      </c>
      <c r="G80" s="127" t="s">
        <v>19</v>
      </c>
      <c r="H80" s="127" t="s">
        <v>19</v>
      </c>
      <c r="I80" s="128">
        <f ca="1">I13+G79-H79</f>
        <v>2411790126</v>
      </c>
      <c r="J80" s="127" t="s">
        <v>19</v>
      </c>
    </row>
    <row r="81" spans="1:12">
      <c r="L81" s="239" t="s">
        <v>155</v>
      </c>
    </row>
    <row r="82" spans="1:12">
      <c r="A82" s="129" t="s">
        <v>156</v>
      </c>
      <c r="L82" s="239" t="s">
        <v>156</v>
      </c>
    </row>
    <row r="83" spans="1:12">
      <c r="A83" s="175" t="str">
        <f ca="1">"- Ngày mở sổ: "&amp;DAY($A$14)&amp;"/"&amp;MONTH($A$14)&amp;"/ " &amp;YEAR($A$14)</f>
        <v>- Ngày mở sổ: 5/10/ 2012</v>
      </c>
      <c r="L83" s="239" t="s">
        <v>135</v>
      </c>
    </row>
    <row r="84" spans="1:12">
      <c r="I84" s="184" t="str">
        <f ca="1">"Ngày "&amp;IF(OR($L$11=4,$L$11=6,$L$11=9,$L$11=11),"30",IF($L$11=2,"28","31"))&amp;" tháng "&amp;$O$11&amp;"  năm  "&amp;YEAR($A$14)</f>
        <v>Ngày 31 tháng 12  năm  2012</v>
      </c>
      <c r="L84" s="239" t="s">
        <v>153</v>
      </c>
    </row>
    <row r="85" spans="1:12" s="130" customFormat="1" ht="14.25">
      <c r="C85" s="130" t="s">
        <v>11</v>
      </c>
      <c r="E85" s="130" t="s">
        <v>12</v>
      </c>
      <c r="I85" s="130" t="s">
        <v>109</v>
      </c>
    </row>
    <row r="86" spans="1:12" s="131" customFormat="1">
      <c r="C86" s="131" t="s">
        <v>13</v>
      </c>
      <c r="E86" s="131" t="s">
        <v>13</v>
      </c>
      <c r="I86" s="131" t="s">
        <v>136</v>
      </c>
    </row>
    <row r="87" spans="1:12" s="131" customFormat="1"/>
    <row r="88" spans="1:12" s="131" customFormat="1"/>
    <row r="89" spans="1:12" s="131" customFormat="1"/>
    <row r="90" spans="1:12" s="131" customFormat="1"/>
    <row r="93" spans="1:12" ht="15.75">
      <c r="C93" s="214"/>
      <c r="I93" s="215"/>
    </row>
    <row r="94" spans="1:12">
      <c r="E94" s="106">
        <f ca="1">SUMIF($D$14:$D$36,#REF!,H14:H36)</f>
        <v>0</v>
      </c>
    </row>
    <row r="97" spans="1:10">
      <c r="A97" s="106">
        <v>2</v>
      </c>
      <c r="B97" s="106">
        <v>3</v>
      </c>
      <c r="C97" s="106">
        <v>4</v>
      </c>
      <c r="D97" s="106">
        <v>5</v>
      </c>
      <c r="E97" s="106">
        <v>6</v>
      </c>
      <c r="F97" s="106">
        <v>9</v>
      </c>
      <c r="G97" s="106">
        <v>10</v>
      </c>
      <c r="H97" s="106">
        <v>11</v>
      </c>
      <c r="I97" s="106">
        <v>12</v>
      </c>
      <c r="J97" s="106">
        <v>13</v>
      </c>
    </row>
  </sheetData>
  <autoFilter ref="A12:J80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7">
    <cfRule type="expression" dxfId="26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985" t="str">
        <f>TH!A2</f>
        <v>Địa chỉ: Thửa đất số 144, tờ bản đồ số 12TĐH.1, tổ 1, khu phố Đông Tác, Phường Tân Đông Hiệp, Thị Xã Dĩ An, Tỉnh Bình Dương, Việt Nam</v>
      </c>
      <c r="C2" s="985"/>
      <c r="D2" s="985"/>
      <c r="E2" s="985"/>
      <c r="F2" s="985"/>
      <c r="G2" s="985"/>
      <c r="H2" s="985"/>
      <c r="I2" s="985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985"/>
      <c r="C3" s="985"/>
      <c r="D3" s="985"/>
      <c r="E3" s="985"/>
      <c r="F3" s="985"/>
      <c r="G3" s="985"/>
      <c r="H3" s="985"/>
      <c r="I3" s="985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1"/>
      <c r="R3" s="189"/>
      <c r="S3" s="190" t="s">
        <v>273</v>
      </c>
      <c r="T3" s="189"/>
      <c r="U3" s="190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2"/>
      <c r="R4" s="77"/>
      <c r="S4" s="514">
        <v>4</v>
      </c>
      <c r="T4" s="77"/>
      <c r="U4" s="463" t="s">
        <v>4</v>
      </c>
      <c r="V4" s="102"/>
      <c r="W4" s="464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1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88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9"/>
      <c r="L8" s="83" t="s">
        <v>106</v>
      </c>
      <c r="M8" s="90" t="str">
        <f>IF($U$4="T","1111",IF($U$4="C",IF(ISNA(VLOOKUP($M$7,TM,13,0)),"",VLOOKUP($M$7,TM,12,0)),""))</f>
        <v>331</v>
      </c>
      <c r="N8" s="84"/>
      <c r="O8" s="84"/>
      <c r="P8" s="91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9"/>
      <c r="L9" s="87" t="s">
        <v>107</v>
      </c>
      <c r="M9" s="90" t="str">
        <f>IF($U$4="C","1111",IF($U$4="T",IF(ISNA(VLOOKUP($M$7,TM,12,0)),"",VLOOKUP($M$7,TM,13,0)),""))</f>
        <v>1111</v>
      </c>
      <c r="N9" s="84"/>
      <c r="O9" s="84"/>
      <c r="P9" s="91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2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90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2" t="str">
        <f>"Địa chỉ :"</f>
        <v>Địa chỉ :</v>
      </c>
      <c r="D11" s="58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2" t="str">
        <f>IF($U$4="T","Lý do nộp :","Lý do chi :")&amp;" "&amp;IF(ISNA(VLOOKUP($M$7,TM,6,0)),"",VLOOKUP($M$7,TM,6,0))</f>
        <v>Lý do chi : Thanh toán tiền hàng</v>
      </c>
      <c r="D12" s="58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4">
        <f ca="1">SUMIF(TM,$M$7,TH)</f>
        <v>7012500</v>
      </c>
      <c r="E13" s="58" t="s">
        <v>108</v>
      </c>
      <c r="F13" s="94"/>
      <c r="G13" s="94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&amp;[1]!VND('IN-TC'!D13,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2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2"/>
      <c r="E15" s="58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5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6"/>
      <c r="L16" s="96"/>
      <c r="M16" s="103" t="str">
        <f>H5</f>
        <v>Ngày  13  tháng  10  năm  2012</v>
      </c>
      <c r="N16" s="96"/>
      <c r="O16" s="96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7" t="s">
        <v>109</v>
      </c>
      <c r="D17" s="98"/>
      <c r="E17" s="97" t="s">
        <v>12</v>
      </c>
      <c r="F17" s="98"/>
      <c r="G17" s="98"/>
      <c r="H17" s="97" t="str">
        <f>IF($U$4="C","Thủ quỹ","Người nộp tiền")</f>
        <v>Thủ quỹ</v>
      </c>
      <c r="I17" s="58"/>
      <c r="J17" s="97" t="s">
        <v>110</v>
      </c>
      <c r="K17" s="98"/>
      <c r="L17" s="58"/>
      <c r="M17" s="99" t="str">
        <f>IF($U$4="T","Thủ quỹ","Người nhận tiền")</f>
        <v>Người nhận tiền</v>
      </c>
      <c r="N17" s="100"/>
      <c r="O17" s="100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8"/>
      <c r="B18" s="98"/>
      <c r="C18" s="101" t="s">
        <v>111</v>
      </c>
      <c r="D18" s="58"/>
      <c r="E18" s="101" t="s">
        <v>112</v>
      </c>
      <c r="F18" s="58"/>
      <c r="G18" s="58"/>
      <c r="H18" s="101" t="s">
        <v>112</v>
      </c>
      <c r="I18" s="98"/>
      <c r="J18" s="101" t="s">
        <v>112</v>
      </c>
      <c r="K18" s="58"/>
      <c r="L18" s="98"/>
      <c r="M18" s="101" t="s">
        <v>112</v>
      </c>
      <c r="N18" s="58"/>
      <c r="O18" s="58"/>
      <c r="P18" s="98"/>
      <c r="Q18" s="98"/>
      <c r="R18" s="98"/>
      <c r="S18" s="98"/>
      <c r="T18" s="98"/>
      <c r="U18" s="98"/>
      <c r="V18" s="98"/>
      <c r="W18" s="98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200"/>
      <c r="D24" s="58"/>
      <c r="E24" s="58"/>
      <c r="F24" s="58"/>
      <c r="G24" s="58"/>
      <c r="H24" s="200"/>
      <c r="I24" s="58"/>
      <c r="J24" s="200"/>
      <c r="K24" s="58"/>
      <c r="L24" s="58"/>
      <c r="M24" s="200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2"/>
      <c r="C26" s="92" t="s">
        <v>114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2"/>
      <c r="C27" s="92" t="s">
        <v>115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25" priority="2" stopIfTrue="1">
      <formula>TYPE(B6)=16</formula>
    </cfRule>
  </conditionalFormatting>
  <conditionalFormatting sqref="D10">
    <cfRule type="expression" dxfId="24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G36" sqref="G36"/>
    </sheetView>
  </sheetViews>
  <sheetFormatPr defaultRowHeight="15.75"/>
  <cols>
    <col min="1" max="1" width="7.7109375" style="170" customWidth="1"/>
    <col min="2" max="2" width="6" style="171" customWidth="1"/>
    <col min="3" max="3" width="7.7109375" style="170" customWidth="1"/>
    <col min="4" max="4" width="38.7109375" style="169" customWidth="1"/>
    <col min="5" max="5" width="7.5703125" style="169" customWidth="1"/>
    <col min="6" max="6" width="14.28515625" style="169" customWidth="1"/>
    <col min="7" max="7" width="14.5703125" style="169" customWidth="1"/>
    <col min="8" max="8" width="14.7109375" style="414" customWidth="1"/>
    <col min="9" max="9" width="6.5703125" style="169" customWidth="1"/>
    <col min="10" max="10" width="2.85546875" style="169" customWidth="1"/>
    <col min="11" max="11" width="9.140625" style="169" customWidth="1"/>
    <col min="12" max="12" width="3.28515625" style="169" customWidth="1"/>
    <col min="13" max="13" width="8" style="169" customWidth="1"/>
    <col min="14" max="15" width="3.85546875" style="169" hidden="1" customWidth="1"/>
    <col min="16" max="16" width="1.7109375" style="169" customWidth="1"/>
    <col min="17" max="17" width="12.85546875" style="169" bestFit="1" customWidth="1"/>
    <col min="18" max="18" width="12.7109375" style="169" customWidth="1"/>
    <col min="19" max="19" width="15.140625" style="169" customWidth="1"/>
    <col min="20" max="20" width="12" style="169" bestFit="1" customWidth="1"/>
    <col min="21" max="16384" width="9.140625" style="169"/>
  </cols>
  <sheetData>
    <row r="1" spans="1:20" s="135" customFormat="1" ht="16.5" customHeight="1">
      <c r="A1" s="87" t="str">
        <f>TH!A1</f>
        <v>Đơn vị: CÔNG TY TNHH MỘT THÀNH VIÊN KHỞI NGUYÊN AN</v>
      </c>
      <c r="B1" s="136"/>
      <c r="C1" s="137"/>
      <c r="F1" s="218"/>
      <c r="G1" s="220" t="s">
        <v>154</v>
      </c>
      <c r="H1" s="495"/>
      <c r="I1" s="218"/>
      <c r="K1" s="685"/>
      <c r="L1" s="685"/>
    </row>
    <row r="2" spans="1:20" s="135" customFormat="1" ht="16.5" customHeight="1">
      <c r="A2" s="221" t="str">
        <f>TH!A2</f>
        <v>Địa chỉ: Thửa đất số 144, tờ bản đồ số 12TĐH.1, tổ 1, khu phố Đông Tác, Phường Tân Đông Hiệp, Thị Xã Dĩ An, Tỉnh Bình Dương, Việt Nam</v>
      </c>
      <c r="B2" s="172"/>
      <c r="C2" s="172"/>
      <c r="D2" s="172"/>
      <c r="F2" s="986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986"/>
      <c r="H2" s="986"/>
      <c r="I2" s="219"/>
      <c r="K2" s="686"/>
      <c r="L2" s="686"/>
    </row>
    <row r="3" spans="1:20" s="135" customFormat="1" ht="16.5" customHeight="1">
      <c r="A3" s="172"/>
      <c r="B3" s="172"/>
      <c r="C3" s="172"/>
      <c r="D3" s="172"/>
      <c r="F3" s="986"/>
      <c r="G3" s="986"/>
      <c r="H3" s="986"/>
      <c r="I3" s="219"/>
    </row>
    <row r="4" spans="1:20" s="135" customFormat="1" ht="19.5" customHeight="1">
      <c r="A4" s="989" t="s">
        <v>137</v>
      </c>
      <c r="B4" s="989"/>
      <c r="C4" s="989"/>
      <c r="D4" s="989"/>
      <c r="E4" s="989"/>
      <c r="F4" s="989"/>
      <c r="G4" s="989"/>
      <c r="H4" s="989"/>
      <c r="I4" s="989"/>
    </row>
    <row r="5" spans="1:20" s="135" customFormat="1" ht="15">
      <c r="A5" s="99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990"/>
      <c r="C5" s="990"/>
      <c r="D5" s="990"/>
      <c r="E5" s="990"/>
      <c r="F5" s="990"/>
      <c r="G5" s="990"/>
      <c r="H5" s="990"/>
      <c r="I5" s="990"/>
    </row>
    <row r="6" spans="1:20" s="135" customFormat="1" ht="15">
      <c r="D6" s="245" t="s">
        <v>158</v>
      </c>
      <c r="E6" s="990" t="str">
        <f>IF($M$9="ACB","100983119","1004 148 5104 6511")</f>
        <v>1004 148 5104 6511</v>
      </c>
      <c r="F6" s="990"/>
      <c r="G6" s="990"/>
      <c r="H6" s="496" t="s">
        <v>108</v>
      </c>
      <c r="I6" s="246" t="str">
        <f>IF(H6="VNĐ","1121",IF(H6="USD","1122",""))</f>
        <v>1121</v>
      </c>
      <c r="N6" s="980" t="s">
        <v>269</v>
      </c>
      <c r="O6" s="980"/>
      <c r="Q6" s="987" t="s">
        <v>261</v>
      </c>
      <c r="R6" s="987" t="s">
        <v>351</v>
      </c>
      <c r="S6" s="987" t="s">
        <v>270</v>
      </c>
    </row>
    <row r="7" spans="1:20" s="135" customFormat="1" ht="8.25" customHeight="1" thickBot="1">
      <c r="A7" s="138"/>
      <c r="B7" s="139"/>
      <c r="C7" s="138"/>
      <c r="D7" s="139"/>
      <c r="E7" s="139"/>
      <c r="F7" s="139"/>
      <c r="G7" s="139"/>
      <c r="H7" s="497"/>
      <c r="I7" s="139"/>
      <c r="Q7" s="988"/>
      <c r="R7" s="988"/>
      <c r="S7" s="988"/>
    </row>
    <row r="8" spans="1:20" s="140" customFormat="1" ht="22.5" customHeight="1" thickBot="1">
      <c r="A8" s="993" t="s">
        <v>138</v>
      </c>
      <c r="B8" s="995" t="s">
        <v>1</v>
      </c>
      <c r="C8" s="996"/>
      <c r="D8" s="991" t="s">
        <v>0</v>
      </c>
      <c r="E8" s="997" t="s">
        <v>14</v>
      </c>
      <c r="F8" s="999" t="s">
        <v>139</v>
      </c>
      <c r="G8" s="999"/>
      <c r="H8" s="996"/>
      <c r="I8" s="991" t="s">
        <v>127</v>
      </c>
      <c r="K8" s="133"/>
      <c r="L8" s="135"/>
      <c r="N8" s="503">
        <f>IF(K9="Quý I",1,IF(K9="Quý II",4,IF(K9="Quý III",7,IF(K9="Quý IV",10,""))))</f>
        <v>10</v>
      </c>
      <c r="O8" s="504">
        <f>IF(K9="Quý I",3,IF(K9="Quý II",6,IF(K9="Quý III",9,IF(K9="Quý IV",12,""))))</f>
        <v>12</v>
      </c>
      <c r="Q8" s="448" t="s">
        <v>262</v>
      </c>
      <c r="R8" s="449">
        <v>0</v>
      </c>
      <c r="S8" s="449"/>
      <c r="T8" s="450">
        <f>SUM(R8:S8)</f>
        <v>0</v>
      </c>
    </row>
    <row r="9" spans="1:20" s="140" customFormat="1" ht="22.5" customHeight="1" thickBot="1">
      <c r="A9" s="994"/>
      <c r="B9" s="141" t="s">
        <v>15</v>
      </c>
      <c r="C9" s="142" t="s">
        <v>140</v>
      </c>
      <c r="D9" s="992"/>
      <c r="E9" s="998"/>
      <c r="F9" s="240" t="s">
        <v>141</v>
      </c>
      <c r="G9" s="143" t="s">
        <v>142</v>
      </c>
      <c r="H9" s="498" t="s">
        <v>143</v>
      </c>
      <c r="I9" s="992"/>
      <c r="K9" s="173" t="s">
        <v>332</v>
      </c>
      <c r="L9" s="135"/>
      <c r="M9" s="447" t="s">
        <v>351</v>
      </c>
      <c r="Q9" s="146"/>
      <c r="R9" s="146"/>
      <c r="S9" s="146"/>
      <c r="T9" s="146"/>
    </row>
    <row r="10" spans="1:20" s="146" customFormat="1" ht="15">
      <c r="A10" s="144" t="s">
        <v>2</v>
      </c>
      <c r="B10" s="145" t="s">
        <v>3</v>
      </c>
      <c r="C10" s="144" t="s">
        <v>4</v>
      </c>
      <c r="D10" s="145" t="s">
        <v>5</v>
      </c>
      <c r="E10" s="145" t="s">
        <v>6</v>
      </c>
      <c r="F10" s="145">
        <v>1</v>
      </c>
      <c r="G10" s="145">
        <v>2</v>
      </c>
      <c r="H10" s="145">
        <v>3</v>
      </c>
      <c r="I10" s="145" t="s">
        <v>130</v>
      </c>
      <c r="L10" s="135"/>
      <c r="Q10" s="150"/>
      <c r="R10" s="150"/>
      <c r="S10" s="150"/>
      <c r="T10" s="150"/>
    </row>
    <row r="11" spans="1:20" s="150" customFormat="1" ht="18.75" customHeight="1">
      <c r="A11" s="147"/>
      <c r="B11" s="148"/>
      <c r="C11" s="147"/>
      <c r="D11" s="149" t="s">
        <v>7</v>
      </c>
      <c r="E11" s="149"/>
      <c r="F11" s="454"/>
      <c r="G11" s="454"/>
      <c r="H11" s="454">
        <f>IF($M$9="VCB",$R$8,$S$8)+SUMIF(_N112,"x",TH)-SUMIF(_C112,"x",TH)</f>
        <v>21520176</v>
      </c>
      <c r="I11" s="451"/>
      <c r="L11" s="135"/>
      <c r="Q11" s="140"/>
      <c r="R11" s="140"/>
      <c r="S11" s="140"/>
      <c r="T11" s="140"/>
    </row>
    <row r="12" spans="1:20" s="140" customFormat="1" ht="18.75" customHeight="1">
      <c r="A12" s="151">
        <f ca="1">IF(ROWS($1:1)&gt;COUNT(Dong2),"",OFFSET(TH!C$1,SMALL(Dong2,ROWS($1:1)),))</f>
        <v>41183</v>
      </c>
      <c r="B12" s="151" t="str">
        <f ca="1">IF(ROWS($1:1)&gt;COUNT(Dong2),"",OFFSET(TH!D$1,SMALL(Dong2,ROWS($1:1)),))</f>
        <v>GBC</v>
      </c>
      <c r="C12" s="151">
        <f ca="1">IF(ROWS($1:1)&gt;COUNT(Dong2),"",OFFSET(TH!E$1,SMALL(Dong2,ROWS($1:1)),))</f>
        <v>41183</v>
      </c>
      <c r="D12" s="222" t="str">
        <f ca="1">IF(ROWS($1:1)&gt;COUNT(Dong2),"",OFFSET(TH!F$1,SMALL(Dong2,ROWS($1:1)),))</f>
        <v>Thu tiền hàng</v>
      </c>
      <c r="E12" s="151" t="str">
        <f ca="1">IF(ROWS($1:1)&gt;COUNT(Dong2),"",IF(OFFSET(TH!M$1,SMALL(Dong2,ROWS($1:1)),)=$I$6,OFFSET(TH!L$1,SMALL(Dong2,ROWS($1:1)),),OFFSET(TH!M$1,SMALL(Dong2,ROWS($1:1)),)))</f>
        <v>131</v>
      </c>
      <c r="F12" s="455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5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5">
        <f ca="1">IF(A12&lt;&gt;"",H11+F12-G12,0)</f>
        <v>29544588</v>
      </c>
      <c r="I12" s="452"/>
      <c r="L12" s="135"/>
    </row>
    <row r="13" spans="1:20" s="140" customFormat="1" ht="18.75" customHeight="1">
      <c r="A13" s="151">
        <f ca="1">IF(ROWS($1:2)&gt;COUNT(Dong2),"",OFFSET(TH!C$1,SMALL(Dong2,ROWS($1:2)),))</f>
        <v>41187</v>
      </c>
      <c r="B13" s="151" t="str">
        <f ca="1">IF(ROWS($1:2)&gt;COUNT(Dong2),"",OFFSET(TH!D$1,SMALL(Dong2,ROWS($1:2)),))</f>
        <v>T01</v>
      </c>
      <c r="C13" s="151">
        <f ca="1">IF(ROWS($1:2)&gt;COUNT(Dong2),"",OFFSET(TH!E$1,SMALL(Dong2,ROWS($1:2)),))</f>
        <v>41187</v>
      </c>
      <c r="D13" s="222" t="str">
        <f ca="1">IF(ROWS($1:2)&gt;COUNT(Dong2),"",OFFSET(TH!F$1,SMALL(Dong2,ROWS($1:2)),))</f>
        <v>Rút sec nhập quỹ tiền mặt</v>
      </c>
      <c r="E13" s="151" t="str">
        <f ca="1">IF(ROWS($1:2)&gt;COUNT(Dong2),"",IF(OFFSET(TH!M$1,SMALL(Dong2,ROWS($1:2)),)=$I$6,OFFSET(TH!L$1,SMALL(Dong2,ROWS($1:2)),),OFFSET(TH!M$1,SMALL(Dong2,ROWS($1:2)),)))</f>
        <v>1111</v>
      </c>
      <c r="F13" s="455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5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5">
        <f t="shared" ref="H13:H29" ca="1" si="0">IF(A13&lt;&gt;"",H12+F13-G13,0)</f>
        <v>1544588</v>
      </c>
      <c r="I13" s="452"/>
      <c r="L13" s="135"/>
    </row>
    <row r="14" spans="1:20" s="140" customFormat="1" ht="18.75" customHeight="1">
      <c r="A14" s="151">
        <f ca="1">IF(ROWS($1:3)&gt;COUNT(Dong2),"",OFFSET(TH!C$1,SMALL(Dong2,ROWS($1:3)),))</f>
        <v>41187</v>
      </c>
      <c r="B14" s="151" t="str">
        <f ca="1">IF(ROWS($1:3)&gt;COUNT(Dong2),"",OFFSET(TH!D$1,SMALL(Dong2,ROWS($1:3)),))</f>
        <v>GBN</v>
      </c>
      <c r="C14" s="151">
        <f ca="1">IF(ROWS($1:3)&gt;COUNT(Dong2),"",OFFSET(TH!E$1,SMALL(Dong2,ROWS($1:3)),))</f>
        <v>41187</v>
      </c>
      <c r="D14" s="222" t="str">
        <f ca="1">IF(ROWS($1:3)&gt;COUNT(Dong2),"",OFFSET(TH!F$1,SMALL(Dong2,ROWS($1:3)),))</f>
        <v>Phí cấp sec</v>
      </c>
      <c r="E14" s="151" t="str">
        <f ca="1">IF(ROWS($1:3)&gt;COUNT(Dong2),"",IF(OFFSET(TH!M$1,SMALL(Dong2,ROWS($1:3)),)=$I$6,OFFSET(TH!L$1,SMALL(Dong2,ROWS($1:3)),),OFFSET(TH!M$1,SMALL(Dong2,ROWS($1:3)),)))</f>
        <v>642</v>
      </c>
      <c r="F14" s="455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5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5">
        <f t="shared" ca="1" si="0"/>
        <v>1524588</v>
      </c>
      <c r="I14" s="452"/>
      <c r="L14" s="135"/>
    </row>
    <row r="15" spans="1:20" s="140" customFormat="1" ht="18.75" customHeight="1">
      <c r="A15" s="151">
        <f ca="1">IF(ROWS($1:4)&gt;COUNT(Dong2),"",OFFSET(TH!C$1,SMALL(Dong2,ROWS($1:4)),))</f>
        <v>41187</v>
      </c>
      <c r="B15" s="151" t="str">
        <f ca="1">IF(ROWS($1:4)&gt;COUNT(Dong2),"",OFFSET(TH!D$1,SMALL(Dong2,ROWS($1:4)),))</f>
        <v>GBN</v>
      </c>
      <c r="C15" s="151">
        <f ca="1">IF(ROWS($1:4)&gt;COUNT(Dong2),"",OFFSET(TH!E$1,SMALL(Dong2,ROWS($1:4)),))</f>
        <v>41187</v>
      </c>
      <c r="D15" s="222" t="str">
        <f ca="1">IF(ROWS($1:4)&gt;COUNT(Dong2),"",OFFSET(TH!F$1,SMALL(Dong2,ROWS($1:4)),))</f>
        <v>VAT Phí cấp sec</v>
      </c>
      <c r="E15" s="151" t="str">
        <f ca="1">IF(ROWS($1:4)&gt;COUNT(Dong2),"",IF(OFFSET(TH!M$1,SMALL(Dong2,ROWS($1:4)),)=$I$6,OFFSET(TH!L$1,SMALL(Dong2,ROWS($1:4)),),OFFSET(TH!M$1,SMALL(Dong2,ROWS($1:4)),)))</f>
        <v>1331</v>
      </c>
      <c r="F15" s="455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5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5">
        <f t="shared" ca="1" si="0"/>
        <v>1522588</v>
      </c>
      <c r="I15" s="452"/>
      <c r="L15" s="135"/>
    </row>
    <row r="16" spans="1:20" s="140" customFormat="1" ht="18.75" customHeight="1">
      <c r="A16" s="151">
        <f ca="1">IF(ROWS($1:5)&gt;COUNT(Dong2),"",OFFSET(TH!C$1,SMALL(Dong2,ROWS($1:5)),))</f>
        <v>41198</v>
      </c>
      <c r="B16" s="151" t="str">
        <f ca="1">IF(ROWS($1:5)&gt;COUNT(Dong2),"",OFFSET(TH!D$1,SMALL(Dong2,ROWS($1:5)),))</f>
        <v>GBC</v>
      </c>
      <c r="C16" s="151">
        <f ca="1">IF(ROWS($1:5)&gt;COUNT(Dong2),"",OFFSET(TH!E$1,SMALL(Dong2,ROWS($1:5)),))</f>
        <v>41198</v>
      </c>
      <c r="D16" s="222" t="str">
        <f ca="1">IF(ROWS($1:5)&gt;COUNT(Dong2),"",OFFSET(TH!F$1,SMALL(Dong2,ROWS($1:5)),))</f>
        <v>Thu tiền hàng</v>
      </c>
      <c r="E16" s="151" t="str">
        <f ca="1">IF(ROWS($1:5)&gt;COUNT(Dong2),"",IF(OFFSET(TH!M$1,SMALL(Dong2,ROWS($1:5)),)=$I$6,OFFSET(TH!L$1,SMALL(Dong2,ROWS($1:5)),),OFFSET(TH!M$1,SMALL(Dong2,ROWS($1:5)),)))</f>
        <v>131</v>
      </c>
      <c r="F16" s="455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5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5">
        <f t="shared" ca="1" si="0"/>
        <v>24254800</v>
      </c>
      <c r="I16" s="452"/>
      <c r="L16" s="135"/>
    </row>
    <row r="17" spans="1:20" s="140" customFormat="1" ht="18.75" customHeight="1">
      <c r="A17" s="151">
        <f ca="1">IF(ROWS($1:6)&gt;COUNT(Dong2),"",OFFSET(TH!C$1,SMALL(Dong2,ROWS($1:6)),))</f>
        <v>41206</v>
      </c>
      <c r="B17" s="151" t="str">
        <f ca="1">IF(ROWS($1:6)&gt;COUNT(Dong2),"",OFFSET(TH!D$1,SMALL(Dong2,ROWS($1:6)),))</f>
        <v>GBC</v>
      </c>
      <c r="C17" s="151">
        <f ca="1">IF(ROWS($1:6)&gt;COUNT(Dong2),"",OFFSET(TH!E$1,SMALL(Dong2,ROWS($1:6)),))</f>
        <v>41206</v>
      </c>
      <c r="D17" s="222" t="str">
        <f ca="1">IF(ROWS($1:6)&gt;COUNT(Dong2),"",OFFSET(TH!F$1,SMALL(Dong2,ROWS($1:6)),))</f>
        <v>Thu tiền hàng</v>
      </c>
      <c r="E17" s="151" t="str">
        <f ca="1">IF(ROWS($1:6)&gt;COUNT(Dong2),"",IF(OFFSET(TH!M$1,SMALL(Dong2,ROWS($1:6)),)=$I$6,OFFSET(TH!L$1,SMALL(Dong2,ROWS($1:6)),),OFFSET(TH!M$1,SMALL(Dong2,ROWS($1:6)),)))</f>
        <v>131</v>
      </c>
      <c r="F17" s="455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5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5">
        <f t="shared" ca="1" si="0"/>
        <v>32548800</v>
      </c>
      <c r="I17" s="452"/>
      <c r="L17" s="135"/>
    </row>
    <row r="18" spans="1:20" s="140" customFormat="1" ht="18.75" customHeight="1">
      <c r="A18" s="151">
        <f ca="1">IF(ROWS($1:7)&gt;COUNT(Dong2),"",OFFSET(TH!C$1,SMALL(Dong2,ROWS($1:7)),))</f>
        <v>41207</v>
      </c>
      <c r="B18" s="151" t="str">
        <f ca="1">IF(ROWS($1:7)&gt;COUNT(Dong2),"",OFFSET(TH!D$1,SMALL(Dong2,ROWS($1:7)),))</f>
        <v>GBN</v>
      </c>
      <c r="C18" s="151">
        <f ca="1">IF(ROWS($1:7)&gt;COUNT(Dong2),"",OFFSET(TH!E$1,SMALL(Dong2,ROWS($1:7)),))</f>
        <v>41207</v>
      </c>
      <c r="D18" s="222" t="str">
        <f ca="1">IF(ROWS($1:7)&gt;COUNT(Dong2),"",OFFSET(TH!F$1,SMALL(Dong2,ROWS($1:7)),))</f>
        <v>Thu phí quản lý tài khoản</v>
      </c>
      <c r="E18" s="151" t="str">
        <f ca="1">IF(ROWS($1:7)&gt;COUNT(Dong2),"",IF(OFFSET(TH!M$1,SMALL(Dong2,ROWS($1:7)),)=$I$6,OFFSET(TH!L$1,SMALL(Dong2,ROWS($1:7)),),OFFSET(TH!M$1,SMALL(Dong2,ROWS($1:7)),)))</f>
        <v>642</v>
      </c>
      <c r="F18" s="455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5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5">
        <f t="shared" ca="1" si="0"/>
        <v>32537800</v>
      </c>
      <c r="I18" s="452"/>
      <c r="L18" s="135"/>
    </row>
    <row r="19" spans="1:20" s="140" customFormat="1" ht="18.75" customHeight="1">
      <c r="A19" s="151">
        <f ca="1">IF(ROWS($1:8)&gt;COUNT(Dong2),"",OFFSET(TH!C$1,SMALL(Dong2,ROWS($1:8)),))</f>
        <v>41207</v>
      </c>
      <c r="B19" s="151" t="str">
        <f ca="1">IF(ROWS($1:8)&gt;COUNT(Dong2),"",OFFSET(TH!D$1,SMALL(Dong2,ROWS($1:8)),))</f>
        <v>GBC</v>
      </c>
      <c r="C19" s="151">
        <f ca="1">IF(ROWS($1:8)&gt;COUNT(Dong2),"",OFFSET(TH!E$1,SMALL(Dong2,ROWS($1:8)),))</f>
        <v>41207</v>
      </c>
      <c r="D19" s="222" t="str">
        <f ca="1">IF(ROWS($1:8)&gt;COUNT(Dong2),"",OFFSET(TH!F$1,SMALL(Dong2,ROWS($1:8)),))</f>
        <v>Lãi tiền gửi</v>
      </c>
      <c r="E19" s="151" t="str">
        <f ca="1">IF(ROWS($1:8)&gt;COUNT(Dong2),"",IF(OFFSET(TH!M$1,SMALL(Dong2,ROWS($1:8)),)=$I$6,OFFSET(TH!L$1,SMALL(Dong2,ROWS($1:8)),),OFFSET(TH!M$1,SMALL(Dong2,ROWS($1:8)),)))</f>
        <v>515</v>
      </c>
      <c r="F19" s="455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5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5">
        <f t="shared" ca="1" si="0"/>
        <v>32560096</v>
      </c>
      <c r="I19" s="452"/>
      <c r="L19" s="135"/>
    </row>
    <row r="20" spans="1:20" s="140" customFormat="1" ht="18.75" customHeight="1">
      <c r="A20" s="151">
        <f ca="1">IF(ROWS($1:9)&gt;COUNT(Dong2),"",OFFSET(TH!C$1,SMALL(Dong2,ROWS($1:9)),))</f>
        <v>41214</v>
      </c>
      <c r="B20" s="151" t="str">
        <f ca="1">IF(ROWS($1:9)&gt;COUNT(Dong2),"",OFFSET(TH!D$1,SMALL(Dong2,ROWS($1:9)),))</f>
        <v>T05</v>
      </c>
      <c r="C20" s="151">
        <f ca="1">IF(ROWS($1:9)&gt;COUNT(Dong2),"",OFFSET(TH!E$1,SMALL(Dong2,ROWS($1:9)),))</f>
        <v>41214</v>
      </c>
      <c r="D20" s="222" t="str">
        <f ca="1">IF(ROWS($1:9)&gt;COUNT(Dong2),"",OFFSET(TH!F$1,SMALL(Dong2,ROWS($1:9)),))</f>
        <v>Rút sec nhập quỹ tiền mặt</v>
      </c>
      <c r="E20" s="151" t="str">
        <f ca="1">IF(ROWS($1:9)&gt;COUNT(Dong2),"",IF(OFFSET(TH!M$1,SMALL(Dong2,ROWS($1:9)),)=$I$6,OFFSET(TH!L$1,SMALL(Dong2,ROWS($1:9)),),OFFSET(TH!M$1,SMALL(Dong2,ROWS($1:9)),)))</f>
        <v>1111</v>
      </c>
      <c r="F20" s="455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5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5">
        <f t="shared" ca="1" si="0"/>
        <v>1560096</v>
      </c>
      <c r="I20" s="452"/>
      <c r="L20" s="135"/>
    </row>
    <row r="21" spans="1:20" s="140" customFormat="1" ht="18.75" customHeight="1">
      <c r="A21" s="151">
        <f ca="1">IF(ROWS($1:10)&gt;COUNT(Dong2),"",OFFSET(TH!C$1,SMALL(Dong2,ROWS($1:10)),))</f>
        <v>41220</v>
      </c>
      <c r="B21" s="151" t="str">
        <f ca="1">IF(ROWS($1:10)&gt;COUNT(Dong2),"",OFFSET(TH!D$1,SMALL(Dong2,ROWS($1:10)),))</f>
        <v>GBC</v>
      </c>
      <c r="C21" s="151">
        <f ca="1">IF(ROWS($1:10)&gt;COUNT(Dong2),"",OFFSET(TH!E$1,SMALL(Dong2,ROWS($1:10)),))</f>
        <v>41220</v>
      </c>
      <c r="D21" s="222" t="str">
        <f ca="1">IF(ROWS($1:10)&gt;COUNT(Dong2),"",OFFSET(TH!F$1,SMALL(Dong2,ROWS($1:10)),))</f>
        <v>Thu tiền hàng</v>
      </c>
      <c r="E21" s="151" t="str">
        <f ca="1">IF(ROWS($1:10)&gt;COUNT(Dong2),"",IF(OFFSET(TH!M$1,SMALL(Dong2,ROWS($1:10)),)=$I$6,OFFSET(TH!L$1,SMALL(Dong2,ROWS($1:10)),),OFFSET(TH!M$1,SMALL(Dong2,ROWS($1:10)),)))</f>
        <v>131</v>
      </c>
      <c r="F21" s="455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5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5">
        <f t="shared" ca="1" si="0"/>
        <v>8516496</v>
      </c>
      <c r="I21" s="452"/>
      <c r="L21" s="135"/>
      <c r="Q21" s="450"/>
    </row>
    <row r="22" spans="1:20" s="140" customFormat="1" ht="18.75" customHeight="1">
      <c r="A22" s="151">
        <f ca="1">IF(ROWS($1:11)&gt;COUNT(Dong2),"",OFFSET(TH!C$1,SMALL(Dong2,ROWS($1:11)),))</f>
        <v>41236</v>
      </c>
      <c r="B22" s="151" t="str">
        <f ca="1">IF(ROWS($1:11)&gt;COUNT(Dong2),"",OFFSET(TH!D$1,SMALL(Dong2,ROWS($1:11)),))</f>
        <v>T11</v>
      </c>
      <c r="C22" s="151">
        <f ca="1">IF(ROWS($1:11)&gt;COUNT(Dong2),"",OFFSET(TH!E$1,SMALL(Dong2,ROWS($1:11)),))</f>
        <v>41236</v>
      </c>
      <c r="D22" s="222" t="str">
        <f ca="1">IF(ROWS($1:11)&gt;COUNT(Dong2),"",OFFSET(TH!F$1,SMALL(Dong2,ROWS($1:11)),))</f>
        <v>Rút sec nhập quỹ tiền mặt</v>
      </c>
      <c r="E22" s="151" t="str">
        <f ca="1">IF(ROWS($1:11)&gt;COUNT(Dong2),"",IF(OFFSET(TH!M$1,SMALL(Dong2,ROWS($1:11)),)=$I$6,OFFSET(TH!L$1,SMALL(Dong2,ROWS($1:11)),),OFFSET(TH!M$1,SMALL(Dong2,ROWS($1:11)),)))</f>
        <v>1111</v>
      </c>
      <c r="F22" s="455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5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5">
        <f t="shared" ca="1" si="0"/>
        <v>1016496</v>
      </c>
      <c r="I22" s="452"/>
      <c r="L22" s="135"/>
    </row>
    <row r="23" spans="1:20" s="140" customFormat="1" ht="18.75" customHeight="1">
      <c r="A23" s="151">
        <f ca="1">IF(ROWS($1:12)&gt;COUNT(Dong2),"",OFFSET(TH!C$1,SMALL(Dong2,ROWS($1:12)),))</f>
        <v>41238</v>
      </c>
      <c r="B23" s="151" t="str">
        <f ca="1">IF(ROWS($1:12)&gt;COUNT(Dong2),"",OFFSET(TH!D$1,SMALL(Dong2,ROWS($1:12)),))</f>
        <v>GBC</v>
      </c>
      <c r="C23" s="151">
        <f ca="1">IF(ROWS($1:12)&gt;COUNT(Dong2),"",OFFSET(TH!E$1,SMALL(Dong2,ROWS($1:12)),))</f>
        <v>41238</v>
      </c>
      <c r="D23" s="222" t="str">
        <f ca="1">IF(ROWS($1:12)&gt;COUNT(Dong2),"",OFFSET(TH!F$1,SMALL(Dong2,ROWS($1:12)),))</f>
        <v>Lãi tiền gửi</v>
      </c>
      <c r="E23" s="151" t="str">
        <f ca="1">IF(ROWS($1:12)&gt;COUNT(Dong2),"",IF(OFFSET(TH!M$1,SMALL(Dong2,ROWS($1:12)),)=$I$6,OFFSET(TH!L$1,SMALL(Dong2,ROWS($1:12)),),OFFSET(TH!M$1,SMALL(Dong2,ROWS($1:12)),)))</f>
        <v>515</v>
      </c>
      <c r="F23" s="455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5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5">
        <f t="shared" ca="1" si="0"/>
        <v>1031786</v>
      </c>
      <c r="I23" s="452"/>
      <c r="L23" s="135"/>
      <c r="Q23" s="494"/>
    </row>
    <row r="24" spans="1:20" s="140" customFormat="1" ht="18.75" customHeight="1">
      <c r="A24" s="151">
        <f ca="1">IF(ROWS($1:13)&gt;COUNT(Dong2),"",OFFSET(TH!C$1,SMALL(Dong2,ROWS($1:13)),))</f>
        <v>41238</v>
      </c>
      <c r="B24" s="151" t="str">
        <f ca="1">IF(ROWS($1:13)&gt;COUNT(Dong2),"",OFFSET(TH!D$1,SMALL(Dong2,ROWS($1:13)),))</f>
        <v>GBN</v>
      </c>
      <c r="C24" s="151">
        <f ca="1">IF(ROWS($1:13)&gt;COUNT(Dong2),"",OFFSET(TH!E$1,SMALL(Dong2,ROWS($1:13)),))</f>
        <v>41238</v>
      </c>
      <c r="D24" s="222" t="str">
        <f ca="1">IF(ROWS($1:13)&gt;COUNT(Dong2),"",OFFSET(TH!F$1,SMALL(Dong2,ROWS($1:13)),))</f>
        <v>Thu phí quản lý tài khoản</v>
      </c>
      <c r="E24" s="151" t="str">
        <f ca="1">IF(ROWS($1:13)&gt;COUNT(Dong2),"",IF(OFFSET(TH!M$1,SMALL(Dong2,ROWS($1:13)),)=$I$6,OFFSET(TH!L$1,SMALL(Dong2,ROWS($1:13)),),OFFSET(TH!M$1,SMALL(Dong2,ROWS($1:13)),)))</f>
        <v>642</v>
      </c>
      <c r="F24" s="455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5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5">
        <f t="shared" ca="1" si="0"/>
        <v>1020786</v>
      </c>
      <c r="I24" s="452"/>
      <c r="L24" s="135"/>
    </row>
    <row r="25" spans="1:20" s="140" customFormat="1" ht="18.75" customHeight="1">
      <c r="A25" s="151">
        <f ca="1">IF(ROWS($1:14)&gt;COUNT(Dong2),"",OFFSET(TH!C$1,SMALL(Dong2,ROWS($1:14)),))</f>
        <v>41242</v>
      </c>
      <c r="B25" s="151" t="str">
        <f ca="1">IF(ROWS($1:14)&gt;COUNT(Dong2),"",OFFSET(TH!D$1,SMALL(Dong2,ROWS($1:14)),))</f>
        <v>GBC</v>
      </c>
      <c r="C25" s="151">
        <f ca="1">IF(ROWS($1:14)&gt;COUNT(Dong2),"",OFFSET(TH!E$1,SMALL(Dong2,ROWS($1:14)),))</f>
        <v>41242</v>
      </c>
      <c r="D25" s="222" t="str">
        <f ca="1">IF(ROWS($1:14)&gt;COUNT(Dong2),"",OFFSET(TH!F$1,SMALL(Dong2,ROWS($1:14)),))</f>
        <v>Thu tiền hàng</v>
      </c>
      <c r="E25" s="151" t="str">
        <f ca="1">IF(ROWS($1:14)&gt;COUNT(Dong2),"",IF(OFFSET(TH!M$1,SMALL(Dong2,ROWS($1:14)),)=$I$6,OFFSET(TH!L$1,SMALL(Dong2,ROWS($1:14)),),OFFSET(TH!M$1,SMALL(Dong2,ROWS($1:14)),)))</f>
        <v>131</v>
      </c>
      <c r="F25" s="455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5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5">
        <f t="shared" ca="1" si="0"/>
        <v>9435786</v>
      </c>
      <c r="I25" s="452"/>
      <c r="L25" s="135"/>
    </row>
    <row r="26" spans="1:20" s="140" customFormat="1" ht="18.75" customHeight="1">
      <c r="A26" s="151">
        <f ca="1">IF(ROWS($1:15)&gt;COUNT(Dong2),"",OFFSET(TH!C$1,SMALL(Dong2,ROWS($1:15)),))</f>
        <v>41250</v>
      </c>
      <c r="B26" s="151" t="str">
        <f ca="1">IF(ROWS($1:15)&gt;COUNT(Dong2),"",OFFSET(TH!D$1,SMALL(Dong2,ROWS($1:15)),))</f>
        <v>T14</v>
      </c>
      <c r="C26" s="151">
        <f ca="1">IF(ROWS($1:15)&gt;COUNT(Dong2),"",OFFSET(TH!E$1,SMALL(Dong2,ROWS($1:15)),))</f>
        <v>41250</v>
      </c>
      <c r="D26" s="222" t="str">
        <f ca="1">IF(ROWS($1:15)&gt;COUNT(Dong2),"",OFFSET(TH!F$1,SMALL(Dong2,ROWS($1:15)),))</f>
        <v>Rút sec nhập quỹ tiền mặt</v>
      </c>
      <c r="E26" s="151" t="str">
        <f ca="1">IF(ROWS($1:15)&gt;COUNT(Dong2),"",IF(OFFSET(TH!M$1,SMALL(Dong2,ROWS($1:15)),)=$I$6,OFFSET(TH!L$1,SMALL(Dong2,ROWS($1:15)),),OFFSET(TH!M$1,SMALL(Dong2,ROWS($1:15)),)))</f>
        <v>1111</v>
      </c>
      <c r="F26" s="455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5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5">
        <f t="shared" ca="1" si="0"/>
        <v>1035786</v>
      </c>
      <c r="I26" s="452"/>
      <c r="L26" s="135"/>
    </row>
    <row r="27" spans="1:20" s="140" customFormat="1" ht="18.75" customHeight="1">
      <c r="A27" s="151">
        <f ca="1">IF(ROWS($1:16)&gt;COUNT(Dong2),"",OFFSET(TH!C$1,SMALL(Dong2,ROWS($1:16)),))</f>
        <v>41268</v>
      </c>
      <c r="B27" s="151" t="str">
        <f ca="1">IF(ROWS($1:16)&gt;COUNT(Dong2),"",OFFSET(TH!D$1,SMALL(Dong2,ROWS($1:16)),))</f>
        <v>GBC</v>
      </c>
      <c r="C27" s="151">
        <f ca="1">IF(ROWS($1:16)&gt;COUNT(Dong2),"",OFFSET(TH!E$1,SMALL(Dong2,ROWS($1:16)),))</f>
        <v>41268</v>
      </c>
      <c r="D27" s="222" t="str">
        <f ca="1">IF(ROWS($1:16)&gt;COUNT(Dong2),"",OFFSET(TH!F$1,SMALL(Dong2,ROWS($1:16)),))</f>
        <v>Thu tiền hàng</v>
      </c>
      <c r="E27" s="151" t="str">
        <f ca="1">IF(ROWS($1:16)&gt;COUNT(Dong2),"",IF(OFFSET(TH!M$1,SMALL(Dong2,ROWS($1:16)),)=$I$6,OFFSET(TH!L$1,SMALL(Dong2,ROWS($1:16)),),OFFSET(TH!M$1,SMALL(Dong2,ROWS($1:16)),)))</f>
        <v>131</v>
      </c>
      <c r="F27" s="455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5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5">
        <f t="shared" ca="1" si="0"/>
        <v>20113570</v>
      </c>
      <c r="I27" s="452"/>
      <c r="L27" s="135"/>
    </row>
    <row r="28" spans="1:20" s="140" customFormat="1" ht="18.75" customHeight="1">
      <c r="A28" s="151">
        <f ca="1">IF(ROWS($1:17)&gt;COUNT(Dong2),"",OFFSET(TH!C$1,SMALL(Dong2,ROWS($1:17)),))</f>
        <v>41271</v>
      </c>
      <c r="B28" s="151" t="str">
        <f ca="1">IF(ROWS($1:17)&gt;COUNT(Dong2),"",OFFSET(TH!D$1,SMALL(Dong2,ROWS($1:17)),))</f>
        <v>T18</v>
      </c>
      <c r="C28" s="151">
        <f ca="1">IF(ROWS($1:17)&gt;COUNT(Dong2),"",OFFSET(TH!E$1,SMALL(Dong2,ROWS($1:17)),))</f>
        <v>41271</v>
      </c>
      <c r="D28" s="222" t="str">
        <f ca="1">IF(ROWS($1:17)&gt;COUNT(Dong2),"",OFFSET(TH!F$1,SMALL(Dong2,ROWS($1:17)),))</f>
        <v>Rút sec nhập quỹ tiền mặt</v>
      </c>
      <c r="E28" s="151" t="str">
        <f ca="1">IF(ROWS($1:17)&gt;COUNT(Dong2),"",IF(OFFSET(TH!M$1,SMALL(Dong2,ROWS($1:17)),)=$I$6,OFFSET(TH!L$1,SMALL(Dong2,ROWS($1:17)),),OFFSET(TH!M$1,SMALL(Dong2,ROWS($1:17)),)))</f>
        <v>1111</v>
      </c>
      <c r="F28" s="455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5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5">
        <f t="shared" ca="1" si="0"/>
        <v>1113570</v>
      </c>
      <c r="I28" s="452"/>
      <c r="L28" s="135"/>
    </row>
    <row r="29" spans="1:20" s="140" customFormat="1" ht="18.75" customHeight="1">
      <c r="A29" s="151">
        <f ca="1">IF(ROWS($1:18)&gt;COUNT(Dong2),"",OFFSET(TH!C$1,SMALL(Dong2,ROWS($1:18)),))</f>
        <v>41274</v>
      </c>
      <c r="B29" s="151" t="str">
        <f ca="1">IF(ROWS($1:18)&gt;COUNT(Dong2),"",OFFSET(TH!D$1,SMALL(Dong2,ROWS($1:18)),))</f>
        <v>GBC</v>
      </c>
      <c r="C29" s="151">
        <f ca="1">IF(ROWS($1:18)&gt;COUNT(Dong2),"",OFFSET(TH!E$1,SMALL(Dong2,ROWS($1:18)),))</f>
        <v>41274</v>
      </c>
      <c r="D29" s="222" t="str">
        <f ca="1">IF(ROWS($1:18)&gt;COUNT(Dong2),"",OFFSET(TH!F$1,SMALL(Dong2,ROWS($1:18)),))</f>
        <v>Lãi tiền gửi</v>
      </c>
      <c r="E29" s="151" t="str">
        <f ca="1">IF(ROWS($1:18)&gt;COUNT(Dong2),"",IF(OFFSET(TH!M$1,SMALL(Dong2,ROWS($1:18)),)=$I$6,OFFSET(TH!L$1,SMALL(Dong2,ROWS($1:18)),),OFFSET(TH!M$1,SMALL(Dong2,ROWS($1:18)),)))</f>
        <v>515</v>
      </c>
      <c r="F29" s="455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5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5">
        <f t="shared" ca="1" si="0"/>
        <v>1120769</v>
      </c>
      <c r="I29" s="452"/>
      <c r="L29" s="135"/>
    </row>
    <row r="30" spans="1:20" s="140" customFormat="1" ht="18.75" customHeight="1">
      <c r="A30" s="151"/>
      <c r="B30" s="151"/>
      <c r="C30" s="151"/>
      <c r="D30" s="222"/>
      <c r="E30" s="151"/>
      <c r="F30" s="455"/>
      <c r="G30" s="455"/>
      <c r="H30" s="505"/>
      <c r="I30" s="452"/>
      <c r="Q30" s="150"/>
      <c r="R30" s="150"/>
      <c r="S30" s="150"/>
      <c r="T30" s="150"/>
    </row>
    <row r="31" spans="1:20" s="150" customFormat="1" ht="18.75" customHeight="1">
      <c r="A31" s="152"/>
      <c r="B31" s="153"/>
      <c r="C31" s="152"/>
      <c r="D31" s="149" t="s">
        <v>133</v>
      </c>
      <c r="E31" s="154"/>
      <c r="F31" s="454">
        <f ca="1">SUM(F12:F30)</f>
        <v>73544593</v>
      </c>
      <c r="G31" s="454">
        <f ca="1">SUM(G12:G30)</f>
        <v>93944000</v>
      </c>
      <c r="H31" s="454">
        <f ca="1">H11+F31-G31</f>
        <v>1120769</v>
      </c>
      <c r="I31" s="453"/>
    </row>
    <row r="32" spans="1:20" s="150" customFormat="1" ht="18.75" customHeight="1">
      <c r="A32" s="152"/>
      <c r="B32" s="153"/>
      <c r="C32" s="152"/>
      <c r="D32" s="149" t="s">
        <v>10</v>
      </c>
      <c r="E32" s="154"/>
      <c r="F32" s="155"/>
      <c r="G32" s="155"/>
      <c r="H32" s="454">
        <f ca="1">H31</f>
        <v>1120769</v>
      </c>
      <c r="I32" s="154"/>
    </row>
    <row r="33" spans="1:20" s="150" customFormat="1" ht="22.5" customHeight="1">
      <c r="A33" s="239" t="s">
        <v>155</v>
      </c>
      <c r="B33" s="156"/>
      <c r="F33" s="157"/>
      <c r="H33" s="499"/>
      <c r="I33" s="158"/>
    </row>
    <row r="34" spans="1:20" s="150" customFormat="1" ht="12.75">
      <c r="A34" s="175" t="str">
        <f ca="1">"- Ngày mở sổ: "&amp;DAY($A$12)&amp;"/"&amp;MONTH($A$12)&amp;"/ " &amp;YEAR($A$12)</f>
        <v>- Ngày mở sổ: 1/10/ 2012</v>
      </c>
      <c r="B34" s="159"/>
      <c r="F34" s="157"/>
      <c r="H34" s="499"/>
      <c r="I34" s="158"/>
    </row>
    <row r="35" spans="1:20" s="150" customFormat="1" ht="12.75">
      <c r="A35" s="160"/>
      <c r="B35" s="161"/>
      <c r="C35" s="162"/>
      <c r="F35" s="157"/>
      <c r="G35" s="184" t="str">
        <f ca="1">"Ngày "&amp;IF(OR($K$9=4,$K$9=6,$K$9=9,$K$9=11),"30",IF($K$9=2,"28","31"))&amp;"  tháng  "&amp;$O$8&amp;"  năm   "&amp;YEAR($A$12)</f>
        <v>Ngày 31  tháng  12  năm   2012</v>
      </c>
      <c r="H35" s="499"/>
    </row>
    <row r="36" spans="1:20" s="150" customFormat="1" ht="17.25" customHeight="1">
      <c r="B36" s="163" t="s">
        <v>11</v>
      </c>
      <c r="D36" s="163" t="s">
        <v>12</v>
      </c>
      <c r="F36" s="164"/>
      <c r="G36" s="204" t="s">
        <v>109</v>
      </c>
      <c r="H36" s="500"/>
      <c r="I36" s="223"/>
      <c r="J36" s="165"/>
      <c r="K36" s="160"/>
      <c r="L36" s="160"/>
    </row>
    <row r="37" spans="1:20" s="150" customFormat="1">
      <c r="B37" s="205" t="s">
        <v>13</v>
      </c>
      <c r="D37" s="166" t="s">
        <v>13</v>
      </c>
      <c r="F37" s="167"/>
      <c r="G37" s="206" t="s">
        <v>136</v>
      </c>
      <c r="H37" s="499"/>
      <c r="K37" s="168"/>
      <c r="L37" s="168"/>
      <c r="Q37" s="169"/>
      <c r="R37" s="169"/>
      <c r="S37" s="169"/>
      <c r="T37" s="169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A18" sqref="A18:XFD18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09" t="str">
        <f>TH!$A$1</f>
        <v>Đơn vị: CÔNG TY TNHH MỘT THÀNH VIÊN KHỞI NGUYÊN AN</v>
      </c>
    </row>
    <row r="2" spans="1:9">
      <c r="A2" s="7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272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511" t="s">
        <v>42</v>
      </c>
      <c r="D5" s="511" t="s">
        <v>43</v>
      </c>
      <c r="E5" s="511" t="s">
        <v>42</v>
      </c>
      <c r="F5" s="511" t="s">
        <v>43</v>
      </c>
      <c r="G5" s="511" t="s">
        <v>42</v>
      </c>
      <c r="H5" s="511" t="s">
        <v>43</v>
      </c>
    </row>
    <row r="6" spans="1:9" s="10" customFormat="1" ht="16.5" customHeight="1">
      <c r="A6" s="6">
        <f t="shared" ref="A6:A14" si="0">IF(B6&lt;&gt;"",ROW()-5,"")</f>
        <v>1</v>
      </c>
      <c r="B6" s="187" t="s">
        <v>448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7" t="s">
        <v>452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7" t="s">
        <v>453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7" t="s">
        <v>523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7" t="s">
        <v>455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7" t="s">
        <v>559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7" t="s">
        <v>542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7" t="s">
        <v>507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70">
        <f t="shared" si="1"/>
        <v>0</v>
      </c>
      <c r="H13" s="670">
        <f t="shared" si="2"/>
        <v>0</v>
      </c>
    </row>
    <row r="14" spans="1:9" s="10" customFormat="1" ht="16.5" customHeight="1">
      <c r="A14" s="6">
        <f t="shared" si="0"/>
        <v>9</v>
      </c>
      <c r="B14" s="187" t="s">
        <v>535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70">
        <f t="shared" si="1"/>
        <v>0</v>
      </c>
      <c r="H14" s="670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E16-CDPS!E14</f>
        <v>0</v>
      </c>
      <c r="F17" s="15">
        <f>F16-CDPS!F14</f>
        <v>0</v>
      </c>
    </row>
    <row r="19" spans="5:8">
      <c r="E19" s="15"/>
      <c r="F19" s="1000" t="s">
        <v>336</v>
      </c>
      <c r="G19" s="1000"/>
      <c r="H19" s="1000"/>
    </row>
    <row r="20" spans="5:8">
      <c r="F20" s="1000" t="s">
        <v>109</v>
      </c>
      <c r="G20" s="1000"/>
      <c r="H20" s="1000"/>
    </row>
    <row r="21" spans="5:8">
      <c r="E21" s="177"/>
      <c r="F21" s="1000" t="s">
        <v>136</v>
      </c>
      <c r="G21" s="1000"/>
      <c r="H21" s="1000"/>
    </row>
  </sheetData>
  <sortState ref="A6:I31">
    <sortCondition ref="B6:B31"/>
  </sortState>
  <mergeCells count="9">
    <mergeCell ref="F19:H19"/>
    <mergeCell ref="F20:H20"/>
    <mergeCell ref="F21:H2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5" customFormat="1" ht="14.25" customHeight="1">
      <c r="A1" s="516" t="str">
        <f>TH!A1</f>
        <v>Đơn vị: CÔNG TY TNHH MỘT THÀNH VIÊN KHỞI NGUYÊN AN</v>
      </c>
      <c r="B1" s="508"/>
      <c r="C1" s="508"/>
      <c r="G1" s="2"/>
      <c r="H1" s="1010" t="s">
        <v>46</v>
      </c>
      <c r="I1" s="1010"/>
      <c r="J1" s="1010"/>
    </row>
    <row r="2" spans="1:10" s="445" customFormat="1" ht="14.25" customHeight="1">
      <c r="A2" s="515" t="str">
        <f>TH!A2</f>
        <v>Địa chỉ: Thửa đất số 144, tờ bản đồ số 12TĐH.1, tổ 1, khu phố Đông Tác, Phường Tân Đông Hiệp, Thị Xã Dĩ An, Tỉnh Bình Dương, Việt Nam</v>
      </c>
      <c r="B2" s="508"/>
      <c r="C2" s="508"/>
      <c r="G2" s="17"/>
      <c r="H2" s="1011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11"/>
      <c r="J2" s="1011"/>
    </row>
    <row r="3" spans="1:10" s="445" customFormat="1" ht="14.25" customHeight="1">
      <c r="A3" s="510"/>
      <c r="B3" s="508"/>
      <c r="C3" s="508"/>
      <c r="G3" s="17"/>
      <c r="H3" s="1011"/>
      <c r="I3" s="1011"/>
      <c r="J3" s="1011"/>
    </row>
    <row r="4" spans="1:10" s="5" customFormat="1" ht="28.5" customHeight="1">
      <c r="A4" s="1012" t="s">
        <v>26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s="18" customFormat="1" ht="14.25" customHeight="1">
      <c r="E5" s="506" t="s">
        <v>27</v>
      </c>
    </row>
    <row r="6" spans="1:10" s="18" customFormat="1" ht="14.25" customHeight="1">
      <c r="E6" s="506" t="s">
        <v>275</v>
      </c>
    </row>
    <row r="7" spans="1:10" s="18" customFormat="1" ht="14.25" customHeight="1">
      <c r="D7" s="20" t="s">
        <v>45</v>
      </c>
      <c r="E7" s="1013" t="s">
        <v>347</v>
      </c>
      <c r="F7" s="1013"/>
      <c r="G7" s="1013"/>
      <c r="H7" s="1013"/>
    </row>
    <row r="8" spans="1:10" s="18" customFormat="1" ht="14.25" customHeight="1">
      <c r="E8" s="506" t="s">
        <v>29</v>
      </c>
    </row>
    <row r="9" spans="1:10" s="18" customFormat="1" ht="6.75" customHeight="1">
      <c r="B9" s="506"/>
      <c r="C9" s="1014"/>
      <c r="D9" s="1014"/>
      <c r="E9" s="1014"/>
      <c r="F9" s="1014"/>
      <c r="G9" s="1014"/>
      <c r="H9" s="1014"/>
      <c r="I9" s="1014"/>
      <c r="J9" s="1014"/>
    </row>
    <row r="10" spans="1:10" s="18" customFormat="1" ht="14.25" customHeight="1">
      <c r="A10" s="977" t="s">
        <v>20</v>
      </c>
      <c r="B10" s="1015" t="s">
        <v>1</v>
      </c>
      <c r="C10" s="1015"/>
      <c r="D10" s="977" t="s">
        <v>0</v>
      </c>
      <c r="E10" s="977" t="s">
        <v>14</v>
      </c>
      <c r="F10" s="977" t="s">
        <v>30</v>
      </c>
      <c r="G10" s="1008" t="s">
        <v>21</v>
      </c>
      <c r="H10" s="1009"/>
      <c r="I10" s="1008" t="s">
        <v>31</v>
      </c>
      <c r="J10" s="1009"/>
    </row>
    <row r="11" spans="1:10" s="18" customFormat="1" ht="24.75" customHeight="1">
      <c r="A11" s="977"/>
      <c r="B11" s="30" t="s">
        <v>15</v>
      </c>
      <c r="C11" s="30" t="s">
        <v>32</v>
      </c>
      <c r="D11" s="977"/>
      <c r="E11" s="977"/>
      <c r="F11" s="97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2" t="s">
        <v>2</v>
      </c>
      <c r="B12" s="513" t="s">
        <v>3</v>
      </c>
      <c r="C12" s="512" t="s">
        <v>4</v>
      </c>
      <c r="D12" s="512" t="s">
        <v>5</v>
      </c>
      <c r="E12" s="512" t="s">
        <v>6</v>
      </c>
      <c r="F12" s="512">
        <v>1</v>
      </c>
      <c r="G12" s="512">
        <v>2</v>
      </c>
      <c r="H12" s="512">
        <v>3</v>
      </c>
      <c r="I12" s="512">
        <v>4</v>
      </c>
      <c r="J12" s="512">
        <v>5</v>
      </c>
    </row>
    <row r="13" spans="1:10" s="18" customFormat="1" ht="18" customHeight="1">
      <c r="A13" s="512"/>
      <c r="B13" s="512"/>
      <c r="C13" s="512"/>
      <c r="D13" s="23" t="s">
        <v>7</v>
      </c>
      <c r="E13" s="512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3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3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3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3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3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3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3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3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3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3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3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3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3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3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3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3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3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7"/>
      <c r="B31" s="207"/>
      <c r="C31" s="207"/>
      <c r="D31" s="208"/>
      <c r="E31" s="209"/>
      <c r="F31" s="209"/>
      <c r="G31" s="210"/>
      <c r="H31" s="210"/>
      <c r="I31" s="211"/>
      <c r="J31" s="211"/>
    </row>
    <row r="32" spans="1:10" s="18" customFormat="1" ht="18" customHeight="1">
      <c r="A32" s="24"/>
      <c r="B32" s="512"/>
      <c r="C32" s="26"/>
      <c r="D32" s="23" t="s">
        <v>33</v>
      </c>
      <c r="E32" s="512" t="s">
        <v>19</v>
      </c>
      <c r="F32" s="51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2"/>
      <c r="C33" s="512"/>
      <c r="D33" s="23" t="s">
        <v>10</v>
      </c>
      <c r="E33" s="512" t="s">
        <v>19</v>
      </c>
      <c r="F33" s="51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06"/>
      <c r="C34" s="506"/>
      <c r="E34" s="506"/>
    </row>
    <row r="35" spans="1:11" s="18" customFormat="1" ht="14.25" customHeight="1">
      <c r="A35" s="28" t="s">
        <v>152</v>
      </c>
      <c r="B35" s="506"/>
      <c r="C35" s="506"/>
      <c r="E35" s="506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06"/>
      <c r="C36" s="506"/>
      <c r="E36" s="506"/>
      <c r="K36" s="28" t="s">
        <v>34</v>
      </c>
    </row>
    <row r="37" spans="1:11" s="18" customFormat="1" ht="14.25" customHeight="1">
      <c r="B37" s="506"/>
      <c r="C37" s="506"/>
      <c r="E37" s="965" t="e">
        <f ca="1">"Ngày 31 tháng  12  năm  "&amp;YEAR($A$14)</f>
        <v>#VALUE!</v>
      </c>
      <c r="F37" s="965"/>
      <c r="G37" s="965"/>
      <c r="H37" s="965"/>
      <c r="I37" s="965"/>
      <c r="J37" s="965"/>
    </row>
    <row r="38" spans="1:11" s="18" customFormat="1" ht="14.25" customHeight="1">
      <c r="C38" s="506" t="s">
        <v>11</v>
      </c>
      <c r="E38" s="965" t="s">
        <v>12</v>
      </c>
      <c r="F38" s="965"/>
      <c r="G38" s="965"/>
      <c r="H38" s="965"/>
      <c r="I38" s="965"/>
      <c r="J38" s="965"/>
    </row>
    <row r="39" spans="1:11" s="18" customFormat="1" ht="14.25" customHeight="1">
      <c r="C39" s="506" t="s">
        <v>13</v>
      </c>
      <c r="E39" s="965" t="s">
        <v>13</v>
      </c>
      <c r="F39" s="965"/>
      <c r="G39" s="965"/>
      <c r="H39" s="965"/>
      <c r="I39" s="965"/>
      <c r="J39" s="965"/>
    </row>
    <row r="40" spans="1:11" s="29" customFormat="1"/>
    <row r="46" spans="1:11" ht="15">
      <c r="C46" s="507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4"/>
  <sheetViews>
    <sheetView showZeros="0" topLeftCell="A3" workbookViewId="0">
      <pane ySplit="3" topLeftCell="A6" activePane="bottomLeft" state="frozen"/>
      <selection activeCell="A3" sqref="A3"/>
      <selection pane="bottomLeft" activeCell="A11" sqref="A11:XFD11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09" t="str">
        <f>TH!$A$1</f>
        <v>Đơn vị: CÔNG TY TNHH MỘT THÀNH VIÊN KHỞI NGUYÊN AN</v>
      </c>
    </row>
    <row r="2" spans="1:9">
      <c r="A2" s="710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1001" t="s">
        <v>102</v>
      </c>
      <c r="B3" s="1001"/>
      <c r="C3" s="1001"/>
      <c r="D3" s="1001"/>
      <c r="E3" s="1001"/>
      <c r="F3" s="1001"/>
      <c r="G3" s="1001"/>
      <c r="H3" s="1001"/>
    </row>
    <row r="4" spans="1:9" s="10" customFormat="1" ht="14.25" customHeight="1">
      <c r="A4" s="1002" t="s">
        <v>35</v>
      </c>
      <c r="B4" s="1004" t="s">
        <v>36</v>
      </c>
      <c r="C4" s="1006" t="s">
        <v>37</v>
      </c>
      <c r="D4" s="1007"/>
      <c r="E4" s="1006" t="s">
        <v>38</v>
      </c>
      <c r="F4" s="1007"/>
      <c r="G4" s="1006" t="s">
        <v>41</v>
      </c>
      <c r="H4" s="1007"/>
    </row>
    <row r="5" spans="1:9" s="10" customFormat="1" ht="14.25" customHeight="1">
      <c r="A5" s="1003"/>
      <c r="B5" s="1005"/>
      <c r="C5" s="191" t="s">
        <v>42</v>
      </c>
      <c r="D5" s="191" t="s">
        <v>43</v>
      </c>
      <c r="E5" s="191" t="s">
        <v>42</v>
      </c>
      <c r="F5" s="191" t="s">
        <v>43</v>
      </c>
      <c r="G5" s="191" t="s">
        <v>42</v>
      </c>
      <c r="H5" s="191" t="s">
        <v>43</v>
      </c>
    </row>
    <row r="6" spans="1:9" s="10" customFormat="1" ht="16.5" customHeight="1">
      <c r="A6" s="6">
        <f>IF(B6&lt;&gt;"",ROW()-5,"")</f>
        <v>1</v>
      </c>
      <c r="B6" s="7" t="s">
        <v>363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IF(ISNA(VLOOKUP(B6,'331'!$B$4:$B$14,1,0)),"","x")</f>
        <v>x</v>
      </c>
    </row>
    <row r="7" spans="1:9" s="10" customFormat="1" ht="16.5" customHeight="1">
      <c r="A7" s="6">
        <f t="shared" ref="A7" si="2">IF(B7&lt;&gt;"",ROW()-5,"")</f>
        <v>2</v>
      </c>
      <c r="B7" s="7" t="s">
        <v>386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IF(ISNA(VLOOKUP(B7,'331'!$B$4:$B$14,1,0)),"","x")</f>
        <v>x</v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59"/>
      <c r="F8" s="459"/>
      <c r="G8" s="460"/>
      <c r="H8" s="460"/>
      <c r="I8" s="10" t="str">
        <f>IF(ISNA(VLOOKUP(B8,'331'!$B$4:$B$14,1,0)),"","x")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E9-CDPS!E21</f>
        <v>0</v>
      </c>
      <c r="F10" s="15">
        <f>F9-CDPS!F21</f>
        <v>0</v>
      </c>
    </row>
    <row r="12" spans="1:9">
      <c r="E12" s="15"/>
      <c r="F12" s="1000" t="s">
        <v>336</v>
      </c>
      <c r="G12" s="1000"/>
      <c r="H12" s="1000"/>
    </row>
    <row r="13" spans="1:9">
      <c r="F13" s="1000" t="s">
        <v>109</v>
      </c>
      <c r="G13" s="1000"/>
      <c r="H13" s="1000"/>
    </row>
    <row r="14" spans="1:9">
      <c r="E14" s="177"/>
      <c r="F14" s="1000" t="s">
        <v>136</v>
      </c>
      <c r="G14" s="1000"/>
      <c r="H14" s="1000"/>
    </row>
  </sheetData>
  <mergeCells count="9">
    <mergeCell ref="F12:H12"/>
    <mergeCell ref="F13:H13"/>
    <mergeCell ref="F14:H14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16" t="str">
        <f>TH!A1</f>
        <v>Đơn vị: CÔNG TY TNHH MỘT THÀNH VIÊN KHỞI NGUYÊN AN</v>
      </c>
      <c r="B1" s="16"/>
      <c r="C1" s="16"/>
      <c r="G1" s="2"/>
      <c r="H1" s="1010" t="s">
        <v>46</v>
      </c>
      <c r="I1" s="1010"/>
      <c r="J1" s="1010"/>
    </row>
    <row r="2" spans="1:10" s="3" customFormat="1" ht="14.25" customHeight="1">
      <c r="A2" s="515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1011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11"/>
      <c r="J2" s="1011"/>
    </row>
    <row r="3" spans="1:10" s="3" customFormat="1" ht="14.25" customHeight="1">
      <c r="A3" s="4"/>
      <c r="B3" s="16"/>
      <c r="C3" s="16"/>
      <c r="G3" s="17"/>
      <c r="H3" s="1011"/>
      <c r="I3" s="1011"/>
      <c r="J3" s="1011"/>
    </row>
    <row r="4" spans="1:10" s="5" customFormat="1" ht="28.5" customHeight="1">
      <c r="A4" s="1012" t="s">
        <v>26</v>
      </c>
      <c r="B4" s="1012"/>
      <c r="C4" s="1012"/>
      <c r="D4" s="1012"/>
      <c r="E4" s="1012"/>
      <c r="F4" s="1012"/>
      <c r="G4" s="1012"/>
      <c r="H4" s="1012"/>
      <c r="I4" s="1012"/>
      <c r="J4" s="1012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13" t="s">
        <v>363</v>
      </c>
      <c r="F7" s="1013"/>
      <c r="G7" s="1013"/>
      <c r="H7" s="1013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14"/>
      <c r="D9" s="1014"/>
      <c r="E9" s="1014"/>
      <c r="F9" s="1014"/>
      <c r="G9" s="1014"/>
      <c r="H9" s="1014"/>
      <c r="I9" s="1014"/>
      <c r="J9" s="1014"/>
    </row>
    <row r="10" spans="1:10" s="18" customFormat="1" ht="14.25" customHeight="1">
      <c r="A10" s="977" t="s">
        <v>20</v>
      </c>
      <c r="B10" s="1015" t="s">
        <v>1</v>
      </c>
      <c r="C10" s="1015"/>
      <c r="D10" s="977" t="s">
        <v>0</v>
      </c>
      <c r="E10" s="977" t="s">
        <v>14</v>
      </c>
      <c r="F10" s="977" t="s">
        <v>30</v>
      </c>
      <c r="G10" s="1008" t="s">
        <v>21</v>
      </c>
      <c r="H10" s="1009"/>
      <c r="I10" s="1008" t="s">
        <v>31</v>
      </c>
      <c r="J10" s="1009"/>
    </row>
    <row r="11" spans="1:10" s="18" customFormat="1" ht="24.75" customHeight="1">
      <c r="A11" s="977"/>
      <c r="B11" s="30" t="s">
        <v>15</v>
      </c>
      <c r="C11" s="30" t="s">
        <v>32</v>
      </c>
      <c r="D11" s="977"/>
      <c r="E11" s="977"/>
      <c r="F11" s="977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3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3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3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3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3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3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3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3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3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3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3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3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3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3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3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3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3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C09</v>
      </c>
      <c r="C31" s="9">
        <f ca="1">IF(ROWS($1:18)&gt;COUNT(Dong),"",OFFSET(TH!E$1,SMALL(Dong,ROWS($1:18)),))</f>
        <v>41172</v>
      </c>
      <c r="D31" s="213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3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3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3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3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3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3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3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3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3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3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3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3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3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3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3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3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C11</v>
      </c>
      <c r="C48" s="9">
        <f ca="1">IF(ROWS($1:35)&gt;COUNT(Dong),"",OFFSET(TH!E$1,SMALL(Dong,ROWS($1:35)),))</f>
        <v>41215</v>
      </c>
      <c r="D48" s="213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3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3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65" t="str">
        <f ca="1">"Ngày 31 tháng  12  năm  "&amp;YEAR($A$14)</f>
        <v>Ngày 31 tháng  12  năm  2012</v>
      </c>
      <c r="F56" s="965"/>
      <c r="G56" s="965"/>
      <c r="H56" s="965"/>
      <c r="I56" s="965"/>
      <c r="J56" s="965"/>
    </row>
    <row r="57" spans="1:11" s="18" customFormat="1" ht="14.25" customHeight="1">
      <c r="C57" s="201" t="s">
        <v>11</v>
      </c>
      <c r="E57" s="965" t="s">
        <v>12</v>
      </c>
      <c r="F57" s="965"/>
      <c r="G57" s="965"/>
      <c r="H57" s="965"/>
      <c r="I57" s="965"/>
      <c r="J57" s="965"/>
    </row>
    <row r="58" spans="1:11" s="18" customFormat="1" ht="14.25" customHeight="1">
      <c r="C58" s="201" t="s">
        <v>13</v>
      </c>
      <c r="E58" s="965" t="s">
        <v>13</v>
      </c>
      <c r="F58" s="965"/>
      <c r="G58" s="965"/>
      <c r="H58" s="965"/>
      <c r="I58" s="965"/>
      <c r="J58" s="965"/>
    </row>
    <row r="59" spans="1:11" s="29" customFormat="1"/>
    <row r="65" spans="3:3" ht="15">
      <c r="C65" s="212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7" zoomScale="90" workbookViewId="0">
      <selection activeCell="E21" sqref="E21:N21"/>
    </sheetView>
  </sheetViews>
  <sheetFormatPr defaultRowHeight="15"/>
  <cols>
    <col min="1" max="1" width="9.7109375" style="248" customWidth="1"/>
    <col min="2" max="2" width="7" style="248" customWidth="1"/>
    <col min="3" max="3" width="9.140625" style="248"/>
    <col min="4" max="4" width="40.140625" style="248" customWidth="1"/>
    <col min="5" max="5" width="6.5703125" style="248" customWidth="1"/>
    <col min="6" max="8" width="10" style="248" customWidth="1"/>
    <col min="9" max="9" width="13.7109375" style="248" customWidth="1"/>
    <col min="10" max="10" width="10" style="248" customWidth="1"/>
    <col min="11" max="11" width="8.7109375" style="248" customWidth="1"/>
    <col min="12" max="12" width="15" style="248" customWidth="1"/>
    <col min="13" max="13" width="10" style="248" customWidth="1"/>
    <col min="14" max="14" width="9.42578125" style="248" customWidth="1"/>
    <col min="15" max="16384" width="9.140625" style="248"/>
  </cols>
  <sheetData>
    <row r="2" spans="1:14">
      <c r="A2" s="709" t="str">
        <f>TH!$A$1</f>
        <v>Đơn vị: CÔNG TY TNHH MỘT THÀNH VIÊN KHỞI NGUYÊN AN</v>
      </c>
      <c r="C2" s="249"/>
      <c r="F2" s="250"/>
      <c r="G2" s="250"/>
      <c r="H2" s="250"/>
      <c r="I2" s="250"/>
      <c r="J2" s="1017" t="s">
        <v>167</v>
      </c>
      <c r="K2" s="1017"/>
      <c r="L2" s="1017"/>
      <c r="M2" s="1017"/>
      <c r="N2" s="250"/>
    </row>
    <row r="3" spans="1:14">
      <c r="A3" s="710" t="str">
        <f>TH!$A$2</f>
        <v>Địa chỉ: Thửa đất số 144, tờ bản đồ số 12TĐH.1, tổ 1, khu phố Đông Tác, Phường Tân Đông Hiệp, Thị Xã Dĩ An, Tỉnh Bình Dương, Việt Nam</v>
      </c>
      <c r="C3" s="249"/>
      <c r="F3" s="251"/>
      <c r="G3" s="251"/>
      <c r="H3" s="251"/>
      <c r="I3" s="251"/>
      <c r="J3" s="1016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16"/>
      <c r="L3" s="1016"/>
      <c r="M3" s="1016"/>
      <c r="N3" s="251"/>
    </row>
    <row r="4" spans="1:14">
      <c r="F4" s="251"/>
      <c r="G4" s="251"/>
      <c r="H4" s="251"/>
      <c r="I4" s="251"/>
      <c r="J4" s="1016"/>
      <c r="K4" s="1016"/>
      <c r="L4" s="1016"/>
      <c r="M4" s="1016"/>
      <c r="N4" s="251"/>
    </row>
    <row r="5" spans="1:14" s="252" customFormat="1" ht="23.25" customHeight="1">
      <c r="A5" s="1026" t="s">
        <v>168</v>
      </c>
      <c r="B5" s="1026"/>
      <c r="C5" s="1026"/>
      <c r="D5" s="1026"/>
      <c r="E5" s="1026"/>
      <c r="F5" s="1026"/>
      <c r="G5" s="1026"/>
      <c r="H5" s="1026"/>
      <c r="I5" s="1026"/>
      <c r="J5" s="1026"/>
      <c r="K5" s="1026"/>
      <c r="L5" s="1026"/>
      <c r="M5" s="1026"/>
      <c r="N5" s="1026"/>
    </row>
    <row r="6" spans="1:14">
      <c r="A6" s="1017" t="s">
        <v>605</v>
      </c>
      <c r="B6" s="1017" t="s">
        <v>169</v>
      </c>
      <c r="C6" s="1017"/>
      <c r="D6" s="1017"/>
      <c r="E6" s="1017"/>
      <c r="F6" s="1017"/>
      <c r="G6" s="1017"/>
      <c r="H6" s="1017"/>
      <c r="I6" s="1017"/>
      <c r="J6" s="1017"/>
      <c r="K6" s="1017"/>
      <c r="L6" s="1017"/>
      <c r="M6" s="1017"/>
      <c r="N6" s="1017"/>
    </row>
    <row r="7" spans="1:14">
      <c r="C7" s="1027"/>
      <c r="D7" s="1027"/>
      <c r="E7" s="1027"/>
      <c r="F7" s="1027"/>
      <c r="G7" s="1027"/>
      <c r="H7" s="1027"/>
      <c r="I7" s="1027"/>
      <c r="J7" s="1027"/>
      <c r="K7" s="1027"/>
      <c r="L7" s="1027"/>
      <c r="M7" s="1027"/>
      <c r="N7" s="1027"/>
    </row>
    <row r="8" spans="1:14" ht="15.75" customHeight="1">
      <c r="A8" s="1020" t="s">
        <v>20</v>
      </c>
      <c r="B8" s="1028" t="s">
        <v>1</v>
      </c>
      <c r="C8" s="1029"/>
      <c r="D8" s="1020" t="s">
        <v>0</v>
      </c>
      <c r="E8" s="1020" t="s">
        <v>14</v>
      </c>
      <c r="F8" s="1019" t="s">
        <v>21</v>
      </c>
      <c r="G8" s="1019"/>
      <c r="H8" s="1019"/>
      <c r="I8" s="1019"/>
      <c r="J8" s="1019"/>
      <c r="K8" s="1019"/>
      <c r="L8" s="1019" t="s">
        <v>31</v>
      </c>
      <c r="M8" s="1019"/>
      <c r="N8" s="1019"/>
    </row>
    <row r="9" spans="1:14" ht="15.75" customHeight="1">
      <c r="A9" s="1020"/>
      <c r="B9" s="1030"/>
      <c r="C9" s="1031"/>
      <c r="D9" s="1020"/>
      <c r="E9" s="1020"/>
      <c r="F9" s="1019" t="s">
        <v>170</v>
      </c>
      <c r="G9" s="1019"/>
      <c r="H9" s="1019"/>
      <c r="I9" s="1019" t="s">
        <v>171</v>
      </c>
      <c r="J9" s="1019"/>
      <c r="K9" s="1019"/>
      <c r="L9" s="1020" t="s">
        <v>172</v>
      </c>
      <c r="M9" s="1020" t="s">
        <v>173</v>
      </c>
      <c r="N9" s="1020" t="s">
        <v>174</v>
      </c>
    </row>
    <row r="10" spans="1:14" ht="15.75" customHeight="1">
      <c r="A10" s="1020"/>
      <c r="B10" s="1022" t="s">
        <v>15</v>
      </c>
      <c r="C10" s="1022" t="s">
        <v>32</v>
      </c>
      <c r="D10" s="1020"/>
      <c r="E10" s="1020"/>
      <c r="F10" s="1024" t="s">
        <v>172</v>
      </c>
      <c r="G10" s="1024" t="s">
        <v>173</v>
      </c>
      <c r="H10" s="1024" t="s">
        <v>174</v>
      </c>
      <c r="I10" s="1024" t="s">
        <v>172</v>
      </c>
      <c r="J10" s="1024" t="s">
        <v>173</v>
      </c>
      <c r="K10" s="1024" t="s">
        <v>174</v>
      </c>
      <c r="L10" s="1021"/>
      <c r="M10" s="1021"/>
      <c r="N10" s="1021"/>
    </row>
    <row r="11" spans="1:14">
      <c r="A11" s="1020"/>
      <c r="B11" s="1023"/>
      <c r="C11" s="1023"/>
      <c r="D11" s="1020"/>
      <c r="E11" s="1020"/>
      <c r="F11" s="1025"/>
      <c r="G11" s="1025"/>
      <c r="H11" s="1025"/>
      <c r="I11" s="1025"/>
      <c r="J11" s="1025"/>
      <c r="K11" s="1025"/>
      <c r="L11" s="1021"/>
      <c r="M11" s="1021"/>
      <c r="N11" s="1021"/>
    </row>
    <row r="12" spans="1:14" s="251" customFormat="1">
      <c r="A12" s="253" t="s">
        <v>2</v>
      </c>
      <c r="B12" s="254" t="s">
        <v>3</v>
      </c>
      <c r="C12" s="253" t="s">
        <v>4</v>
      </c>
      <c r="D12" s="253" t="s">
        <v>5</v>
      </c>
      <c r="E12" s="253" t="s">
        <v>6</v>
      </c>
      <c r="F12" s="253">
        <v>1</v>
      </c>
      <c r="G12" s="253"/>
      <c r="H12" s="253"/>
      <c r="I12" s="253"/>
      <c r="J12" s="253"/>
      <c r="K12" s="253"/>
      <c r="L12" s="253"/>
      <c r="M12" s="253"/>
      <c r="N12" s="253"/>
    </row>
    <row r="13" spans="1:14">
      <c r="A13" s="255"/>
      <c r="B13" s="255"/>
      <c r="C13" s="714"/>
      <c r="D13" s="256" t="s">
        <v>7</v>
      </c>
      <c r="E13" s="255"/>
      <c r="F13" s="255"/>
      <c r="G13" s="255"/>
      <c r="H13" s="255"/>
      <c r="I13" s="255"/>
      <c r="J13" s="255"/>
      <c r="K13" s="255"/>
      <c r="L13" s="257">
        <f>CDPS!$D$33</f>
        <v>0</v>
      </c>
      <c r="M13" s="255"/>
      <c r="N13" s="255"/>
    </row>
    <row r="14" spans="1:14">
      <c r="A14" s="713">
        <f>C14</f>
        <v>41122</v>
      </c>
      <c r="B14" s="624" t="s">
        <v>290</v>
      </c>
      <c r="C14" s="713">
        <v>41122</v>
      </c>
      <c r="D14" s="258" t="s">
        <v>604</v>
      </c>
      <c r="E14" s="624" t="s">
        <v>47</v>
      </c>
      <c r="F14" s="258"/>
      <c r="G14" s="258"/>
      <c r="H14" s="258"/>
      <c r="I14" s="323">
        <v>2500000000</v>
      </c>
      <c r="J14" s="258"/>
      <c r="K14" s="258"/>
      <c r="L14" s="626">
        <f>L13+I14-G14</f>
        <v>2500000000</v>
      </c>
      <c r="M14" s="258"/>
      <c r="N14" s="258"/>
    </row>
    <row r="15" spans="1:14">
      <c r="A15" s="624"/>
      <c r="B15" s="258"/>
      <c r="C15" s="624"/>
      <c r="D15" s="259"/>
      <c r="E15" s="259"/>
      <c r="F15" s="259"/>
      <c r="G15" s="259"/>
      <c r="H15" s="259"/>
      <c r="I15" s="259"/>
      <c r="J15" s="259"/>
      <c r="K15" s="259"/>
      <c r="L15" s="259"/>
      <c r="M15" s="259"/>
      <c r="N15" s="259"/>
    </row>
    <row r="16" spans="1:14">
      <c r="A16" s="624"/>
      <c r="B16" s="258"/>
      <c r="C16" s="624"/>
      <c r="D16" s="260" t="s">
        <v>133</v>
      </c>
      <c r="E16" s="465" t="s">
        <v>19</v>
      </c>
      <c r="F16" s="261"/>
      <c r="G16" s="261"/>
      <c r="H16" s="261"/>
      <c r="I16" s="625">
        <f>SUM(I13:I15)</f>
        <v>2500000000</v>
      </c>
      <c r="J16" s="261"/>
      <c r="K16" s="261"/>
      <c r="L16" s="627">
        <f>L13+I16-F16</f>
        <v>2500000000</v>
      </c>
      <c r="M16" s="261"/>
      <c r="N16" s="261"/>
    </row>
    <row r="17" spans="1:14">
      <c r="A17" s="262"/>
      <c r="B17" s="262"/>
      <c r="C17" s="262"/>
      <c r="D17" s="263" t="s">
        <v>10</v>
      </c>
      <c r="E17" s="466" t="s">
        <v>19</v>
      </c>
      <c r="F17" s="262"/>
      <c r="G17" s="262"/>
      <c r="H17" s="262"/>
      <c r="I17" s="262"/>
      <c r="J17" s="262"/>
      <c r="K17" s="262"/>
      <c r="L17" s="264">
        <f>L13+L16</f>
        <v>2500000000</v>
      </c>
      <c r="M17" s="262"/>
      <c r="N17" s="262"/>
    </row>
    <row r="19" spans="1:14">
      <c r="C19" s="265" t="s">
        <v>175</v>
      </c>
    </row>
    <row r="20" spans="1:14">
      <c r="C20" s="175" t="str">
        <f>"- Ngày mở sổ: "&amp;DAY(A14)&amp;"/"&amp;MONTH(A14)&amp;"/ " &amp;YEAR(A14)</f>
        <v>- Ngày mở sổ: 1/8/ 2012</v>
      </c>
    </row>
    <row r="21" spans="1:14">
      <c r="B21" s="266"/>
      <c r="C21" s="266"/>
      <c r="D21" s="266"/>
      <c r="E21" s="1018" t="str">
        <f>"Ngày 31 tháng  12  năm  "&amp;YEAR($A$14)</f>
        <v>Ngày 31 tháng  12  năm  2012</v>
      </c>
      <c r="F21" s="1018"/>
      <c r="G21" s="1018"/>
      <c r="H21" s="1018"/>
      <c r="I21" s="1018"/>
      <c r="J21" s="1018"/>
      <c r="K21" s="1018"/>
      <c r="L21" s="1018"/>
      <c r="M21" s="1018"/>
      <c r="N21" s="1018"/>
    </row>
    <row r="22" spans="1:14">
      <c r="A22" s="1018" t="s">
        <v>11</v>
      </c>
      <c r="B22" s="1018"/>
      <c r="C22" s="1018"/>
      <c r="D22" s="1018"/>
      <c r="E22" s="1018" t="s">
        <v>12</v>
      </c>
      <c r="F22" s="1018"/>
      <c r="G22" s="1018"/>
      <c r="H22" s="1018"/>
      <c r="I22" s="1018"/>
      <c r="J22" s="1018"/>
      <c r="K22" s="1018"/>
      <c r="L22" s="1018"/>
      <c r="M22" s="1018"/>
      <c r="N22" s="1018"/>
    </row>
    <row r="23" spans="1:14">
      <c r="A23" s="1018" t="s">
        <v>13</v>
      </c>
      <c r="B23" s="1018"/>
      <c r="C23" s="1018"/>
      <c r="D23" s="1018"/>
      <c r="E23" s="1018" t="s">
        <v>13</v>
      </c>
      <c r="F23" s="1018"/>
      <c r="G23" s="1018"/>
      <c r="H23" s="1018"/>
      <c r="I23" s="1018"/>
      <c r="J23" s="1018"/>
      <c r="K23" s="1018"/>
      <c r="L23" s="1018"/>
      <c r="M23" s="1018"/>
      <c r="N23" s="1018"/>
    </row>
  </sheetData>
  <mergeCells count="29"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L61" sqref="L61"/>
    </sheetView>
  </sheetViews>
  <sheetFormatPr defaultRowHeight="12.75"/>
  <cols>
    <col min="1" max="1" width="3.7109375" style="272" customWidth="1"/>
    <col min="2" max="2" width="3.42578125" style="272" customWidth="1"/>
    <col min="3" max="3" width="34" style="272" customWidth="1"/>
    <col min="4" max="4" width="7.7109375" style="275" customWidth="1"/>
    <col min="5" max="5" width="6.7109375" style="282" customWidth="1"/>
    <col min="6" max="6" width="7.5703125" style="282" customWidth="1"/>
    <col min="7" max="7" width="8" style="277" customWidth="1"/>
    <col min="8" max="8" width="12.140625" style="277" customWidth="1"/>
    <col min="9" max="9" width="7.85546875" style="277" customWidth="1"/>
    <col min="10" max="10" width="11.7109375" style="277" customWidth="1"/>
    <col min="11" max="11" width="7.85546875" style="277" customWidth="1"/>
    <col min="12" max="12" width="13" style="277" customWidth="1"/>
    <col min="13" max="13" width="9" style="272" customWidth="1"/>
    <col min="14" max="14" width="11.140625" style="277" bestFit="1" customWidth="1"/>
    <col min="15" max="16384" width="9.140625" style="272"/>
  </cols>
  <sheetData>
    <row r="1" spans="1:14" s="247" customFormat="1" ht="14.25" customHeight="1">
      <c r="A1" s="445"/>
      <c r="B1" s="709" t="str">
        <f>TH!$A$1</f>
        <v>Đơn vị: CÔNG TY TNHH MỘT THÀNH VIÊN KHỞI NGUYÊN AN</v>
      </c>
      <c r="C1" s="267"/>
      <c r="D1" s="267"/>
      <c r="E1" s="267"/>
      <c r="F1" s="268"/>
      <c r="G1" s="268"/>
      <c r="H1" s="1010" t="s">
        <v>176</v>
      </c>
      <c r="I1" s="1010"/>
      <c r="J1" s="1010"/>
      <c r="K1" s="1010"/>
      <c r="L1" s="1010"/>
      <c r="M1" s="628"/>
      <c r="N1" s="629"/>
    </row>
    <row r="2" spans="1:14" s="247" customFormat="1" ht="14.25" customHeight="1">
      <c r="A2" s="445"/>
      <c r="B2" s="710" t="str">
        <f>TH!$A$2</f>
        <v>Địa chỉ: Thửa đất số 144, tờ bản đồ số 12TĐH.1, tổ 1, khu phố Đông Tác, Phường Tân Đông Hiệp, Thị Xã Dĩ An, Tỉnh Bình Dương, Việt Nam</v>
      </c>
      <c r="C2" s="269"/>
      <c r="D2" s="269"/>
      <c r="E2" s="269"/>
      <c r="F2" s="269"/>
      <c r="G2" s="269"/>
      <c r="H2" s="1011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1011"/>
      <c r="J2" s="1011"/>
      <c r="K2" s="1011"/>
      <c r="L2" s="1011"/>
      <c r="M2" s="634"/>
      <c r="N2" s="629"/>
    </row>
    <row r="3" spans="1:14" s="247" customFormat="1" ht="14.25" customHeight="1">
      <c r="A3" s="445"/>
      <c r="B3" s="269"/>
      <c r="C3" s="269"/>
      <c r="D3" s="269"/>
      <c r="E3" s="269"/>
      <c r="F3" s="269"/>
      <c r="G3" s="269"/>
      <c r="H3" s="1011"/>
      <c r="I3" s="1011"/>
      <c r="J3" s="1011"/>
      <c r="K3" s="1011"/>
      <c r="L3" s="1011"/>
      <c r="M3" s="635"/>
      <c r="N3" s="629"/>
    </row>
    <row r="4" spans="1:14" s="270" customFormat="1" ht="27.75" customHeight="1">
      <c r="B4" s="1033" t="s">
        <v>177</v>
      </c>
      <c r="C4" s="1033"/>
      <c r="D4" s="1033"/>
      <c r="E4" s="1033"/>
      <c r="F4" s="1033"/>
      <c r="G4" s="1033"/>
      <c r="H4" s="1033"/>
      <c r="I4" s="1033"/>
      <c r="J4" s="1033"/>
      <c r="K4" s="1033"/>
      <c r="L4" s="1033"/>
      <c r="N4" s="630"/>
    </row>
    <row r="5" spans="1:14" s="270" customFormat="1" ht="15" customHeight="1">
      <c r="B5" s="1032" t="s">
        <v>178</v>
      </c>
      <c r="C5" s="1032"/>
      <c r="D5" s="1032"/>
      <c r="E5" s="1032"/>
      <c r="F5" s="1032"/>
      <c r="G5" s="1032"/>
      <c r="H5" s="1032"/>
      <c r="I5" s="1032"/>
      <c r="J5" s="1032"/>
      <c r="K5" s="1032"/>
      <c r="L5" s="1032"/>
      <c r="N5" s="630"/>
    </row>
    <row r="6" spans="1:14" s="270" customFormat="1" ht="12.75" hidden="1" customHeight="1">
      <c r="B6" s="1032" t="s">
        <v>179</v>
      </c>
      <c r="C6" s="1032"/>
      <c r="D6" s="1032"/>
      <c r="E6" s="1032"/>
      <c r="F6" s="1032"/>
      <c r="G6" s="1032"/>
      <c r="H6" s="1032"/>
      <c r="I6" s="1032"/>
      <c r="J6" s="1032"/>
      <c r="K6" s="1032"/>
      <c r="L6" s="1032"/>
      <c r="N6" s="630"/>
    </row>
    <row r="7" spans="1:14" s="271" customFormat="1" ht="24" hidden="1" customHeight="1">
      <c r="C7" s="1040" t="s">
        <v>180</v>
      </c>
      <c r="D7" s="1040"/>
      <c r="E7" s="1040"/>
      <c r="F7" s="1040"/>
      <c r="G7" s="1040"/>
      <c r="H7" s="1040"/>
      <c r="I7" s="1040"/>
      <c r="J7" s="1040"/>
      <c r="K7" s="1040"/>
      <c r="L7" s="1040"/>
      <c r="N7" s="631"/>
    </row>
    <row r="8" spans="1:14" ht="20.25" customHeight="1">
      <c r="B8" s="1034" t="s">
        <v>35</v>
      </c>
      <c r="C8" s="1035" t="s">
        <v>181</v>
      </c>
      <c r="D8" s="1036" t="s">
        <v>182</v>
      </c>
      <c r="E8" s="1038" t="s">
        <v>139</v>
      </c>
      <c r="F8" s="1038"/>
      <c r="G8" s="1038"/>
      <c r="H8" s="1038"/>
      <c r="I8" s="1038"/>
      <c r="J8" s="1038"/>
      <c r="K8" s="1038"/>
      <c r="L8" s="1038"/>
    </row>
    <row r="9" spans="1:14" ht="20.25" customHeight="1">
      <c r="B9" s="1034"/>
      <c r="C9" s="1035"/>
      <c r="D9" s="1037"/>
      <c r="E9" s="1038" t="s">
        <v>183</v>
      </c>
      <c r="F9" s="1038"/>
      <c r="G9" s="1039" t="s">
        <v>184</v>
      </c>
      <c r="H9" s="1039"/>
      <c r="I9" s="1039" t="s">
        <v>185</v>
      </c>
      <c r="J9" s="1039"/>
      <c r="K9" s="1039" t="s">
        <v>186</v>
      </c>
      <c r="L9" s="1039"/>
    </row>
    <row r="10" spans="1:14" ht="20.25" hidden="1" customHeight="1">
      <c r="B10" s="1034"/>
      <c r="C10" s="1035"/>
      <c r="D10" s="273"/>
      <c r="E10" s="274" t="s">
        <v>187</v>
      </c>
      <c r="F10" s="274" t="s">
        <v>188</v>
      </c>
      <c r="G10" s="274" t="s">
        <v>187</v>
      </c>
      <c r="H10" s="274" t="s">
        <v>188</v>
      </c>
      <c r="I10" s="274" t="s">
        <v>187</v>
      </c>
      <c r="J10" s="274" t="s">
        <v>188</v>
      </c>
      <c r="K10" s="274" t="s">
        <v>187</v>
      </c>
      <c r="L10" s="274" t="s">
        <v>188</v>
      </c>
    </row>
    <row r="11" spans="1:14" s="275" customFormat="1">
      <c r="B11" s="276" t="s">
        <v>2</v>
      </c>
      <c r="C11" s="273" t="s">
        <v>3</v>
      </c>
      <c r="D11" s="273"/>
      <c r="E11" s="274">
        <v>1</v>
      </c>
      <c r="F11" s="274">
        <v>1</v>
      </c>
      <c r="G11" s="274">
        <v>2</v>
      </c>
      <c r="H11" s="274">
        <v>2</v>
      </c>
      <c r="I11" s="274">
        <v>3</v>
      </c>
      <c r="J11" s="274">
        <v>3</v>
      </c>
      <c r="K11" s="274">
        <v>4</v>
      </c>
      <c r="L11" s="274">
        <v>4</v>
      </c>
      <c r="N11" s="632"/>
    </row>
    <row r="12" spans="1:14" ht="18.75" customHeight="1">
      <c r="A12" s="272" t="s">
        <v>198</v>
      </c>
      <c r="B12" s="666">
        <f t="shared" ref="B12:B32" si="0">IF(C12&lt;&gt;"",ROW()-11,"")</f>
        <v>1</v>
      </c>
      <c r="C12" s="683" t="s">
        <v>388</v>
      </c>
      <c r="D12" s="279" t="s">
        <v>289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77"/>
    </row>
    <row r="13" spans="1:14" ht="18.75" customHeight="1">
      <c r="A13" s="272" t="s">
        <v>198</v>
      </c>
      <c r="B13" s="666">
        <f t="shared" si="0"/>
        <v>2</v>
      </c>
      <c r="C13" s="684" t="s">
        <v>438</v>
      </c>
      <c r="D13" s="279" t="s">
        <v>289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77"/>
    </row>
    <row r="14" spans="1:14" ht="18.75" customHeight="1">
      <c r="A14" s="272" t="s">
        <v>198</v>
      </c>
      <c r="B14" s="666">
        <f t="shared" si="0"/>
        <v>3</v>
      </c>
      <c r="C14" s="684" t="s">
        <v>395</v>
      </c>
      <c r="D14" s="279" t="s">
        <v>289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77"/>
    </row>
    <row r="15" spans="1:14" ht="18.75" customHeight="1">
      <c r="A15" s="272" t="s">
        <v>198</v>
      </c>
      <c r="B15" s="666">
        <f t="shared" si="0"/>
        <v>4</v>
      </c>
      <c r="C15" s="278" t="s">
        <v>368</v>
      </c>
      <c r="D15" s="279" t="s">
        <v>289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77"/>
    </row>
    <row r="16" spans="1:14" ht="18.75" customHeight="1">
      <c r="A16" s="272" t="s">
        <v>198</v>
      </c>
      <c r="B16" s="666">
        <f t="shared" si="0"/>
        <v>5</v>
      </c>
      <c r="C16" s="278" t="s">
        <v>421</v>
      </c>
      <c r="D16" s="279" t="s">
        <v>289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77"/>
    </row>
    <row r="17" spans="1:13" ht="18.75" customHeight="1">
      <c r="A17" s="272" t="s">
        <v>198</v>
      </c>
      <c r="B17" s="666">
        <f t="shared" si="0"/>
        <v>6</v>
      </c>
      <c r="C17" s="684" t="s">
        <v>426</v>
      </c>
      <c r="D17" s="279" t="s">
        <v>289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77"/>
    </row>
    <row r="18" spans="1:13" ht="18.75" customHeight="1">
      <c r="A18" s="272" t="s">
        <v>198</v>
      </c>
      <c r="B18" s="666">
        <f t="shared" si="0"/>
        <v>7</v>
      </c>
      <c r="C18" s="278" t="s">
        <v>372</v>
      </c>
      <c r="D18" s="279" t="s">
        <v>289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77"/>
    </row>
    <row r="19" spans="1:13" ht="18.75" customHeight="1">
      <c r="A19" s="272" t="s">
        <v>198</v>
      </c>
      <c r="B19" s="666">
        <f t="shared" si="0"/>
        <v>8</v>
      </c>
      <c r="C19" s="278" t="s">
        <v>367</v>
      </c>
      <c r="D19" s="279" t="s">
        <v>289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77"/>
    </row>
    <row r="20" spans="1:13" ht="18.75" customHeight="1">
      <c r="A20" s="272" t="s">
        <v>198</v>
      </c>
      <c r="B20" s="666">
        <f t="shared" si="0"/>
        <v>9</v>
      </c>
      <c r="C20" s="278" t="s">
        <v>366</v>
      </c>
      <c r="D20" s="279" t="s">
        <v>289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77"/>
    </row>
    <row r="21" spans="1:13" ht="18.75" customHeight="1">
      <c r="A21" s="272" t="s">
        <v>198</v>
      </c>
      <c r="B21" s="666">
        <f t="shared" si="0"/>
        <v>10</v>
      </c>
      <c r="C21" s="280" t="s">
        <v>369</v>
      </c>
      <c r="D21" s="279" t="s">
        <v>289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77"/>
    </row>
    <row r="22" spans="1:13" ht="18.75" customHeight="1">
      <c r="A22" s="272" t="s">
        <v>198</v>
      </c>
      <c r="B22" s="666">
        <f t="shared" si="0"/>
        <v>11</v>
      </c>
      <c r="C22" s="183" t="s">
        <v>423</v>
      </c>
      <c r="D22" s="279" t="s">
        <v>289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77"/>
    </row>
    <row r="23" spans="1:13" ht="18.75" customHeight="1">
      <c r="A23" s="272" t="s">
        <v>198</v>
      </c>
      <c r="B23" s="666">
        <f t="shared" si="0"/>
        <v>12</v>
      </c>
      <c r="C23" s="186" t="s">
        <v>436</v>
      </c>
      <c r="D23" s="279" t="s">
        <v>289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77"/>
    </row>
    <row r="24" spans="1:13" ht="18.75" customHeight="1">
      <c r="A24" s="272" t="s">
        <v>198</v>
      </c>
      <c r="B24" s="666">
        <f t="shared" si="0"/>
        <v>13</v>
      </c>
      <c r="C24" s="280" t="s">
        <v>396</v>
      </c>
      <c r="D24" s="279" t="s">
        <v>289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77"/>
    </row>
    <row r="25" spans="1:13" ht="18.75" customHeight="1">
      <c r="A25" s="272" t="s">
        <v>198</v>
      </c>
      <c r="B25" s="666">
        <f t="shared" si="0"/>
        <v>14</v>
      </c>
      <c r="C25" s="280" t="s">
        <v>373</v>
      </c>
      <c r="D25" s="279" t="s">
        <v>289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77"/>
    </row>
    <row r="26" spans="1:13" ht="18.75" customHeight="1">
      <c r="A26" s="272" t="s">
        <v>198</v>
      </c>
      <c r="B26" s="666">
        <f t="shared" si="0"/>
        <v>15</v>
      </c>
      <c r="C26" s="183" t="s">
        <v>402</v>
      </c>
      <c r="D26" s="279" t="s">
        <v>289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77"/>
    </row>
    <row r="27" spans="1:13" ht="18.75" customHeight="1">
      <c r="A27" s="272" t="s">
        <v>198</v>
      </c>
      <c r="B27" s="666">
        <f t="shared" si="0"/>
        <v>16</v>
      </c>
      <c r="C27" s="280" t="s">
        <v>380</v>
      </c>
      <c r="D27" s="279" t="s">
        <v>289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77"/>
    </row>
    <row r="28" spans="1:13" ht="18.75" customHeight="1">
      <c r="A28" s="272" t="s">
        <v>198</v>
      </c>
      <c r="B28" s="666">
        <f t="shared" si="0"/>
        <v>17</v>
      </c>
      <c r="C28" s="186" t="s">
        <v>427</v>
      </c>
      <c r="D28" s="279" t="s">
        <v>289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77"/>
    </row>
    <row r="29" spans="1:13" ht="18.75" customHeight="1">
      <c r="A29" s="272" t="s">
        <v>198</v>
      </c>
      <c r="B29" s="666">
        <f t="shared" si="0"/>
        <v>18</v>
      </c>
      <c r="C29" s="183" t="s">
        <v>399</v>
      </c>
      <c r="D29" s="279" t="s">
        <v>289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77"/>
    </row>
    <row r="30" spans="1:13" ht="18.75" customHeight="1">
      <c r="A30" s="272" t="s">
        <v>198</v>
      </c>
      <c r="B30" s="666">
        <f t="shared" si="0"/>
        <v>19</v>
      </c>
      <c r="C30" s="186" t="s">
        <v>437</v>
      </c>
      <c r="D30" s="279" t="s">
        <v>289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77"/>
    </row>
    <row r="31" spans="1:13" ht="18.75" customHeight="1">
      <c r="A31" s="272" t="s">
        <v>198</v>
      </c>
      <c r="B31" s="666">
        <f t="shared" si="0"/>
        <v>20</v>
      </c>
      <c r="C31" s="183" t="s">
        <v>398</v>
      </c>
      <c r="D31" s="279" t="s">
        <v>289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77"/>
    </row>
    <row r="32" spans="1:13" ht="18.75" customHeight="1">
      <c r="A32" s="272" t="s">
        <v>198</v>
      </c>
      <c r="B32" s="666">
        <f t="shared" si="0"/>
        <v>21</v>
      </c>
      <c r="C32" s="186" t="s">
        <v>424</v>
      </c>
      <c r="D32" s="279" t="s">
        <v>289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77"/>
    </row>
    <row r="33" spans="1:13" ht="18.75" customHeight="1">
      <c r="A33" s="272" t="s">
        <v>600</v>
      </c>
      <c r="B33" s="666">
        <f t="shared" ref="B33:B57" si="3">IF(C33&lt;&gt;"",ROW()-11,"")</f>
        <v>22</v>
      </c>
      <c r="C33" s="183" t="s">
        <v>508</v>
      </c>
      <c r="D33" s="279" t="s">
        <v>289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23117670</v>
      </c>
      <c r="I33" s="25">
        <f t="array" ref="I33">SUM(IF("156"&amp;C33=KHC&amp;MH,SL))</f>
        <v>22750</v>
      </c>
      <c r="J33" s="25">
        <f t="array" ref="J33">SUM(IF("156"&amp;C33=KHC&amp;MH,TH))</f>
        <v>23117670</v>
      </c>
      <c r="K33" s="25">
        <f t="shared" ref="K33:K57" si="4">E33+G33-I33</f>
        <v>0</v>
      </c>
      <c r="L33" s="25">
        <f t="shared" ref="L33:L57" si="5">F33+H33-J33</f>
        <v>0</v>
      </c>
      <c r="M33" s="277"/>
    </row>
    <row r="34" spans="1:13" ht="18.75" customHeight="1">
      <c r="A34" s="272" t="s">
        <v>600</v>
      </c>
      <c r="B34" s="666">
        <f t="shared" si="3"/>
        <v>23</v>
      </c>
      <c r="C34" s="183" t="s">
        <v>557</v>
      </c>
      <c r="D34" s="279" t="s">
        <v>327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1182899</v>
      </c>
      <c r="I34" s="25">
        <f t="array" ref="I34">SUM(IF("156"&amp;C34=KHC&amp;MH,SL))</f>
        <v>60</v>
      </c>
      <c r="J34" s="25">
        <f t="array" ref="J34">SUM(IF("156"&amp;C34=KHC&amp;MH,TH))</f>
        <v>1182899</v>
      </c>
      <c r="K34" s="25">
        <f t="shared" si="4"/>
        <v>0</v>
      </c>
      <c r="L34" s="25">
        <f t="shared" si="5"/>
        <v>0</v>
      </c>
      <c r="M34" s="277"/>
    </row>
    <row r="35" spans="1:13" ht="18.75" customHeight="1">
      <c r="A35" s="272" t="s">
        <v>600</v>
      </c>
      <c r="B35" s="666">
        <f t="shared" si="3"/>
        <v>24</v>
      </c>
      <c r="C35" s="183" t="s">
        <v>516</v>
      </c>
      <c r="D35" s="279" t="s">
        <v>327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16035995</v>
      </c>
      <c r="I35" s="25">
        <f t="array" ref="I35">SUM(IF("156"&amp;C35=KHC&amp;MH,SL))</f>
        <v>3303</v>
      </c>
      <c r="J35" s="25">
        <f t="array" ref="J35">SUM(IF("156"&amp;C35=KHC&amp;MH,TH))</f>
        <v>16035995</v>
      </c>
      <c r="K35" s="25">
        <f t="shared" si="4"/>
        <v>0</v>
      </c>
      <c r="L35" s="25">
        <f t="shared" si="5"/>
        <v>0</v>
      </c>
      <c r="M35" s="277"/>
    </row>
    <row r="36" spans="1:13" ht="18.75" customHeight="1">
      <c r="A36" s="272" t="s">
        <v>600</v>
      </c>
      <c r="B36" s="666">
        <f t="shared" si="3"/>
        <v>25</v>
      </c>
      <c r="C36" s="186" t="s">
        <v>540</v>
      </c>
      <c r="D36" s="279" t="s">
        <v>327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5096783</v>
      </c>
      <c r="I36" s="25">
        <f t="array" ref="I36">SUM(IF("156"&amp;C36=KHC&amp;MH,SL))</f>
        <v>800</v>
      </c>
      <c r="J36" s="25">
        <f t="array" ref="J36">SUM(IF("156"&amp;C36=KHC&amp;MH,TH))</f>
        <v>5096783</v>
      </c>
      <c r="K36" s="25">
        <f t="shared" si="4"/>
        <v>0</v>
      </c>
      <c r="L36" s="25">
        <f t="shared" si="5"/>
        <v>0</v>
      </c>
      <c r="M36" s="277"/>
    </row>
    <row r="37" spans="1:13" ht="18.75" customHeight="1">
      <c r="A37" s="272" t="s">
        <v>600</v>
      </c>
      <c r="B37" s="666">
        <f t="shared" si="3"/>
        <v>26</v>
      </c>
      <c r="C37" s="183" t="s">
        <v>552</v>
      </c>
      <c r="D37" s="279" t="s">
        <v>327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1362498</v>
      </c>
      <c r="I37" s="25">
        <f t="array" ref="I37">SUM(IF("156"&amp;C37=KHC&amp;MH,SL))</f>
        <v>100</v>
      </c>
      <c r="J37" s="25">
        <f t="array" ref="J37">SUM(IF("156"&amp;C37=KHC&amp;MH,TH))</f>
        <v>1362498</v>
      </c>
      <c r="K37" s="25">
        <f t="shared" si="4"/>
        <v>0</v>
      </c>
      <c r="L37" s="25">
        <f t="shared" si="5"/>
        <v>0</v>
      </c>
      <c r="M37" s="277"/>
    </row>
    <row r="38" spans="1:13" ht="18.75" customHeight="1">
      <c r="A38" s="272" t="s">
        <v>600</v>
      </c>
      <c r="B38" s="666">
        <f t="shared" si="3"/>
        <v>27</v>
      </c>
      <c r="C38" s="183" t="s">
        <v>555</v>
      </c>
      <c r="D38" s="279" t="s">
        <v>327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544999</v>
      </c>
      <c r="I38" s="25">
        <f t="array" ref="I38">SUM(IF("156"&amp;C38=KHC&amp;MH,SL))</f>
        <v>40</v>
      </c>
      <c r="J38" s="25">
        <f t="array" ref="J38">SUM(IF("156"&amp;C38=KHC&amp;MH,TH))</f>
        <v>544999</v>
      </c>
      <c r="K38" s="25">
        <f t="shared" si="4"/>
        <v>0</v>
      </c>
      <c r="L38" s="25">
        <f t="shared" si="5"/>
        <v>0</v>
      </c>
      <c r="M38" s="277"/>
    </row>
    <row r="39" spans="1:13" ht="18.75" customHeight="1">
      <c r="A39" s="272" t="s">
        <v>600</v>
      </c>
      <c r="B39" s="666">
        <f t="shared" si="3"/>
        <v>28</v>
      </c>
      <c r="C39" s="183" t="s">
        <v>553</v>
      </c>
      <c r="D39" s="279" t="s">
        <v>327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2452496</v>
      </c>
      <c r="I39" s="25">
        <f t="array" ref="I39">SUM(IF("156"&amp;C39=KHC&amp;MH,SL))</f>
        <v>180</v>
      </c>
      <c r="J39" s="25">
        <f t="array" ref="J39">SUM(IF("156"&amp;C39=KHC&amp;MH,TH))</f>
        <v>2452496</v>
      </c>
      <c r="K39" s="25">
        <f t="shared" si="4"/>
        <v>0</v>
      </c>
      <c r="L39" s="25">
        <f t="shared" si="5"/>
        <v>0</v>
      </c>
      <c r="M39" s="277"/>
    </row>
    <row r="40" spans="1:13" ht="18.75" customHeight="1">
      <c r="A40" s="272" t="s">
        <v>600</v>
      </c>
      <c r="B40" s="666">
        <f t="shared" si="3"/>
        <v>29</v>
      </c>
      <c r="C40" s="186" t="s">
        <v>550</v>
      </c>
      <c r="D40" s="279" t="s">
        <v>327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2452496</v>
      </c>
      <c r="I40" s="25">
        <f t="array" ref="I40">SUM(IF("156"&amp;C40=KHC&amp;MH,SL))</f>
        <v>180</v>
      </c>
      <c r="J40" s="25">
        <f t="array" ref="J40">SUM(IF("156"&amp;C40=KHC&amp;MH,TH))</f>
        <v>2452496</v>
      </c>
      <c r="K40" s="25">
        <f t="shared" si="4"/>
        <v>0</v>
      </c>
      <c r="L40" s="25">
        <f t="shared" si="5"/>
        <v>0</v>
      </c>
      <c r="M40" s="277"/>
    </row>
    <row r="41" spans="1:13" ht="18.75" customHeight="1">
      <c r="A41" s="272" t="s">
        <v>600</v>
      </c>
      <c r="B41" s="666">
        <f t="shared" si="3"/>
        <v>30</v>
      </c>
      <c r="C41" s="186" t="s">
        <v>514</v>
      </c>
      <c r="D41" s="279" t="s">
        <v>327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6733649</v>
      </c>
      <c r="I41" s="25">
        <f t="array" ref="I41">SUM(IF("156"&amp;C41=KHC&amp;MH,SL))</f>
        <v>1010</v>
      </c>
      <c r="J41" s="25">
        <f t="array" ref="J41">SUM(IF("156"&amp;C41=KHC&amp;MH,TH))</f>
        <v>6733649</v>
      </c>
      <c r="K41" s="25">
        <f t="shared" si="4"/>
        <v>0</v>
      </c>
      <c r="L41" s="25">
        <f t="shared" si="5"/>
        <v>0</v>
      </c>
      <c r="M41" s="277"/>
    </row>
    <row r="42" spans="1:13" ht="18.75" customHeight="1">
      <c r="A42" s="272" t="s">
        <v>600</v>
      </c>
      <c r="B42" s="666">
        <f t="shared" si="3"/>
        <v>31</v>
      </c>
      <c r="C42" s="186" t="s">
        <v>512</v>
      </c>
      <c r="D42" s="279" t="s">
        <v>327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18456936</v>
      </c>
      <c r="I42" s="25">
        <f t="array" ref="I42">SUM(IF("156"&amp;C42=KHC&amp;MH,SL))</f>
        <v>3104</v>
      </c>
      <c r="J42" s="25">
        <f t="array" ref="J42">SUM(IF("156"&amp;C42=KHC&amp;MH,TH))</f>
        <v>18456936</v>
      </c>
      <c r="K42" s="25">
        <f t="shared" si="4"/>
        <v>0</v>
      </c>
      <c r="L42" s="25">
        <f t="shared" si="5"/>
        <v>0</v>
      </c>
      <c r="M42" s="277"/>
    </row>
    <row r="43" spans="1:13" ht="18.75" customHeight="1">
      <c r="A43" s="272" t="s">
        <v>600</v>
      </c>
      <c r="B43" s="666">
        <f t="shared" si="3"/>
        <v>32</v>
      </c>
      <c r="C43" s="183" t="s">
        <v>520</v>
      </c>
      <c r="D43" s="279" t="s">
        <v>327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17113800</v>
      </c>
      <c r="I43" s="25">
        <f t="array" ref="I43">SUM(IF("156"&amp;C43=KHC&amp;MH,SL))</f>
        <v>2820</v>
      </c>
      <c r="J43" s="25">
        <f t="array" ref="J43">SUM(IF("156"&amp;C43=KHC&amp;MH,TH))</f>
        <v>17113800</v>
      </c>
      <c r="K43" s="25">
        <f t="shared" si="4"/>
        <v>0</v>
      </c>
      <c r="L43" s="25">
        <f t="shared" si="5"/>
        <v>0</v>
      </c>
      <c r="M43" s="277"/>
    </row>
    <row r="44" spans="1:13" ht="18.75" customHeight="1">
      <c r="A44" s="272" t="s">
        <v>600</v>
      </c>
      <c r="B44" s="666">
        <f t="shared" si="3"/>
        <v>33</v>
      </c>
      <c r="C44" s="186" t="s">
        <v>518</v>
      </c>
      <c r="D44" s="279" t="s">
        <v>327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27001979</v>
      </c>
      <c r="I44" s="25">
        <f t="array" ref="I44">SUM(IF("156"&amp;C44=KHC&amp;MH,SL))</f>
        <v>4665</v>
      </c>
      <c r="J44" s="25">
        <f t="array" ref="J44">SUM(IF("156"&amp;C44=KHC&amp;MH,TH))</f>
        <v>27001979</v>
      </c>
      <c r="K44" s="25">
        <f t="shared" si="4"/>
        <v>0</v>
      </c>
      <c r="L44" s="25">
        <f t="shared" si="5"/>
        <v>0</v>
      </c>
      <c r="M44" s="277"/>
    </row>
    <row r="45" spans="1:13" ht="18.75" customHeight="1">
      <c r="A45" s="272" t="s">
        <v>600</v>
      </c>
      <c r="B45" s="666">
        <f t="shared" si="3"/>
        <v>34</v>
      </c>
      <c r="C45" s="183" t="s">
        <v>510</v>
      </c>
      <c r="D45" s="279" t="s">
        <v>327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7035463</v>
      </c>
      <c r="I45" s="25">
        <f t="array" ref="I45">SUM(IF("156"&amp;C45=KHC&amp;MH,SL))</f>
        <v>1147</v>
      </c>
      <c r="J45" s="25">
        <f t="array" ref="J45">SUM(IF("156"&amp;C45=KHC&amp;MH,TH))</f>
        <v>7035463</v>
      </c>
      <c r="K45" s="25">
        <f t="shared" si="4"/>
        <v>0</v>
      </c>
      <c r="L45" s="25">
        <f t="shared" si="5"/>
        <v>0</v>
      </c>
      <c r="M45" s="277"/>
    </row>
    <row r="46" spans="1:13" ht="18.75" customHeight="1">
      <c r="A46" s="272" t="s">
        <v>600</v>
      </c>
      <c r="B46" s="666">
        <f t="shared" si="3"/>
        <v>35</v>
      </c>
      <c r="C46" s="186" t="s">
        <v>515</v>
      </c>
      <c r="D46" s="279" t="s">
        <v>327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18254976</v>
      </c>
      <c r="I46" s="25">
        <f t="array" ref="I46">SUM(IF("156"&amp;C46=KHC&amp;MH,SL))</f>
        <v>3175</v>
      </c>
      <c r="J46" s="25">
        <f t="array" ref="J46">SUM(IF("156"&amp;C46=KHC&amp;MH,TH))</f>
        <v>18254976</v>
      </c>
      <c r="K46" s="25">
        <f t="shared" si="4"/>
        <v>0</v>
      </c>
      <c r="L46" s="25">
        <f t="shared" si="5"/>
        <v>0</v>
      </c>
      <c r="M46" s="277"/>
    </row>
    <row r="47" spans="1:13" ht="18.75" customHeight="1">
      <c r="A47" s="272" t="s">
        <v>600</v>
      </c>
      <c r="B47" s="666">
        <f t="shared" si="3"/>
        <v>36</v>
      </c>
      <c r="C47" s="183" t="s">
        <v>528</v>
      </c>
      <c r="D47" s="279" t="s">
        <v>327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6701979</v>
      </c>
      <c r="I47" s="25">
        <f t="array" ref="I47">SUM(IF("156"&amp;C47=KHC&amp;MH,SL))</f>
        <v>1000</v>
      </c>
      <c r="J47" s="25">
        <f t="array" ref="J47">SUM(IF("156"&amp;C47=KHC&amp;MH,TH))</f>
        <v>6701979</v>
      </c>
      <c r="K47" s="25">
        <f t="shared" si="4"/>
        <v>0</v>
      </c>
      <c r="L47" s="25">
        <f t="shared" si="5"/>
        <v>0</v>
      </c>
      <c r="M47" s="277"/>
    </row>
    <row r="48" spans="1:13" ht="18.75" customHeight="1">
      <c r="A48" s="272" t="s">
        <v>600</v>
      </c>
      <c r="B48" s="666">
        <f t="shared" si="3"/>
        <v>37</v>
      </c>
      <c r="C48" s="186" t="s">
        <v>526</v>
      </c>
      <c r="D48" s="279" t="s">
        <v>327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12923979</v>
      </c>
      <c r="I48" s="25">
        <f t="array" ref="I48">SUM(IF("156"&amp;C48=KHC&amp;MH,SL))</f>
        <v>1000</v>
      </c>
      <c r="J48" s="25">
        <f t="array" ref="J48">SUM(IF("156"&amp;C48=KHC&amp;MH,TH))</f>
        <v>12923979</v>
      </c>
      <c r="K48" s="25">
        <f t="shared" si="4"/>
        <v>0</v>
      </c>
      <c r="L48" s="25">
        <f t="shared" si="5"/>
        <v>0</v>
      </c>
      <c r="M48" s="277"/>
    </row>
    <row r="49" spans="1:13" ht="18.75" customHeight="1">
      <c r="A49" s="272" t="s">
        <v>600</v>
      </c>
      <c r="B49" s="666">
        <f t="shared" si="3"/>
        <v>38</v>
      </c>
      <c r="C49" s="186" t="s">
        <v>546</v>
      </c>
      <c r="D49" s="279" t="s">
        <v>327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6220351</v>
      </c>
      <c r="I49" s="25">
        <f t="array" ref="I49">SUM(IF("156"&amp;C49=KHC&amp;MH,SL))</f>
        <v>1000</v>
      </c>
      <c r="J49" s="25">
        <f t="array" ref="J49">SUM(IF("156"&amp;C49=KHC&amp;MH,TH))</f>
        <v>6220351</v>
      </c>
      <c r="K49" s="25">
        <f t="shared" si="4"/>
        <v>0</v>
      </c>
      <c r="L49" s="25">
        <f t="shared" si="5"/>
        <v>0</v>
      </c>
      <c r="M49" s="277"/>
    </row>
    <row r="50" spans="1:13" ht="18.75" customHeight="1">
      <c r="A50" s="272" t="s">
        <v>600</v>
      </c>
      <c r="B50" s="666">
        <f t="shared" si="3"/>
        <v>39</v>
      </c>
      <c r="C50" s="186" t="s">
        <v>543</v>
      </c>
      <c r="D50" s="279" t="s">
        <v>327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1715994</v>
      </c>
      <c r="I50" s="25">
        <f t="array" ref="I50">SUM(IF("156"&amp;C50=KHC&amp;MH,SL))</f>
        <v>300</v>
      </c>
      <c r="J50" s="25">
        <f t="array" ref="J50">SUM(IF("156"&amp;C50=KHC&amp;MH,TH))</f>
        <v>1715994</v>
      </c>
      <c r="K50" s="25">
        <f t="shared" si="4"/>
        <v>0</v>
      </c>
      <c r="L50" s="25">
        <f t="shared" si="5"/>
        <v>0</v>
      </c>
      <c r="M50" s="277"/>
    </row>
    <row r="51" spans="1:13" ht="18.75" customHeight="1">
      <c r="A51" s="272" t="s">
        <v>600</v>
      </c>
      <c r="B51" s="666">
        <f t="shared" si="3"/>
        <v>40</v>
      </c>
      <c r="C51" s="38" t="s">
        <v>530</v>
      </c>
      <c r="D51" s="279" t="s">
        <v>327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2685638</v>
      </c>
      <c r="I51" s="25">
        <f t="array" ref="I51">SUM(IF("156"&amp;C51=KHC&amp;MH,SL))</f>
        <v>550</v>
      </c>
      <c r="J51" s="25">
        <f t="array" ref="J51">SUM(IF("156"&amp;C51=KHC&amp;MH,TH))</f>
        <v>2685638</v>
      </c>
      <c r="K51" s="25">
        <f t="shared" si="4"/>
        <v>0</v>
      </c>
      <c r="L51" s="25">
        <f t="shared" si="5"/>
        <v>0</v>
      </c>
      <c r="M51" s="277"/>
    </row>
    <row r="52" spans="1:13" ht="18.75" customHeight="1">
      <c r="A52" s="272" t="s">
        <v>600</v>
      </c>
      <c r="B52" s="666">
        <f t="shared" si="3"/>
        <v>41</v>
      </c>
      <c r="C52" s="183" t="s">
        <v>505</v>
      </c>
      <c r="D52" s="279" t="s">
        <v>327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10986702</v>
      </c>
      <c r="I52" s="25">
        <f t="array" ref="I52">SUM(IF("156"&amp;C52=KHC&amp;MH,SL))</f>
        <v>2250</v>
      </c>
      <c r="J52" s="25">
        <f t="array" ref="J52">SUM(IF("156"&amp;C52=KHC&amp;MH,TH))</f>
        <v>10986702</v>
      </c>
      <c r="K52" s="25">
        <f t="shared" si="4"/>
        <v>0</v>
      </c>
      <c r="L52" s="25">
        <f t="shared" si="5"/>
        <v>0</v>
      </c>
      <c r="M52" s="277"/>
    </row>
    <row r="53" spans="1:13" ht="18.75" customHeight="1">
      <c r="A53" s="272" t="s">
        <v>600</v>
      </c>
      <c r="B53" s="666">
        <f t="shared" si="3"/>
        <v>42</v>
      </c>
      <c r="C53" s="183" t="s">
        <v>545</v>
      </c>
      <c r="D53" s="279" t="s">
        <v>327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2441489</v>
      </c>
      <c r="I53" s="25">
        <f t="array" ref="I53">SUM(IF("156"&amp;C53=KHC&amp;MH,SL))</f>
        <v>500</v>
      </c>
      <c r="J53" s="25">
        <f t="array" ref="J53">SUM(IF("156"&amp;C53=KHC&amp;MH,TH))</f>
        <v>2441489</v>
      </c>
      <c r="K53" s="25">
        <f t="shared" si="4"/>
        <v>0</v>
      </c>
      <c r="L53" s="25">
        <f t="shared" si="5"/>
        <v>0</v>
      </c>
      <c r="M53" s="277"/>
    </row>
    <row r="54" spans="1:13" ht="18.75" customHeight="1">
      <c r="A54" s="272" t="s">
        <v>600</v>
      </c>
      <c r="B54" s="666">
        <f t="shared" si="3"/>
        <v>43</v>
      </c>
      <c r="C54" s="183" t="s">
        <v>521</v>
      </c>
      <c r="D54" s="279" t="s">
        <v>327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12831958</v>
      </c>
      <c r="I54" s="25">
        <f t="array" ref="I54">SUM(IF("156"&amp;C54=KHC&amp;MH,SL))</f>
        <v>2000</v>
      </c>
      <c r="J54" s="25">
        <f t="array" ref="J54">SUM(IF("156"&amp;C54=KHC&amp;MH,TH))</f>
        <v>12831958</v>
      </c>
      <c r="K54" s="25">
        <f t="shared" si="4"/>
        <v>0</v>
      </c>
      <c r="L54" s="25">
        <f t="shared" si="5"/>
        <v>0</v>
      </c>
      <c r="M54" s="277"/>
    </row>
    <row r="55" spans="1:13" ht="18.75" customHeight="1">
      <c r="A55" s="272" t="s">
        <v>600</v>
      </c>
      <c r="B55" s="666">
        <f t="shared" si="3"/>
        <v>44</v>
      </c>
      <c r="C55" s="186" t="s">
        <v>544</v>
      </c>
      <c r="D55" s="279" t="s">
        <v>327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2057293</v>
      </c>
      <c r="I55" s="25">
        <f t="array" ref="I55">SUM(IF("156"&amp;C55=KHC&amp;MH,SL))</f>
        <v>350</v>
      </c>
      <c r="J55" s="25">
        <f t="array" ref="J55">SUM(IF("156"&amp;C55=KHC&amp;MH,TH))</f>
        <v>2057293</v>
      </c>
      <c r="K55" s="25">
        <f t="shared" si="4"/>
        <v>0</v>
      </c>
      <c r="L55" s="25">
        <f t="shared" si="5"/>
        <v>0</v>
      </c>
      <c r="M55" s="277"/>
    </row>
    <row r="56" spans="1:13" ht="18.75" customHeight="1">
      <c r="A56" s="272" t="s">
        <v>600</v>
      </c>
      <c r="B56" s="666">
        <f t="shared" si="3"/>
        <v>45</v>
      </c>
      <c r="C56" s="38" t="s">
        <v>554</v>
      </c>
      <c r="D56" s="279" t="s">
        <v>327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5125895</v>
      </c>
      <c r="I56" s="25">
        <f t="array" ref="I56">SUM(IF("156"&amp;C56=KHC&amp;MH,SL))</f>
        <v>260</v>
      </c>
      <c r="J56" s="25">
        <f t="array" ref="J56">SUM(IF("156"&amp;C56=KHC&amp;MH,TH))</f>
        <v>5125895</v>
      </c>
      <c r="K56" s="25">
        <f t="shared" si="4"/>
        <v>0</v>
      </c>
      <c r="L56" s="25">
        <f t="shared" si="5"/>
        <v>0</v>
      </c>
      <c r="M56" s="277"/>
    </row>
    <row r="57" spans="1:13" ht="18.75" customHeight="1">
      <c r="A57" s="272" t="s">
        <v>600</v>
      </c>
      <c r="B57" s="666">
        <f t="shared" si="3"/>
        <v>46</v>
      </c>
      <c r="C57" s="183" t="s">
        <v>533</v>
      </c>
      <c r="D57" s="279" t="s">
        <v>327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5445489</v>
      </c>
      <c r="I57" s="25">
        <f t="array" ref="I57">SUM(IF("156"&amp;C57=KHC&amp;MH,SL))</f>
        <v>500</v>
      </c>
      <c r="J57" s="25">
        <f t="array" ref="J57">SUM(IF("156"&amp;C57=KHC&amp;MH,TH))</f>
        <v>5445489</v>
      </c>
      <c r="K57" s="25">
        <f t="shared" si="4"/>
        <v>0</v>
      </c>
      <c r="L57" s="25">
        <f t="shared" si="5"/>
        <v>0</v>
      </c>
      <c r="M57" s="277"/>
    </row>
    <row r="58" spans="1:13" ht="19.5" customHeight="1">
      <c r="B58" s="666" t="str">
        <f t="shared" ref="B58" si="6">IF(C58&lt;&gt;"",ROW()-11,"")</f>
        <v/>
      </c>
      <c r="C58" s="278"/>
      <c r="D58" s="279"/>
      <c r="E58" s="25"/>
      <c r="F58" s="25"/>
      <c r="G58" s="25"/>
      <c r="H58" s="25"/>
      <c r="I58" s="25"/>
      <c r="J58" s="25"/>
      <c r="K58" s="25"/>
      <c r="L58" s="25"/>
      <c r="M58" s="277"/>
    </row>
    <row r="59" spans="1:13" ht="19.5" customHeight="1">
      <c r="B59" s="276"/>
      <c r="C59" s="281" t="s">
        <v>274</v>
      </c>
      <c r="D59" s="276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408736108</v>
      </c>
      <c r="I59" s="13">
        <f t="shared" si="7"/>
        <v>69613</v>
      </c>
      <c r="J59" s="13">
        <f t="shared" si="7"/>
        <v>399868312</v>
      </c>
      <c r="K59" s="13">
        <f t="shared" si="7"/>
        <v>843</v>
      </c>
      <c r="L59" s="13">
        <f t="shared" si="7"/>
        <v>8867796</v>
      </c>
      <c r="M59" s="277"/>
    </row>
    <row r="60" spans="1:13" ht="19.5" customHeight="1">
      <c r="B60" s="456"/>
      <c r="C60" s="457"/>
      <c r="D60" s="456"/>
      <c r="E60" s="458"/>
      <c r="F60" s="458">
        <f>F59-CDPS!D20</f>
        <v>0</v>
      </c>
      <c r="G60" s="458"/>
      <c r="H60" s="458">
        <f>H59-CDPS!E20</f>
        <v>0</v>
      </c>
      <c r="I60" s="458"/>
      <c r="J60" s="458">
        <f>J59-CDPS!F20</f>
        <v>0</v>
      </c>
      <c r="K60" s="458"/>
      <c r="L60" s="458">
        <f>L59-CDPS!G20</f>
        <v>0</v>
      </c>
      <c r="M60" s="277"/>
    </row>
    <row r="61" spans="1:13" ht="18.75" customHeight="1"/>
    <row r="62" spans="1:13" ht="19.5" customHeight="1"/>
    <row r="63" spans="1:13" ht="19.5" customHeight="1">
      <c r="C63" s="1000"/>
      <c r="D63" s="1000"/>
      <c r="E63" s="1000"/>
      <c r="F63" s="711"/>
      <c r="G63" s="711"/>
      <c r="H63" s="711"/>
      <c r="I63" s="711"/>
      <c r="J63" s="1000" t="s">
        <v>336</v>
      </c>
      <c r="K63" s="1000"/>
      <c r="L63" s="1000"/>
    </row>
    <row r="64" spans="1:13" ht="19.5" customHeight="1">
      <c r="C64" s="712"/>
      <c r="D64" s="712"/>
      <c r="E64" s="712"/>
      <c r="F64" s="1000"/>
      <c r="G64" s="1000"/>
      <c r="H64" s="1000"/>
      <c r="I64" s="711"/>
      <c r="J64" s="1000" t="s">
        <v>109</v>
      </c>
      <c r="K64" s="1000"/>
      <c r="L64" s="1000"/>
    </row>
    <row r="65" spans="3:12" ht="19.5" customHeight="1">
      <c r="C65" s="712"/>
      <c r="D65" s="712"/>
      <c r="E65" s="712"/>
      <c r="F65" s="1000"/>
      <c r="G65" s="1000"/>
      <c r="H65" s="1000"/>
      <c r="I65" s="272"/>
      <c r="J65" s="1000" t="s">
        <v>136</v>
      </c>
      <c r="K65" s="1000"/>
      <c r="L65" s="1000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C7:L7"/>
    <mergeCell ref="F65:H65"/>
    <mergeCell ref="J65:L65"/>
    <mergeCell ref="C63:E63"/>
    <mergeCell ref="J63:L63"/>
    <mergeCell ref="F64:H64"/>
    <mergeCell ref="J64:L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K23" sqref="K23"/>
    </sheetView>
  </sheetViews>
  <sheetFormatPr defaultRowHeight="12"/>
  <cols>
    <col min="1" max="1" width="4.7109375" style="285" customWidth="1"/>
    <col min="2" max="2" width="29.7109375" style="285" customWidth="1"/>
    <col min="3" max="3" width="5.7109375" style="285" customWidth="1"/>
    <col min="4" max="4" width="6.7109375" style="285" customWidth="1"/>
    <col min="5" max="5" width="12.7109375" style="285" customWidth="1"/>
    <col min="6" max="6" width="9.85546875" style="285" customWidth="1"/>
    <col min="7" max="7" width="11" style="285" customWidth="1"/>
    <col min="8" max="8" width="14" style="285" customWidth="1"/>
    <col min="9" max="9" width="4.28515625" style="285" customWidth="1"/>
    <col min="10" max="10" width="7.5703125" style="285" customWidth="1"/>
    <col min="11" max="11" width="3.140625" style="285" customWidth="1"/>
    <col min="12" max="12" width="5.7109375" style="285" customWidth="1"/>
    <col min="13" max="13" width="2.7109375" style="285" customWidth="1"/>
    <col min="14" max="14" width="4" style="285" customWidth="1"/>
    <col min="15" max="15" width="3.7109375" style="285" customWidth="1"/>
    <col min="16" max="16384" width="9.140625" style="285"/>
  </cols>
  <sheetData>
    <row r="1" spans="1:17" ht="5.25" hidden="1" customHeight="1"/>
    <row r="2" spans="1:17" s="563" customFormat="1" ht="12" customHeight="1">
      <c r="A2" s="562" t="str">
        <f>TH!A1</f>
        <v>Đơn vị: CÔNG TY TNHH MỘT THÀNH VIÊN KHỞI NGUYÊN AN</v>
      </c>
      <c r="G2" s="564" t="str">
        <f>+IF(LEFT($D$7,1)="N","Mẫu số 01 - VT","Mẫu số 02 - VT")</f>
        <v>Mẫu số 02 - VT</v>
      </c>
    </row>
    <row r="3" spans="1:17" s="563" customFormat="1" ht="12" customHeight="1">
      <c r="A3" s="1041" t="str">
        <f>TH!A2</f>
        <v>Địa chỉ: Thửa đất số 144, tờ bản đồ số 12TĐH.1, tổ 1, khu phố Đông Tác, Phường Tân Đông Hiệp, Thị Xã Dĩ An, Tỉnh Bình Dương, Việt Nam</v>
      </c>
      <c r="B3" s="1041"/>
      <c r="C3" s="1041"/>
      <c r="D3" s="1041"/>
      <c r="E3" s="1041"/>
      <c r="G3" s="68" t="str">
        <f ca="1">IF(INT(RIGHT($D$6,4))&gt;=2015,"(Ban hành theo Thông tư số 200/2014/TT-BTC ","(Ban hành kèm theo QĐ 48/2006/QĐ-BTC")</f>
        <v>(Ban hành kèm theo QĐ 48/2006/QĐ-BTC</v>
      </c>
      <c r="N3" s="564" t="s">
        <v>104</v>
      </c>
      <c r="O3" s="565"/>
      <c r="P3" s="566">
        <f>IF(J5="Quý I",1,IF(J5="Quý II",4,IF(J5="Quý III",7,IF(J5="Quý IV",10,""))))</f>
        <v>7</v>
      </c>
      <c r="Q3" s="566">
        <f>IF(J5="Quý I",3,IF(J5="Quý II",6,IF(J5="Quý III",9,IF(J5="Quý IV",12,""))))</f>
        <v>9</v>
      </c>
    </row>
    <row r="4" spans="1:17" s="563" customFormat="1" ht="12" customHeight="1" thickBot="1">
      <c r="A4" s="1041"/>
      <c r="B4" s="1041"/>
      <c r="C4" s="1041"/>
      <c r="D4" s="1041"/>
      <c r="E4" s="1041"/>
      <c r="G4" s="68" t="str">
        <f ca="1">IF(INT(RIGHT($D$6,4))&gt;=2015,"Ngày 22/12/2014 của Bộ Tài chính)","ngày 24/09/2006 của Bộ trưởng BTC)")</f>
        <v>ngày 24/09/2006 của Bộ trưởng BTC)</v>
      </c>
      <c r="J4" s="567"/>
      <c r="M4" s="568"/>
      <c r="N4" s="564" t="s">
        <v>105</v>
      </c>
      <c r="O4" s="565"/>
    </row>
    <row r="5" spans="1:17" ht="18" customHeight="1" thickBot="1">
      <c r="D5" s="289" t="str">
        <f>+IF(LEFT($L$5,1)="N","PHIẾU NHẬP KHO","PHIẾU XUẤT KHO")</f>
        <v>PHIẾU XUẤT KHO</v>
      </c>
      <c r="J5" s="559" t="s">
        <v>331</v>
      </c>
      <c r="K5" s="290"/>
      <c r="L5" s="560" t="s">
        <v>565</v>
      </c>
      <c r="M5" s="291"/>
      <c r="N5" s="561">
        <v>1</v>
      </c>
      <c r="O5" s="286"/>
      <c r="P5" s="286"/>
    </row>
    <row r="6" spans="1:17" ht="10.5" customHeight="1">
      <c r="D6" s="570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9  năm  2012</v>
      </c>
      <c r="E6" s="571"/>
      <c r="M6" s="288"/>
      <c r="O6" s="286"/>
    </row>
    <row r="7" spans="1:17" ht="10.5" customHeight="1">
      <c r="C7" s="572" t="str">
        <f xml:space="preserve"> "Số:"</f>
        <v>Số:</v>
      </c>
      <c r="D7" s="573" t="str">
        <f xml:space="preserve"> LEFT($L$5,1)&amp;IF($N$5&gt;=10,$N$5,"0"&amp;$N$5)</f>
        <v>X01</v>
      </c>
      <c r="G7" s="285" t="str">
        <f ca="1">"Nợ:  "&amp;IF(ROWS($1:1)&gt;COUNT(Dong10),"",OFFSET(TH!L$1,SMALL(Dong10,ROWS($1:1)),))</f>
        <v>Nợ:  131</v>
      </c>
      <c r="M7" s="288"/>
      <c r="O7" s="286"/>
    </row>
    <row r="8" spans="1:17" ht="10.5" customHeight="1">
      <c r="D8" s="68"/>
      <c r="G8" s="285" t="str">
        <f ca="1">"Có:  "&amp;IF(ROWS($1:1)&gt;COUNT(Dong10),"",OFFSET(TH!M$1,SMALL(Dong10,ROWS($1:1)),))</f>
        <v>Có:  5112</v>
      </c>
      <c r="M8" s="288"/>
      <c r="O8" s="574"/>
    </row>
    <row r="9" spans="1:17" ht="11.25" customHeight="1">
      <c r="A9" s="28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Vạn Phú                                         Địa chỉ (bộ phận) :     Sản Xuất </v>
      </c>
      <c r="M9" s="288"/>
    </row>
    <row r="10" spans="1:17" ht="11.25" customHeight="1">
      <c r="A10" s="285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85" t="str">
        <f>+IF(LEFT($D$7,1)="N","của………………………………………………………………………………………………………………………………....","Xuất tại kho (ngăn lô) : CÔNG TY TNHH MỘT THÀNH VIÊN KHỞI NGUYÊN AN    Địa điểm :  Thị Xã Dĩ An, Tỉnh Bình Dương.")</f>
        <v>Xuất tại kho (ngăn lô) : CÔNG TY TNHH MỘT THÀNH VIÊN KHỞI NGUYÊN AN    Địa điểm :  Thị Xã Dĩ An, Tỉnh Bình Dương.</v>
      </c>
    </row>
    <row r="12" spans="1:17" ht="11.25" customHeight="1">
      <c r="A12" s="285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1042" t="s">
        <v>35</v>
      </c>
      <c r="B14" s="1042" t="s">
        <v>189</v>
      </c>
      <c r="C14" s="1042" t="s">
        <v>190</v>
      </c>
      <c r="D14" s="1042" t="s">
        <v>182</v>
      </c>
      <c r="E14" s="1044" t="s">
        <v>191</v>
      </c>
      <c r="F14" s="1044"/>
      <c r="G14" s="1042" t="s">
        <v>192</v>
      </c>
      <c r="H14" s="1042" t="s">
        <v>193</v>
      </c>
    </row>
    <row r="15" spans="1:17" ht="12.75" customHeight="1">
      <c r="A15" s="1043"/>
      <c r="B15" s="1043"/>
      <c r="C15" s="1043"/>
      <c r="D15" s="1043"/>
      <c r="E15" s="575" t="s">
        <v>194</v>
      </c>
      <c r="F15" s="575" t="str">
        <f>IF(LEFT($D$7,1)="N","Thực nhập","Thực xuất")</f>
        <v>Thực xuất</v>
      </c>
      <c r="G15" s="1043"/>
      <c r="H15" s="1043"/>
    </row>
    <row r="16" spans="1:17" s="68" customFormat="1" ht="8.25" customHeight="1">
      <c r="A16" s="576" t="s">
        <v>2</v>
      </c>
      <c r="B16" s="576" t="s">
        <v>3</v>
      </c>
      <c r="C16" s="576" t="s">
        <v>4</v>
      </c>
      <c r="D16" s="576" t="s">
        <v>5</v>
      </c>
      <c r="E16" s="576">
        <v>1</v>
      </c>
      <c r="F16" s="576">
        <v>2</v>
      </c>
      <c r="G16" s="576">
        <v>3</v>
      </c>
      <c r="H16" s="576">
        <v>4</v>
      </c>
    </row>
    <row r="17" spans="1:8" ht="11.25" customHeight="1">
      <c r="A17" s="577">
        <f ca="1">IF(B17="","",ROW()-16)</f>
        <v>1</v>
      </c>
      <c r="B17" s="578" t="str">
        <f ca="1">IF(ROWS($1:1)&gt;COUNT(Dong10),"",OFFSET(TH!F$1,SMALL(Dong10,ROWS($1:1)),))</f>
        <v>Thùng carton (52x27x27)</v>
      </c>
      <c r="C17" s="579"/>
      <c r="D17" s="580" t="str">
        <f ca="1">IF(ISNA(VLOOKUP(B17,NXT!$C$12:$D$60,2,0)),"",VLOOKUP(B17,NXT!$C$12:$D$60,2,0))</f>
        <v>cái</v>
      </c>
      <c r="E17" s="581"/>
      <c r="F17" s="582">
        <f ca="1">IF(ROWS($1:1)&gt;COUNT(Dong10),"",OFFSET(TH!I$1,SMALL(Dong10,ROWS($1:1)),))</f>
        <v>1200</v>
      </c>
      <c r="G17" s="582">
        <f ca="1">IF(ROWS($1:1)&gt;COUNT(Dong10),"",OFFSET(TH!J$1,SMALL(Dong10,ROWS($1:1)),))</f>
        <v>6780</v>
      </c>
      <c r="H17" s="581">
        <f ca="1">IF(F17&lt;&gt;"",ROUND(F17*G17,0),0)</f>
        <v>8136000</v>
      </c>
    </row>
    <row r="18" spans="1:8" ht="11.25" customHeight="1">
      <c r="A18" s="577">
        <f t="shared" ref="A18:A20" ca="1" si="0">IF(B18="","",A17+1)</f>
        <v>2</v>
      </c>
      <c r="B18" s="578" t="str">
        <f ca="1">IF(ROWS($1:2)&gt;COUNT(Dong10),"",OFFSET(TH!F$1,SMALL(Dong10,ROWS($1:2)),))</f>
        <v>Tấm lót</v>
      </c>
      <c r="C18" s="579"/>
      <c r="D18" s="580" t="str">
        <f ca="1">IF(ISNA(VLOOKUP(B18,NXT!$C$12:$D$60,2,0)),"",VLOOKUP(B18,NXT!$C$12:$D$60,2,0))</f>
        <v>tấm</v>
      </c>
      <c r="E18" s="581"/>
      <c r="F18" s="582">
        <f ca="1">IF(ROWS($1:2)&gt;COUNT(Dong10),"",OFFSET(TH!I$1,SMALL(Dong10,ROWS($1:2)),))</f>
        <v>11700</v>
      </c>
      <c r="G18" s="582">
        <f ca="1">IF(ROWS($1:2)&gt;COUNT(Dong10),"",OFFSET(TH!J$1,SMALL(Dong10,ROWS($1:2)),))</f>
        <v>900</v>
      </c>
      <c r="H18" s="581">
        <f t="shared" ref="H18:H24" ca="1" si="1">IF(F18&lt;&gt;"",ROUND(F18*G18,0),0)</f>
        <v>10530000</v>
      </c>
    </row>
    <row r="19" spans="1:8" ht="11.25" customHeight="1">
      <c r="A19" s="577" t="str">
        <f t="shared" ca="1" si="0"/>
        <v/>
      </c>
      <c r="B19" s="578" t="str">
        <f ca="1">IF(ROWS($1:3)&gt;COUNT(Dong10),"",OFFSET(TH!F$1,SMALL(Dong10,ROWS($1:3)),))</f>
        <v/>
      </c>
      <c r="C19" s="579"/>
      <c r="D19" s="580" t="str">
        <f ca="1">IF(ISNA(VLOOKUP(B19,NXT!$C$12:$D$60,2,0)),"",VLOOKUP(B19,NXT!$C$12:$D$60,2,0))</f>
        <v/>
      </c>
      <c r="E19" s="581"/>
      <c r="F19" s="582" t="str">
        <f ca="1">IF(ROWS($1:3)&gt;COUNT(Dong10),"",OFFSET(TH!I$1,SMALL(Dong10,ROWS($1:3)),))</f>
        <v/>
      </c>
      <c r="G19" s="582" t="str">
        <f ca="1">IF(ROWS($1:3)&gt;COUNT(Dong10),"",OFFSET(TH!J$1,SMALL(Dong10,ROWS($1:3)),))</f>
        <v/>
      </c>
      <c r="H19" s="581">
        <f t="shared" ca="1" si="1"/>
        <v>0</v>
      </c>
    </row>
    <row r="20" spans="1:8" ht="11.25" customHeight="1">
      <c r="A20" s="577" t="str">
        <f t="shared" ca="1" si="0"/>
        <v/>
      </c>
      <c r="B20" s="578" t="str">
        <f ca="1">IF(ROWS($1:4)&gt;COUNT(Dong10),"",OFFSET(TH!F$1,SMALL(Dong10,ROWS($1:4)),))</f>
        <v/>
      </c>
      <c r="C20" s="579"/>
      <c r="D20" s="580" t="str">
        <f ca="1">IF(ISNA(VLOOKUP(B20,NXT!$C$12:$D$60,2,0)),"",VLOOKUP(B20,NXT!$C$12:$D$60,2,0))</f>
        <v/>
      </c>
      <c r="E20" s="581"/>
      <c r="F20" s="582" t="str">
        <f ca="1">IF(ROWS($1:4)&gt;COUNT(Dong10),"",OFFSET(TH!I$1,SMALL(Dong10,ROWS($1:4)),))</f>
        <v/>
      </c>
      <c r="G20" s="582" t="str">
        <f ca="1">IF(ROWS($1:4)&gt;COUNT(Dong10),"",OFFSET(TH!J$1,SMALL(Dong10,ROWS($1:4)),))</f>
        <v/>
      </c>
      <c r="H20" s="581">
        <f t="shared" ca="1" si="1"/>
        <v>0</v>
      </c>
    </row>
    <row r="21" spans="1:8" ht="11.25" customHeight="1">
      <c r="A21" s="577" t="str">
        <f t="shared" ref="A21:A23" ca="1" si="2">IF(B21="","",A20+1)</f>
        <v/>
      </c>
      <c r="B21" s="578" t="str">
        <f ca="1">IF(ROWS($1:5)&gt;COUNT(Dong10),"",OFFSET(TH!F$1,SMALL(Dong10,ROWS($1:5)),))</f>
        <v/>
      </c>
      <c r="C21" s="579"/>
      <c r="D21" s="580" t="str">
        <f ca="1">IF(ISNA(VLOOKUP(B21,NXT!$C$12:$D$60,2,0)),"",VLOOKUP(B21,NXT!$C$12:$D$60,2,0))</f>
        <v/>
      </c>
      <c r="E21" s="581"/>
      <c r="F21" s="582" t="str">
        <f ca="1">IF(ROWS($1:5)&gt;COUNT(Dong10),"",OFFSET(TH!I$1,SMALL(Dong10,ROWS($1:5)),))</f>
        <v/>
      </c>
      <c r="G21" s="582" t="str">
        <f ca="1">IF(ROWS($1:5)&gt;COUNT(Dong10),"",OFFSET(TH!J$1,SMALL(Dong10,ROWS($1:5)),))</f>
        <v/>
      </c>
      <c r="H21" s="581">
        <f t="shared" ca="1" si="1"/>
        <v>0</v>
      </c>
    </row>
    <row r="22" spans="1:8" ht="11.25" customHeight="1">
      <c r="A22" s="577" t="str">
        <f t="shared" ca="1" si="2"/>
        <v/>
      </c>
      <c r="B22" s="578" t="str">
        <f ca="1">IF(ROWS($1:6)&gt;COUNT(Dong10),"",OFFSET(TH!F$1,SMALL(Dong10,ROWS($1:6)),))</f>
        <v/>
      </c>
      <c r="C22" s="579"/>
      <c r="D22" s="580" t="str">
        <f ca="1">IF(ISNA(VLOOKUP(B22,NXT!$C$12:$D$60,2,0)),"",VLOOKUP(B22,NXT!$C$12:$D$60,2,0))</f>
        <v/>
      </c>
      <c r="E22" s="581"/>
      <c r="F22" s="582" t="str">
        <f ca="1">IF(ROWS($1:6)&gt;COUNT(Dong10),"",OFFSET(TH!I$1,SMALL(Dong10,ROWS($1:6)),))</f>
        <v/>
      </c>
      <c r="G22" s="582" t="str">
        <f ca="1">IF(ROWS($1:6)&gt;COUNT(Dong10),"",OFFSET(TH!J$1,SMALL(Dong10,ROWS($1:6)),))</f>
        <v/>
      </c>
      <c r="H22" s="581">
        <f t="shared" ca="1" si="1"/>
        <v>0</v>
      </c>
    </row>
    <row r="23" spans="1:8" ht="11.25" customHeight="1">
      <c r="A23" s="577" t="str">
        <f t="shared" ca="1" si="2"/>
        <v/>
      </c>
      <c r="B23" s="578" t="str">
        <f ca="1">IF(ROWS($1:7)&gt;COUNT(Dong10),"",OFFSET(TH!F$1,SMALL(Dong10,ROWS($1:7)),))</f>
        <v/>
      </c>
      <c r="C23" s="579"/>
      <c r="D23" s="580" t="str">
        <f ca="1">IF(ISNA(VLOOKUP(B23,NXT!$C$12:$D$60,2,0)),"",VLOOKUP(B23,NXT!$C$12:$D$60,2,0))</f>
        <v/>
      </c>
      <c r="E23" s="581"/>
      <c r="F23" s="582" t="str">
        <f ca="1">IF(ROWS($1:7)&gt;COUNT(Dong10),"",OFFSET(TH!I$1,SMALL(Dong10,ROWS($1:7)),))</f>
        <v/>
      </c>
      <c r="G23" s="582" t="str">
        <f ca="1">IF(ROWS($1:7)&gt;COUNT(Dong10),"",OFFSET(TH!J$1,SMALL(Dong10,ROWS($1:7)),))</f>
        <v/>
      </c>
      <c r="H23" s="581">
        <f t="shared" ca="1" si="1"/>
        <v>0</v>
      </c>
    </row>
    <row r="24" spans="1:8" ht="11.25" customHeight="1">
      <c r="A24" s="577" t="str">
        <f t="shared" ref="A24" ca="1" si="3">IF(B24="","",A23+1)</f>
        <v/>
      </c>
      <c r="B24" s="578" t="str">
        <f ca="1">IF(ROWS($1:8)&gt;COUNT(Dong10),"",OFFSET(TH!F$1,SMALL(Dong10,ROWS($1:8)),))</f>
        <v/>
      </c>
      <c r="C24" s="579"/>
      <c r="D24" s="580" t="str">
        <f ca="1">IF(ISNA(VLOOKUP(B24,NXT!$C$12:$D$60,2,0)),"",VLOOKUP(B24,NXT!$C$12:$D$60,2,0))</f>
        <v/>
      </c>
      <c r="E24" s="581"/>
      <c r="F24" s="582" t="str">
        <f ca="1">IF(ROWS($1:8)&gt;COUNT(Dong10),"",OFFSET(TH!I$1,SMALL(Dong10,ROWS($1:8)),))</f>
        <v/>
      </c>
      <c r="G24" s="582" t="str">
        <f ca="1">IF(ROWS($1:8)&gt;COUNT(Dong10),"",OFFSET(TH!J$1,SMALL(Dong10,ROWS($1:8)),))</f>
        <v/>
      </c>
      <c r="H24" s="581">
        <f t="shared" ca="1" si="1"/>
        <v>0</v>
      </c>
    </row>
    <row r="25" spans="1:8" ht="11.25" customHeight="1">
      <c r="A25" s="577" t="str">
        <f t="shared" ref="A25" ca="1" si="4">IF(B25="","",A24+1)</f>
        <v/>
      </c>
      <c r="B25" s="578" t="str">
        <f ca="1">IF(ROWS($1:9)&gt;COUNT(Dong10),"",OFFSET(TH!F$1,SMALL(Dong10,ROWS($1:9)),))</f>
        <v/>
      </c>
      <c r="C25" s="579"/>
      <c r="D25" s="580" t="str">
        <f ca="1">IF(ISNA(VLOOKUP(B25,NXT!$C$12:$D$60,2,0)),"",VLOOKUP(B25,NXT!$C$12:$D$60,2,0))</f>
        <v/>
      </c>
      <c r="E25" s="581"/>
      <c r="F25" s="582" t="str">
        <f ca="1">IF(ROWS($1:9)&gt;COUNT(Dong10),"",OFFSET(TH!I$1,SMALL(Dong10,ROWS($1:9)),))</f>
        <v/>
      </c>
      <c r="G25" s="582" t="str">
        <f ca="1">IF(ROWS($1:9)&gt;COUNT(Dong10),"",OFFSET(TH!J$1,SMALL(Dong10,ROWS($1:9)),))</f>
        <v/>
      </c>
      <c r="H25" s="581">
        <f t="shared" ref="H25" ca="1" si="5">IF(F25&lt;&gt;"",ROUND(F25*G25,0),0)</f>
        <v>0</v>
      </c>
    </row>
    <row r="26" spans="1:8" ht="11.25" customHeight="1">
      <c r="A26" s="577"/>
      <c r="B26" s="578"/>
      <c r="C26" s="579"/>
      <c r="D26" s="580"/>
      <c r="E26" s="581"/>
      <c r="F26" s="582"/>
      <c r="G26" s="583"/>
      <c r="H26" s="581"/>
    </row>
    <row r="27" spans="1:8" ht="11.25" customHeight="1">
      <c r="A27" s="1044" t="s">
        <v>195</v>
      </c>
      <c r="B27" s="1044"/>
      <c r="C27" s="584"/>
      <c r="D27" s="584"/>
      <c r="E27" s="585"/>
      <c r="F27" s="585"/>
      <c r="G27" s="585"/>
      <c r="H27" s="585">
        <f ca="1">SUM(H17:H26)</f>
        <v>18666000</v>
      </c>
    </row>
    <row r="28" spans="1:8" ht="3" customHeight="1">
      <c r="A28" s="586"/>
      <c r="B28" s="586"/>
      <c r="C28" s="288"/>
      <c r="D28" s="288"/>
      <c r="E28" s="587"/>
      <c r="F28" s="587"/>
      <c r="G28" s="587"/>
      <c r="H28" s="587"/>
    </row>
    <row r="29" spans="1:8" ht="11.25" customHeight="1">
      <c r="A29" s="285" t="str">
        <f ca="1">"Tổng số tiền (viết bằng chữ):  "&amp;[1]!VND(H27, TRUE)</f>
        <v>Tổng số tiền (viết bằng chữ):  Mười tám triệu, sáu trăm sáu mươi sáu ngàn đồng</v>
      </c>
    </row>
    <row r="30" spans="1:8" ht="11.25" customHeight="1">
      <c r="A30" s="285" t="str">
        <f ca="1">"Số chứng từ gốc kèm theo :  "&amp;IF(ROWS($1:1)&gt;COUNT(Dong10),"",IF(OFFSET(TH!G$1,SMALL(Dong10,ROWS($1:1)),)="","","HĐ "&amp;OFFSET(TH!G$1,SMALL(Dong10,ROWS($1:1)),)))</f>
        <v>Số chứng từ gốc kèm theo :  HĐ 0000001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9  năm  2012</v>
      </c>
    </row>
    <row r="32" spans="1:8" s="287" customFormat="1" ht="11.25" customHeight="1">
      <c r="A32" s="588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73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573" t="str">
        <f>+IF(LEFT($D$7,1)="N","","  (Ký, họ tên)")</f>
        <v xml:space="preserve">  (Ký, họ tên)</v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69" customFormat="1" ht="11.25" customHeight="1"/>
    <row r="39" spans="1:8" ht="11.25" customHeight="1">
      <c r="A39" s="293"/>
      <c r="F39" s="294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23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23" sqref="J23:M23"/>
    </sheetView>
  </sheetViews>
  <sheetFormatPr defaultColWidth="23.85546875" defaultRowHeight="15"/>
  <cols>
    <col min="1" max="1" width="4.28515625" style="296" customWidth="1"/>
    <col min="2" max="2" width="8.5703125" style="296" customWidth="1"/>
    <col min="3" max="3" width="11" style="296" customWidth="1"/>
    <col min="4" max="4" width="41.7109375" style="296" customWidth="1"/>
    <col min="5" max="5" width="8" style="309" customWidth="1"/>
    <col min="6" max="6" width="8.85546875" style="296" customWidth="1"/>
    <col min="7" max="7" width="9" style="296" customWidth="1"/>
    <col min="8" max="8" width="14.140625" style="296" customWidth="1"/>
    <col min="9" max="9" width="8.85546875" style="296" customWidth="1"/>
    <col min="10" max="10" width="13.42578125" style="296" customWidth="1"/>
    <col min="11" max="11" width="10.140625" style="296" customWidth="1"/>
    <col min="12" max="12" width="13" style="296" customWidth="1"/>
    <col min="13" max="13" width="7.140625" style="296" customWidth="1"/>
    <col min="14" max="14" width="2" style="296" customWidth="1"/>
    <col min="15" max="15" width="5.5703125" style="296" customWidth="1"/>
    <col min="16" max="16" width="4.42578125" style="296" customWidth="1"/>
    <col min="17" max="16384" width="23.85546875" style="296"/>
  </cols>
  <sheetData>
    <row r="1" spans="1:17">
      <c r="A1" s="295" t="s">
        <v>198</v>
      </c>
      <c r="E1" s="296"/>
      <c r="O1" s="297"/>
    </row>
    <row r="2" spans="1:17" s="247" customFormat="1" ht="16.5" customHeight="1">
      <c r="B2" s="298" t="str">
        <f>TH!A1</f>
        <v>Đơn vị: CÔNG TY TNHH MỘT THÀNH VIÊN KHỞI NGUYÊN AN</v>
      </c>
      <c r="C2" s="299"/>
      <c r="D2" s="300"/>
      <c r="E2" s="301"/>
      <c r="F2" s="2"/>
      <c r="J2" s="1052" t="s">
        <v>199</v>
      </c>
      <c r="K2" s="1052"/>
      <c r="L2" s="1052"/>
      <c r="M2" s="1052"/>
      <c r="N2" s="302"/>
    </row>
    <row r="3" spans="1:17" s="247" customFormat="1" ht="16.5" customHeight="1">
      <c r="B3" s="517" t="str">
        <f>TH!A2</f>
        <v>Địa chỉ: Thửa đất số 144, tờ bản đồ số 12TĐH.1, tổ 1, khu phố Đông Tác, Phường Tân Đông Hiệp, Thị Xã Dĩ An, Tỉnh Bình Dương, Việt Nam</v>
      </c>
      <c r="C3" s="298"/>
      <c r="D3" s="298"/>
      <c r="E3" s="303"/>
      <c r="F3" s="298"/>
      <c r="J3" s="1053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53"/>
      <c r="L3" s="1053"/>
      <c r="M3" s="1053"/>
      <c r="N3" s="304"/>
    </row>
    <row r="4" spans="1:17" s="247" customFormat="1" ht="16.5" customHeight="1">
      <c r="B4" s="298"/>
      <c r="C4" s="298"/>
      <c r="D4" s="298"/>
      <c r="E4" s="303"/>
      <c r="F4" s="298"/>
      <c r="J4" s="1053"/>
      <c r="K4" s="1053"/>
      <c r="L4" s="1053"/>
      <c r="M4" s="1053"/>
      <c r="N4" s="304"/>
    </row>
    <row r="5" spans="1:17" ht="18.75" customHeight="1">
      <c r="B5" s="1054" t="s">
        <v>200</v>
      </c>
      <c r="C5" s="1054"/>
      <c r="D5" s="1054"/>
      <c r="E5" s="1054"/>
      <c r="F5" s="1054"/>
      <c r="G5" s="1054"/>
      <c r="H5" s="1054"/>
      <c r="I5" s="1054"/>
      <c r="J5" s="1054"/>
      <c r="K5" s="1054"/>
      <c r="L5" s="1054"/>
      <c r="M5" s="1054"/>
      <c r="N5" s="305"/>
    </row>
    <row r="6" spans="1:17" s="306" customFormat="1" ht="12.75">
      <c r="B6" s="1055" t="s">
        <v>201</v>
      </c>
      <c r="C6" s="1055"/>
      <c r="D6" s="1055"/>
      <c r="E6" s="1055"/>
      <c r="F6" s="1055"/>
      <c r="G6" s="1055"/>
      <c r="H6" s="1055"/>
      <c r="I6" s="1055"/>
      <c r="J6" s="1055"/>
      <c r="K6" s="1055"/>
      <c r="L6" s="1055"/>
      <c r="M6" s="1055"/>
      <c r="N6" s="307"/>
    </row>
    <row r="7" spans="1:17">
      <c r="C7" s="308"/>
      <c r="D7" s="308"/>
      <c r="F7" s="310" t="s">
        <v>263</v>
      </c>
      <c r="G7" s="446" t="str">
        <f>IF($O$10="VL","1522",IF($O$10="NL","1521",IF($O$10="TP","155","")))</f>
        <v>155</v>
      </c>
      <c r="H7" s="310" t="s">
        <v>202</v>
      </c>
      <c r="I7" s="308" t="str">
        <f>IF($O$10="NL","Nguyên Liệu",IF($O$10="TP","Thành Phẩm",IF($O$10="VL","Vật Liệu","")))</f>
        <v>Thành Phẩm</v>
      </c>
      <c r="J7" s="308"/>
      <c r="K7" s="308"/>
      <c r="L7" s="308"/>
      <c r="M7" s="308"/>
      <c r="N7" s="309"/>
    </row>
    <row r="8" spans="1:17">
      <c r="B8" s="309"/>
      <c r="C8" s="308"/>
      <c r="D8" s="308"/>
      <c r="F8" s="309" t="s">
        <v>203</v>
      </c>
      <c r="H8" s="308"/>
      <c r="I8" s="308"/>
      <c r="J8" s="1056" t="s">
        <v>557</v>
      </c>
      <c r="K8" s="1056"/>
      <c r="L8" s="1056"/>
      <c r="M8" s="308"/>
      <c r="N8" s="308"/>
    </row>
    <row r="9" spans="1:17">
      <c r="D9" s="311"/>
      <c r="E9" s="312"/>
      <c r="F9" s="311"/>
      <c r="G9" s="311"/>
      <c r="H9" s="311"/>
      <c r="I9" s="311"/>
      <c r="J9" s="311"/>
      <c r="K9" s="311" t="s">
        <v>123</v>
      </c>
      <c r="M9" s="313"/>
      <c r="N9" s="314"/>
    </row>
    <row r="10" spans="1:17" ht="15.75" customHeight="1">
      <c r="A10" s="1046" t="s">
        <v>35</v>
      </c>
      <c r="B10" s="1047" t="s">
        <v>1</v>
      </c>
      <c r="C10" s="1047"/>
      <c r="D10" s="1048" t="s">
        <v>0</v>
      </c>
      <c r="E10" s="1048" t="s">
        <v>204</v>
      </c>
      <c r="F10" s="1048" t="s">
        <v>192</v>
      </c>
      <c r="G10" s="1050" t="s">
        <v>205</v>
      </c>
      <c r="H10" s="1051"/>
      <c r="I10" s="1050" t="s">
        <v>206</v>
      </c>
      <c r="J10" s="1051"/>
      <c r="K10" s="1050" t="s">
        <v>207</v>
      </c>
      <c r="L10" s="1051"/>
      <c r="M10" s="1048" t="s">
        <v>127</v>
      </c>
      <c r="N10" s="315"/>
      <c r="O10" s="316" t="s">
        <v>600</v>
      </c>
    </row>
    <row r="11" spans="1:17" ht="31.5" customHeight="1">
      <c r="A11" s="1046"/>
      <c r="B11" s="317" t="s">
        <v>15</v>
      </c>
      <c r="C11" s="317" t="s">
        <v>32</v>
      </c>
      <c r="D11" s="1048"/>
      <c r="E11" s="1048"/>
      <c r="F11" s="1048"/>
      <c r="G11" s="317" t="s">
        <v>191</v>
      </c>
      <c r="H11" s="317" t="s">
        <v>193</v>
      </c>
      <c r="I11" s="317" t="s">
        <v>191</v>
      </c>
      <c r="J11" s="317" t="s">
        <v>193</v>
      </c>
      <c r="K11" s="317" t="s">
        <v>191</v>
      </c>
      <c r="L11" s="317" t="s">
        <v>193</v>
      </c>
      <c r="M11" s="1048"/>
      <c r="N11" s="315"/>
    </row>
    <row r="12" spans="1:17" s="309" customFormat="1">
      <c r="A12" s="318"/>
      <c r="B12" s="319" t="s">
        <v>2</v>
      </c>
      <c r="C12" s="320" t="s">
        <v>3</v>
      </c>
      <c r="D12" s="320" t="s">
        <v>4</v>
      </c>
      <c r="E12" s="319" t="s">
        <v>5</v>
      </c>
      <c r="F12" s="319">
        <v>1</v>
      </c>
      <c r="G12" s="319">
        <v>2</v>
      </c>
      <c r="H12" s="319" t="s">
        <v>208</v>
      </c>
      <c r="I12" s="319">
        <v>4</v>
      </c>
      <c r="J12" s="319" t="s">
        <v>209</v>
      </c>
      <c r="K12" s="319">
        <v>6</v>
      </c>
      <c r="L12" s="319" t="s">
        <v>210</v>
      </c>
      <c r="M12" s="319"/>
      <c r="N12" s="321"/>
    </row>
    <row r="13" spans="1:17">
      <c r="A13" s="322"/>
      <c r="B13" s="322"/>
      <c r="C13" s="322"/>
      <c r="D13" s="323" t="s">
        <v>144</v>
      </c>
      <c r="E13" s="324"/>
      <c r="F13" s="325"/>
      <c r="G13" s="325"/>
      <c r="H13" s="325"/>
      <c r="I13" s="325"/>
      <c r="J13" s="325"/>
      <c r="K13" s="326">
        <f>VLOOKUP($J$8,NXT!$C$12:$L$60,3,0)</f>
        <v>0</v>
      </c>
      <c r="L13" s="326">
        <f>VLOOKUP($J$8,NXT!$C$12:$L$60,4,0)</f>
        <v>0</v>
      </c>
      <c r="M13" s="325"/>
      <c r="N13" s="321"/>
    </row>
    <row r="14" spans="1:17">
      <c r="A14" s="292">
        <f ca="1">IF(B14="","",ROW()-13)</f>
        <v>1</v>
      </c>
      <c r="B14" s="327" t="str">
        <f ca="1">IF(ROWS($1:1)&gt;COUNT(Dong11),"",OFFSET(TH!D$1,SMALL(Dong11,ROWS($1:1)),))</f>
        <v>NTP</v>
      </c>
      <c r="C14" s="328">
        <f ca="1">IF(ROWS($1:1)&gt;COUNT(Dong11),"",OFFSET(TH!E$1,SMALL(Dong11,ROWS($1:1)),))</f>
        <v>41274</v>
      </c>
      <c r="D14" s="329" t="str">
        <f ca="1">IF(ROWS($1:1)&gt;COUNT(Dong11),"",OFFSET(TH!H$1,SMALL(Dong11,ROWS($1:1)),))</f>
        <v>Nhập thành phẩm</v>
      </c>
      <c r="E14" s="327" t="str">
        <f ca="1">IF(ROWS($1:1)&gt;COUNT(Dong11),"",IF(OFFSET(TH!L$1,SMALL(Dong11,ROWS($1:1)),)=$G$7,OFFSET(TH!M$1,SMALL(Dong11,ROWS($1:1)),),OFFSET(TH!L$1,SMALL(Dong11,ROWS($1:1)),)))</f>
        <v>156</v>
      </c>
      <c r="F14" s="330">
        <f ca="1">IF(ROWS($1:1)&gt;COUNT(Dong11),0,OFFSET(TH!J$1,SMALL(Dong11,ROWS($1:1)),))</f>
        <v>19714.978885453584</v>
      </c>
      <c r="G14" s="330">
        <f ca="1">IF(ROWS($1:1)&gt;COUNT(Dong11),0,IF(LEFT(OFFSET(TH!D$1,SMALL(Dong11,ROWS($1:1)),),1)="N",OFFSET(TH!I$1,SMALL(Dong11,ROWS($1:1)),),0))</f>
        <v>60</v>
      </c>
      <c r="H14" s="331">
        <f ca="1">ROUND(F14*G14,0)</f>
        <v>1182899</v>
      </c>
      <c r="I14" s="330">
        <f ca="1">IF(ROWS($1:1)&gt;COUNT(Dong11),0,IF(LEFT(OFFSET(TH!D$1,SMALL(Dong11,ROWS($1:1)),),1)="X",OFFSET(TH!I$1,SMALL(Dong11,ROWS($1:1)),),0))</f>
        <v>0</v>
      </c>
      <c r="J14" s="331">
        <f ca="1">ROUND(F14*I14,0)</f>
        <v>0</v>
      </c>
      <c r="K14" s="331">
        <f ca="1">IF(D14&lt;&gt;"",K13+G14-I14,0)</f>
        <v>60</v>
      </c>
      <c r="L14" s="331">
        <f ca="1">IF(D14&lt;&gt;"",L13+H14-J14,0)</f>
        <v>1182899</v>
      </c>
      <c r="M14" s="331"/>
      <c r="N14" s="321"/>
    </row>
    <row r="15" spans="1:17">
      <c r="A15" s="292">
        <f t="shared" ref="A15:A18" ca="1" si="0">IF(B15="","",A14+1)</f>
        <v>2</v>
      </c>
      <c r="B15" s="327" t="str">
        <f ca="1">IF(ROWS($1:2)&gt;COUNT(Dong11),"",OFFSET(TH!D$1,SMALL(Dong11,ROWS($1:2)),))</f>
        <v>XB/GV</v>
      </c>
      <c r="C15" s="328">
        <f ca="1">IF(ROWS($1:2)&gt;COUNT(Dong11),"",OFFSET(TH!E$1,SMALL(Dong11,ROWS($1:2)),))</f>
        <v>41274</v>
      </c>
      <c r="D15" s="329" t="str">
        <f ca="1">IF(ROWS($1:2)&gt;COUNT(Dong11),"",OFFSET(TH!H$1,SMALL(Dong11,ROWS($1:2)),))</f>
        <v>Xuất bán</v>
      </c>
      <c r="E15" s="327" t="str">
        <f ca="1">IF(ROWS($1:2)&gt;COUNT(Dong11),"",IF(OFFSET(TH!L$1,SMALL(Dong11,ROWS($1:2)),)=$G$7,OFFSET(TH!M$1,SMALL(Dong11,ROWS($1:2)),),OFFSET(TH!L$1,SMALL(Dong11,ROWS($1:2)),)))</f>
        <v>632</v>
      </c>
      <c r="F15" s="330">
        <f ca="1">IF(ROWS($1:2)&gt;COUNT(Dong11),0,OFFSET(TH!J$1,SMALL(Dong11,ROWS($1:2)),))</f>
        <v>19714.978885453584</v>
      </c>
      <c r="G15" s="330">
        <f ca="1">IF(ROWS($1:2)&gt;COUNT(Dong11),0,IF(LEFT(OFFSET(TH!D$1,SMALL(Dong11,ROWS($1:2)),),1)="N",OFFSET(TH!I$1,SMALL(Dong11,ROWS($1:2)),),0))</f>
        <v>0</v>
      </c>
      <c r="H15" s="331">
        <f t="shared" ref="H15:H18" ca="1" si="1">ROUND(F15*G15,0)</f>
        <v>0</v>
      </c>
      <c r="I15" s="330">
        <f ca="1">IF(ROWS($1:2)&gt;COUNT(Dong11),0,IF(LEFT(OFFSET(TH!D$1,SMALL(Dong11,ROWS($1:2)),),1)="X",OFFSET(TH!I$1,SMALL(Dong11,ROWS($1:2)),),0))</f>
        <v>60</v>
      </c>
      <c r="J15" s="331">
        <f t="shared" ref="J15:J18" ca="1" si="2">ROUND(F15*I15,0)</f>
        <v>1182899</v>
      </c>
      <c r="K15" s="331">
        <f t="shared" ref="K15:K18" ca="1" si="3">IF(D15&lt;&gt;"",K14+G15-I15,0)</f>
        <v>0</v>
      </c>
      <c r="L15" s="331">
        <f t="shared" ref="L15:L18" ca="1" si="4">IF(D15&lt;&gt;"",L14+H15-J15,0)</f>
        <v>0</v>
      </c>
      <c r="M15" s="331"/>
      <c r="N15" s="321"/>
      <c r="Q15" s="332"/>
    </row>
    <row r="16" spans="1:17">
      <c r="A16" s="292" t="str">
        <f t="shared" ca="1" si="0"/>
        <v/>
      </c>
      <c r="B16" s="327" t="str">
        <f ca="1">IF(ROWS($1:3)&gt;COUNT(Dong11),"",OFFSET(TH!D$1,SMALL(Dong11,ROWS($1:3)),))</f>
        <v/>
      </c>
      <c r="C16" s="328" t="str">
        <f ca="1">IF(ROWS($1:3)&gt;COUNT(Dong11),"",OFFSET(TH!E$1,SMALL(Dong11,ROWS($1:3)),))</f>
        <v/>
      </c>
      <c r="D16" s="329" t="str">
        <f ca="1">IF(ROWS($1:3)&gt;COUNT(Dong11),"",OFFSET(TH!H$1,SMALL(Dong11,ROWS($1:3)),))</f>
        <v/>
      </c>
      <c r="E16" s="327" t="str">
        <f ca="1">IF(ROWS($1:3)&gt;COUNT(Dong11),"",IF(OFFSET(TH!L$1,SMALL(Dong11,ROWS($1:3)),)=$G$7,OFFSET(TH!M$1,SMALL(Dong11,ROWS($1:3)),),OFFSET(TH!L$1,SMALL(Dong11,ROWS($1:3)),)))</f>
        <v/>
      </c>
      <c r="F16" s="330">
        <f ca="1">IF(ROWS($1:3)&gt;COUNT(Dong11),0,OFFSET(TH!J$1,SMALL(Dong11,ROWS($1:3)),))</f>
        <v>0</v>
      </c>
      <c r="G16" s="330">
        <f ca="1">IF(ROWS($1:3)&gt;COUNT(Dong11),0,IF(LEFT(OFFSET(TH!D$1,SMALL(Dong11,ROWS($1:3)),),1)="N",OFFSET(TH!I$1,SMALL(Dong11,ROWS($1:3)),),0))</f>
        <v>0</v>
      </c>
      <c r="H16" s="331">
        <f t="shared" ca="1" si="1"/>
        <v>0</v>
      </c>
      <c r="I16" s="330">
        <f ca="1">IF(ROWS($1:3)&gt;COUNT(Dong11),0,IF(LEFT(OFFSET(TH!D$1,SMALL(Dong11,ROWS($1:3)),),1)="X",OFFSET(TH!I$1,SMALL(Dong11,ROWS($1:3)),),0))</f>
        <v>0</v>
      </c>
      <c r="J16" s="331">
        <f t="shared" ca="1" si="2"/>
        <v>0</v>
      </c>
      <c r="K16" s="331">
        <f t="shared" ca="1" si="3"/>
        <v>0</v>
      </c>
      <c r="L16" s="331">
        <f t="shared" ca="1" si="4"/>
        <v>0</v>
      </c>
      <c r="M16" s="331"/>
      <c r="N16" s="321"/>
    </row>
    <row r="17" spans="1:16">
      <c r="A17" s="292" t="str">
        <f t="shared" ca="1" si="0"/>
        <v/>
      </c>
      <c r="B17" s="327" t="str">
        <f ca="1">IF(ROWS($1:4)&gt;COUNT(Dong11),"",OFFSET(TH!D$1,SMALL(Dong11,ROWS($1:4)),))</f>
        <v/>
      </c>
      <c r="C17" s="328" t="str">
        <f ca="1">IF(ROWS($1:4)&gt;COUNT(Dong11),"",OFFSET(TH!E$1,SMALL(Dong11,ROWS($1:4)),))</f>
        <v/>
      </c>
      <c r="D17" s="329" t="str">
        <f ca="1">IF(ROWS($1:4)&gt;COUNT(Dong11),"",OFFSET(TH!H$1,SMALL(Dong11,ROWS($1:4)),))</f>
        <v/>
      </c>
      <c r="E17" s="327" t="str">
        <f ca="1">IF(ROWS($1:4)&gt;COUNT(Dong11),"",IF(OFFSET(TH!L$1,SMALL(Dong11,ROWS($1:4)),)=$G$7,OFFSET(TH!M$1,SMALL(Dong11,ROWS($1:4)),),OFFSET(TH!L$1,SMALL(Dong11,ROWS($1:4)),)))</f>
        <v/>
      </c>
      <c r="F17" s="330">
        <f ca="1">IF(ROWS($1:4)&gt;COUNT(Dong11),0,OFFSET(TH!J$1,SMALL(Dong11,ROWS($1:4)),))</f>
        <v>0</v>
      </c>
      <c r="G17" s="330">
        <f ca="1">IF(ROWS($1:4)&gt;COUNT(Dong11),0,IF(LEFT(OFFSET(TH!D$1,SMALL(Dong11,ROWS($1:4)),),1)="N",OFFSET(TH!I$1,SMALL(Dong11,ROWS($1:4)),),0))</f>
        <v>0</v>
      </c>
      <c r="H17" s="331">
        <f t="shared" ca="1" si="1"/>
        <v>0</v>
      </c>
      <c r="I17" s="330">
        <f ca="1">IF(ROWS($1:4)&gt;COUNT(Dong11),0,IF(LEFT(OFFSET(TH!D$1,SMALL(Dong11,ROWS($1:4)),),1)="X",OFFSET(TH!I$1,SMALL(Dong11,ROWS($1:4)),),0))</f>
        <v>0</v>
      </c>
      <c r="J17" s="331">
        <f t="shared" ca="1" si="2"/>
        <v>0</v>
      </c>
      <c r="K17" s="331">
        <f t="shared" ca="1" si="3"/>
        <v>0</v>
      </c>
      <c r="L17" s="331">
        <f t="shared" ca="1" si="4"/>
        <v>0</v>
      </c>
      <c r="M17" s="331"/>
      <c r="N17" s="321"/>
      <c r="P17" s="333"/>
    </row>
    <row r="18" spans="1:16">
      <c r="A18" s="292" t="str">
        <f t="shared" ca="1" si="0"/>
        <v/>
      </c>
      <c r="B18" s="327" t="str">
        <f ca="1">IF(ROWS($1:5)&gt;COUNT(Dong11),"",OFFSET(TH!D$1,SMALL(Dong11,ROWS($1:5)),))</f>
        <v/>
      </c>
      <c r="C18" s="328" t="str">
        <f ca="1">IF(ROWS($1:5)&gt;COUNT(Dong11),"",OFFSET(TH!E$1,SMALL(Dong11,ROWS($1:5)),))</f>
        <v/>
      </c>
      <c r="D18" s="329" t="str">
        <f ca="1">IF(ROWS($1:5)&gt;COUNT(Dong11),"",OFFSET(TH!H$1,SMALL(Dong11,ROWS($1:5)),))</f>
        <v/>
      </c>
      <c r="E18" s="327" t="str">
        <f ca="1">IF(ROWS($1:5)&gt;COUNT(Dong11),"",IF(OFFSET(TH!L$1,SMALL(Dong11,ROWS($1:5)),)=$G$7,OFFSET(TH!M$1,SMALL(Dong11,ROWS($1:5)),),OFFSET(TH!L$1,SMALL(Dong11,ROWS($1:5)),)))</f>
        <v/>
      </c>
      <c r="F18" s="330">
        <f ca="1">IF(ROWS($1:5)&gt;COUNT(Dong11),0,OFFSET(TH!J$1,SMALL(Dong11,ROWS($1:5)),))</f>
        <v>0</v>
      </c>
      <c r="G18" s="330">
        <f ca="1">IF(ROWS($1:5)&gt;COUNT(Dong11),0,IF(LEFT(OFFSET(TH!D$1,SMALL(Dong11,ROWS($1:5)),),1)="N",OFFSET(TH!I$1,SMALL(Dong11,ROWS($1:5)),),0))</f>
        <v>0</v>
      </c>
      <c r="H18" s="331">
        <f t="shared" ca="1" si="1"/>
        <v>0</v>
      </c>
      <c r="I18" s="330">
        <f ca="1">IF(ROWS($1:5)&gt;COUNT(Dong11),0,IF(LEFT(OFFSET(TH!D$1,SMALL(Dong11,ROWS($1:5)),),1)="X",OFFSET(TH!I$1,SMALL(Dong11,ROWS($1:5)),),0))</f>
        <v>0</v>
      </c>
      <c r="J18" s="331">
        <f t="shared" ca="1" si="2"/>
        <v>0</v>
      </c>
      <c r="K18" s="331">
        <f t="shared" ca="1" si="3"/>
        <v>0</v>
      </c>
      <c r="L18" s="331">
        <f t="shared" ca="1" si="4"/>
        <v>0</v>
      </c>
      <c r="M18" s="331"/>
      <c r="N18" s="321"/>
    </row>
    <row r="19" spans="1:16">
      <c r="A19" s="292" t="str">
        <f>IF(B19="","",#REF!+1)</f>
        <v/>
      </c>
      <c r="B19" s="334"/>
      <c r="C19" s="335"/>
      <c r="D19" s="329"/>
      <c r="E19" s="336"/>
      <c r="F19" s="337"/>
      <c r="G19" s="323"/>
      <c r="H19" s="323"/>
      <c r="I19" s="323"/>
      <c r="J19" s="323"/>
      <c r="K19" s="323"/>
      <c r="L19" s="323"/>
      <c r="M19" s="338"/>
      <c r="N19" s="321"/>
    </row>
    <row r="20" spans="1:16">
      <c r="A20" s="339"/>
      <c r="B20" s="339"/>
      <c r="C20" s="339"/>
      <c r="D20" s="339" t="s">
        <v>211</v>
      </c>
      <c r="E20" s="319" t="s">
        <v>19</v>
      </c>
      <c r="F20" s="319" t="s">
        <v>19</v>
      </c>
      <c r="G20" s="340">
        <f ca="1">SUM(G14:G19)</f>
        <v>60</v>
      </c>
      <c r="H20" s="340">
        <f ca="1">SUM(H14:H19)</f>
        <v>1182899</v>
      </c>
      <c r="I20" s="340">
        <f ca="1">SUM(I14:I19)</f>
        <v>60</v>
      </c>
      <c r="J20" s="340">
        <f ca="1">SUM(J14:J19)</f>
        <v>1182899</v>
      </c>
      <c r="K20" s="340">
        <f ca="1">K13+G20-I20</f>
        <v>0</v>
      </c>
      <c r="L20" s="340">
        <f ca="1">L13+H20-J20</f>
        <v>0</v>
      </c>
      <c r="M20" s="339"/>
      <c r="N20" s="321"/>
    </row>
    <row r="21" spans="1:16">
      <c r="B21" s="341" t="s">
        <v>212</v>
      </c>
      <c r="G21" s="333"/>
      <c r="N21" s="321"/>
    </row>
    <row r="22" spans="1:16">
      <c r="B22" s="342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3"/>
      <c r="I22" s="333"/>
      <c r="N22" s="321"/>
    </row>
    <row r="23" spans="1:16">
      <c r="B23" s="308"/>
      <c r="C23" s="308"/>
      <c r="D23" s="308"/>
      <c r="F23" s="308"/>
      <c r="G23" s="343"/>
      <c r="H23" s="309"/>
      <c r="I23" s="344"/>
      <c r="J23" s="1049" t="str">
        <f ca="1">"Ngày 31 tháng  12  năm  "&amp;YEAR($A$14)</f>
        <v>Ngày 31 tháng  12  năm  1900</v>
      </c>
      <c r="K23" s="1049"/>
      <c r="L23" s="1049"/>
      <c r="M23" s="1049"/>
      <c r="N23" s="321"/>
    </row>
    <row r="24" spans="1:16">
      <c r="C24" s="308"/>
      <c r="D24" s="469" t="s">
        <v>11</v>
      </c>
      <c r="E24" s="1049" t="s">
        <v>12</v>
      </c>
      <c r="F24" s="1049"/>
      <c r="G24" s="1049"/>
      <c r="H24" s="1049"/>
      <c r="I24" s="1049"/>
      <c r="J24" s="1049" t="s">
        <v>109</v>
      </c>
      <c r="K24" s="1049"/>
      <c r="L24" s="1049"/>
      <c r="M24" s="1049"/>
      <c r="N24" s="321"/>
    </row>
    <row r="25" spans="1:16">
      <c r="C25" s="308"/>
      <c r="D25" s="469" t="s">
        <v>13</v>
      </c>
      <c r="E25" s="1049" t="s">
        <v>13</v>
      </c>
      <c r="F25" s="1049"/>
      <c r="G25" s="1049"/>
      <c r="H25" s="1049" t="s">
        <v>136</v>
      </c>
      <c r="I25" s="1049"/>
      <c r="J25" s="1049" t="s">
        <v>136</v>
      </c>
      <c r="K25" s="1049"/>
      <c r="L25" s="1049"/>
      <c r="M25" s="1049"/>
      <c r="N25" s="321"/>
    </row>
    <row r="26" spans="1:16">
      <c r="N26" s="345"/>
    </row>
    <row r="27" spans="1:16">
      <c r="E27" s="296"/>
    </row>
    <row r="29" spans="1:16" customFormat="1" ht="12.75">
      <c r="E29" s="346"/>
    </row>
    <row r="34" spans="1:17">
      <c r="D34" s="486" t="s">
        <v>151</v>
      </c>
      <c r="E34" s="486"/>
      <c r="J34" s="1045" t="s">
        <v>103</v>
      </c>
      <c r="K34" s="1045"/>
      <c r="L34" s="1045"/>
      <c r="M34" s="1045"/>
      <c r="N34" s="487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2:M2"/>
    <mergeCell ref="J3:M4"/>
    <mergeCell ref="B5:M5"/>
    <mergeCell ref="B6:M6"/>
    <mergeCell ref="J8:L8"/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22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39"/>
  <sheetViews>
    <sheetView topLeftCell="A4" zoomScale="90" workbookViewId="0">
      <pane ySplit="10" topLeftCell="A14" activePane="bottomLeft" state="frozen"/>
      <selection activeCell="A4" sqref="A4"/>
      <selection pane="bottomLeft" activeCell="M18" sqref="M18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MỘT THÀNH VIÊN KHỞI NGUYÊN AN</v>
      </c>
      <c r="B1" s="348"/>
      <c r="C1" s="348"/>
      <c r="D1" s="348"/>
      <c r="E1" s="349"/>
      <c r="F1" s="1058" t="s">
        <v>213</v>
      </c>
      <c r="G1" s="1058"/>
      <c r="H1" s="1058"/>
      <c r="I1" s="1058"/>
      <c r="J1" s="1058"/>
      <c r="K1" s="351"/>
      <c r="L1" s="352"/>
    </row>
    <row r="2" spans="1:12" ht="15" customHeight="1">
      <c r="A2" s="518" t="str">
        <f>TH!A2</f>
        <v>Địa chỉ: Thửa đất số 144, tờ bản đồ số 12TĐH.1, tổ 1, khu phố Đông Tác, Phường Tân Đông Hiệp, Thị Xã Dĩ An, Tỉnh Bình Dương, Việt Nam</v>
      </c>
      <c r="B2" s="353"/>
      <c r="C2" s="353"/>
      <c r="D2" s="353"/>
      <c r="E2" s="354"/>
      <c r="F2" s="1057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1057"/>
      <c r="H2" s="1057"/>
      <c r="I2" s="1057"/>
      <c r="J2" s="1057"/>
      <c r="K2" s="351"/>
    </row>
    <row r="3" spans="1:12" ht="15">
      <c r="A3" s="353"/>
      <c r="B3" s="353"/>
      <c r="C3" s="353"/>
      <c r="D3" s="353"/>
      <c r="E3" s="354"/>
      <c r="F3" s="1057"/>
      <c r="G3" s="1057"/>
      <c r="H3" s="1057"/>
      <c r="I3" s="1057"/>
      <c r="J3" s="1057"/>
      <c r="K3" s="351"/>
    </row>
    <row r="4" spans="1:12" ht="18.75" customHeight="1">
      <c r="A4" s="356"/>
      <c r="B4" s="356"/>
      <c r="C4" s="356"/>
      <c r="D4" s="356"/>
      <c r="E4" s="357" t="s">
        <v>214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31/12/2012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215</v>
      </c>
      <c r="F6" s="358"/>
      <c r="G6" s="358"/>
      <c r="H6" s="358"/>
      <c r="I6" s="358"/>
      <c r="J6" s="351"/>
      <c r="K6" s="351"/>
    </row>
    <row r="7" spans="1:12" ht="15">
      <c r="A7" s="342" t="s">
        <v>216</v>
      </c>
      <c r="B7" s="342"/>
      <c r="C7" s="360"/>
      <c r="D7" s="360"/>
      <c r="E7" s="361" t="s">
        <v>552</v>
      </c>
      <c r="F7" s="355"/>
      <c r="G7" s="362"/>
      <c r="H7" s="362"/>
      <c r="I7" s="362"/>
      <c r="J7" s="351"/>
      <c r="K7" s="351"/>
    </row>
    <row r="8" spans="1:12" ht="15">
      <c r="A8" s="342" t="s">
        <v>217</v>
      </c>
      <c r="B8" s="342"/>
      <c r="C8" s="351" t="str">
        <f>VLOOKUP($E$7,NXT!$C$12:$L$60,2,0)</f>
        <v>cái</v>
      </c>
      <c r="D8" s="342"/>
      <c r="E8" s="361"/>
      <c r="F8" s="355"/>
      <c r="G8" s="362"/>
      <c r="H8" s="362"/>
      <c r="I8" s="362"/>
      <c r="J8" s="351"/>
      <c r="K8" s="351"/>
    </row>
    <row r="9" spans="1:12" ht="15">
      <c r="A9" s="1059" t="s">
        <v>218</v>
      </c>
      <c r="B9" s="1060"/>
      <c r="C9" s="1060"/>
      <c r="D9" s="1060"/>
      <c r="E9" s="361"/>
      <c r="F9" s="355"/>
      <c r="G9" s="362"/>
      <c r="H9" s="362"/>
      <c r="I9" s="362"/>
      <c r="J9" s="363"/>
      <c r="K9" s="363"/>
    </row>
    <row r="10" spans="1:12" ht="19.5" customHeight="1">
      <c r="A10" s="1061" t="s">
        <v>219</v>
      </c>
      <c r="B10" s="1062" t="s">
        <v>220</v>
      </c>
      <c r="C10" s="1064" t="s">
        <v>15</v>
      </c>
      <c r="D10" s="1065"/>
      <c r="E10" s="1066" t="s">
        <v>0</v>
      </c>
      <c r="F10" s="1075" t="s">
        <v>221</v>
      </c>
      <c r="G10" s="1069" t="s">
        <v>191</v>
      </c>
      <c r="H10" s="1069"/>
      <c r="I10" s="1065"/>
      <c r="J10" s="1070" t="s">
        <v>222</v>
      </c>
      <c r="K10" s="364"/>
      <c r="L10" s="365" t="s">
        <v>600</v>
      </c>
    </row>
    <row r="11" spans="1:12" ht="19.5" customHeight="1">
      <c r="A11" s="1061"/>
      <c r="B11" s="1063"/>
      <c r="C11" s="366" t="s">
        <v>205</v>
      </c>
      <c r="D11" s="366" t="s">
        <v>206</v>
      </c>
      <c r="E11" s="1067"/>
      <c r="F11" s="1076"/>
      <c r="G11" s="367" t="s">
        <v>205</v>
      </c>
      <c r="H11" s="367" t="s">
        <v>206</v>
      </c>
      <c r="I11" s="367" t="s">
        <v>207</v>
      </c>
      <c r="J11" s="107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183</v>
      </c>
      <c r="F13" s="375"/>
      <c r="G13" s="378"/>
      <c r="H13" s="378"/>
      <c r="I13" s="379">
        <f>VLOOKUP($E$7,NXT!$C$12:$L$60,3,0)</f>
        <v>0</v>
      </c>
      <c r="J13" s="374"/>
      <c r="K13" s="380"/>
    </row>
    <row r="14" spans="1:12" ht="16.5" customHeight="1">
      <c r="A14" s="381">
        <f ca="1">IF(B14&lt;&gt;"",ROW()-(ROW()-1),"")</f>
        <v>1</v>
      </c>
      <c r="B14" s="382">
        <f ca="1">IF(ROWS($1:1)&gt;COUNT(Dong12),"",OFFSET(TH!E$1,SMALL(Dong12,ROWS($1:1)),))</f>
        <v>41274</v>
      </c>
      <c r="C14" s="444" t="str">
        <f ca="1">IF(ROWS($1:1)&gt;COUNT(Dong12),"",IF(LEFT(OFFSET(TH!D$1,SMALL(Dong12,ROWS($1:1)),),1)="N",OFFSET(TH!D$1,SMALL(Dong12,ROWS($1:1)),),""))</f>
        <v>NTP</v>
      </c>
      <c r="D14" s="382" t="str">
        <f ca="1">IF(ROWS($1:1)&gt;COUNT(Dong12),"",IF(LEFT(OFFSET(TH!D$1,SMALL(Dong12,ROWS($1:1)),),1)="X",OFFSET(TH!D$1,SMALL(Dong12,ROWS($1:1)),),""))</f>
        <v/>
      </c>
      <c r="E14" s="557" t="str">
        <f ca="1">IF(ROWS($1:1)&gt;COUNT(Dong12),"",OFFSET(TH!H$1,SMALL(Dong12,ROWS($1:1)),))</f>
        <v>Nhập thành phẩm</v>
      </c>
      <c r="F14" s="382">
        <f ca="1">B14</f>
        <v>41274</v>
      </c>
      <c r="G14" s="383">
        <f ca="1">IF(ROWS($1:1)&gt;COUNT(Dong12),0,IF(LEFT(OFFSET(TH!D$1,SMALL(Dong12,ROWS($1:1)),),1)="N",OFFSET(TH!I$1,SMALL(Dong12,ROWS($1:1)),),0))</f>
        <v>100</v>
      </c>
      <c r="H14" s="383">
        <f ca="1">IF(ROWS($1:1)&gt;COUNT(Dong12),0,IF(LEFT(OFFSET(TH!D$1,SMALL(Dong12,ROWS($1:1)),),1)="X",OFFSET(TH!I$1,SMALL(Dong12,ROWS($1:1)),),0))</f>
        <v>0</v>
      </c>
      <c r="I14" s="384">
        <f ca="1">IF(E14&lt;&gt;"",I13+G14-H14,0)</f>
        <v>100</v>
      </c>
      <c r="J14" s="385"/>
      <c r="K14" s="386"/>
    </row>
    <row r="15" spans="1:12" ht="16.5" customHeight="1">
      <c r="A15" s="387">
        <f ca="1">IF(B15&lt;&gt;"",A14+1,"")</f>
        <v>2</v>
      </c>
      <c r="B15" s="382">
        <f ca="1">IF(ROWS($1:2)&gt;COUNT(Dong12),"",OFFSET(TH!E$1,SMALL(Dong12,ROWS($1:2)),))</f>
        <v>41274</v>
      </c>
      <c r="C15" s="444" t="str">
        <f ca="1">IF(ROWS($1:2)&gt;COUNT(Dong12),"",IF(LEFT(OFFSET(TH!D$1,SMALL(Dong12,ROWS($1:2)),),1)="N",OFFSET(TH!D$1,SMALL(Dong12,ROWS($1:2)),),""))</f>
        <v/>
      </c>
      <c r="D15" s="382" t="str">
        <f ca="1">IF(ROWS($1:2)&gt;COUNT(Dong12),"",IF(LEFT(OFFSET(TH!D$1,SMALL(Dong12,ROWS($1:2)),),1)="X",OFFSET(TH!D$1,SMALL(Dong12,ROWS($1:2)),),""))</f>
        <v>XB/GV</v>
      </c>
      <c r="E15" s="557" t="str">
        <f ca="1">IF(ROWS($1:2)&gt;COUNT(Dong12),"",OFFSET(TH!H$1,SMALL(Dong12,ROWS($1:2)),))</f>
        <v>Xuất bán</v>
      </c>
      <c r="F15" s="382">
        <f t="shared" ref="F15:F23" ca="1" si="0">B15</f>
        <v>41274</v>
      </c>
      <c r="G15" s="383">
        <f ca="1">IF(ROWS($1:2)&gt;COUNT(Dong12),0,IF(LEFT(OFFSET(TH!D$1,SMALL(Dong12,ROWS($1:2)),),1)="N",OFFSET(TH!I$1,SMALL(Dong12,ROWS($1:2)),),0))</f>
        <v>0</v>
      </c>
      <c r="H15" s="383">
        <f ca="1">IF(ROWS($1:2)&gt;COUNT(Dong12),0,IF(LEFT(OFFSET(TH!D$1,SMALL(Dong12,ROWS($1:2)),),1)="X",OFFSET(TH!I$1,SMALL(Dong12,ROWS($1:2)),),0))</f>
        <v>100</v>
      </c>
      <c r="I15" s="384">
        <f t="shared" ref="I15:I23" ca="1" si="1">IF(E15&lt;&gt;"",I14+G15-H15,0)</f>
        <v>0</v>
      </c>
      <c r="J15" s="385"/>
      <c r="K15" s="386"/>
    </row>
    <row r="16" spans="1:12" ht="16.5" customHeight="1">
      <c r="A16" s="387" t="str">
        <f t="shared" ref="A16:A23" ca="1" si="2">IF(B16&lt;&gt;"",A15+1,"")</f>
        <v/>
      </c>
      <c r="B16" s="382" t="str">
        <f ca="1">IF(ROWS($1:3)&gt;COUNT(Dong12),"",OFFSET(TH!E$1,SMALL(Dong12,ROWS($1:3)),))</f>
        <v/>
      </c>
      <c r="C16" s="444" t="str">
        <f ca="1">IF(ROWS($1:3)&gt;COUNT(Dong12),"",IF(LEFT(OFFSET(TH!D$1,SMALL(Dong12,ROWS($1:3)),),1)="N",OFFSET(TH!D$1,SMALL(Dong12,ROWS($1:3)),),""))</f>
        <v/>
      </c>
      <c r="D16" s="382" t="str">
        <f ca="1">IF(ROWS($1:3)&gt;COUNT(Dong12),"",IF(LEFT(OFFSET(TH!D$1,SMALL(Dong12,ROWS($1:3)),),1)="X",OFFSET(TH!D$1,SMALL(Dong12,ROWS($1:3)),),""))</f>
        <v/>
      </c>
      <c r="E16" s="557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IF(ROWS($1:3)&gt;COUNT(Dong12),0,IF(LEFT(OFFSET(TH!D$1,SMALL(Dong12,ROWS($1:3)),),1)="N",OFFSET(TH!I$1,SMALL(Dong12,ROWS($1:3)),),0))</f>
        <v>0</v>
      </c>
      <c r="H16" s="383">
        <f ca="1">IF(ROWS($1:3)&gt;COUNT(Dong12),0,IF(LEFT(OFFSET(TH!D$1,SMALL(Dong12,ROWS($1:3)),),1)="X",OFFSET(TH!I$1,SMALL(Dong12,ROWS($1:3)),),0))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44" t="str">
        <f ca="1">IF(ROWS($1:4)&gt;COUNT(Dong12),"",IF(LEFT(OFFSET(TH!D$1,SMALL(Dong12,ROWS($1:4)),),1)="N",OFFSET(TH!D$1,SMALL(Dong12,ROWS($1:4)),),""))</f>
        <v/>
      </c>
      <c r="D17" s="382" t="str">
        <f ca="1">IF(ROWS($1:4)&gt;COUNT(Dong12),"",IF(LEFT(OFFSET(TH!D$1,SMALL(Dong12,ROWS($1:4)),),1)="X",OFFSET(TH!D$1,SMALL(Dong12,ROWS($1:4)),),""))</f>
        <v/>
      </c>
      <c r="E17" s="557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IF(ROWS($1:4)&gt;COUNT(Dong12),0,IF(LEFT(OFFSET(TH!D$1,SMALL(Dong12,ROWS($1:4)),),1)="N",OFFSET(TH!I$1,SMALL(Dong12,ROWS($1:4)),),0))</f>
        <v>0</v>
      </c>
      <c r="H17" s="383">
        <f ca="1">IF(ROWS($1:4)&gt;COUNT(Dong12),0,IF(LEFT(OFFSET(TH!D$1,SMALL(Dong12,ROWS($1:4)),),1)="X",OFFSET(TH!I$1,SMALL(Dong12,ROWS($1:4)),),0))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44" t="str">
        <f ca="1">IF(ROWS($1:5)&gt;COUNT(Dong12),"",IF(LEFT(OFFSET(TH!D$1,SMALL(Dong12,ROWS($1:5)),),1)="N",OFFSET(TH!D$1,SMALL(Dong12,ROWS($1:5)),),""))</f>
        <v/>
      </c>
      <c r="D18" s="382" t="str">
        <f ca="1">IF(ROWS($1:5)&gt;COUNT(Dong12),"",IF(LEFT(OFFSET(TH!D$1,SMALL(Dong12,ROWS($1:5)),),1)="X",OFFSET(TH!D$1,SMALL(Dong12,ROWS($1:5)),),""))</f>
        <v/>
      </c>
      <c r="E18" s="557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IF(ROWS($1:5)&gt;COUNT(Dong12),0,IF(LEFT(OFFSET(TH!D$1,SMALL(Dong12,ROWS($1:5)),),1)="N",OFFSET(TH!I$1,SMALL(Dong12,ROWS($1:5)),),0))</f>
        <v>0</v>
      </c>
      <c r="H18" s="383">
        <f ca="1">IF(ROWS($1:5)&gt;COUNT(Dong12),0,IF(LEFT(OFFSET(TH!D$1,SMALL(Dong12,ROWS($1:5)),),1)="X",OFFSET(TH!I$1,SMALL(Dong12,ROWS($1:5)),),0))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44" t="str">
        <f ca="1">IF(ROWS($1:6)&gt;COUNT(Dong12),"",IF(LEFT(OFFSET(TH!D$1,SMALL(Dong12,ROWS($1:6)),),1)="N",OFFSET(TH!D$1,SMALL(Dong12,ROWS($1:6)),),""))</f>
        <v/>
      </c>
      <c r="D19" s="382" t="str">
        <f ca="1">IF(ROWS($1:6)&gt;COUNT(Dong12),"",IF(LEFT(OFFSET(TH!D$1,SMALL(Dong12,ROWS($1:6)),),1)="X",OFFSET(TH!D$1,SMALL(Dong12,ROWS($1:6)),),""))</f>
        <v/>
      </c>
      <c r="E19" s="557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IF(ROWS($1:6)&gt;COUNT(Dong12),0,IF(LEFT(OFFSET(TH!D$1,SMALL(Dong12,ROWS($1:6)),),1)="N",OFFSET(TH!I$1,SMALL(Dong12,ROWS($1:6)),),0))</f>
        <v>0</v>
      </c>
      <c r="H19" s="383">
        <f ca="1">IF(ROWS($1:6)&gt;COUNT(Dong12),0,IF(LEFT(OFFSET(TH!D$1,SMALL(Dong12,ROWS($1:6)),),1)="X",OFFSET(TH!I$1,SMALL(Dong12,ROWS($1:6)),),0))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44" t="str">
        <f ca="1">IF(ROWS($1:7)&gt;COUNT(Dong12),"",IF(LEFT(OFFSET(TH!D$1,SMALL(Dong12,ROWS($1:7)),),1)="N",OFFSET(TH!D$1,SMALL(Dong12,ROWS($1:7)),),""))</f>
        <v/>
      </c>
      <c r="D20" s="382" t="str">
        <f ca="1">IF(ROWS($1:7)&gt;COUNT(Dong12),"",IF(LEFT(OFFSET(TH!D$1,SMALL(Dong12,ROWS($1:7)),),1)="X",OFFSET(TH!D$1,SMALL(Dong12,ROWS($1:7)),),""))</f>
        <v/>
      </c>
      <c r="E20" s="557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IF(ROWS($1:7)&gt;COUNT(Dong12),0,IF(LEFT(OFFSET(TH!D$1,SMALL(Dong12,ROWS($1:7)),),1)="N",OFFSET(TH!I$1,SMALL(Dong12,ROWS($1:7)),),0))</f>
        <v>0</v>
      </c>
      <c r="H20" s="383">
        <f ca="1">IF(ROWS($1:7)&gt;COUNT(Dong12),0,IF(LEFT(OFFSET(TH!D$1,SMALL(Dong12,ROWS($1:7)),),1)="X",OFFSET(TH!I$1,SMALL(Dong12,ROWS($1:7)),),0))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44" t="str">
        <f ca="1">IF(ROWS($1:8)&gt;COUNT(Dong12),"",IF(LEFT(OFFSET(TH!D$1,SMALL(Dong12,ROWS($1:8)),),1)="N",OFFSET(TH!D$1,SMALL(Dong12,ROWS($1:8)),),""))</f>
        <v/>
      </c>
      <c r="D21" s="382" t="str">
        <f ca="1">IF(ROWS($1:8)&gt;COUNT(Dong12),"",IF(LEFT(OFFSET(TH!D$1,SMALL(Dong12,ROWS($1:8)),),1)="X",OFFSET(TH!D$1,SMALL(Dong12,ROWS($1:8)),),""))</f>
        <v/>
      </c>
      <c r="E21" s="557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IF(ROWS($1:8)&gt;COUNT(Dong12),0,IF(LEFT(OFFSET(TH!D$1,SMALL(Dong12,ROWS($1:8)),),1)="N",OFFSET(TH!I$1,SMALL(Dong12,ROWS($1:8)),),0))</f>
        <v>0</v>
      </c>
      <c r="H21" s="383">
        <f ca="1">IF(ROWS($1:8)&gt;COUNT(Dong12),0,IF(LEFT(OFFSET(TH!D$1,SMALL(Dong12,ROWS($1:8)),),1)="X",OFFSET(TH!I$1,SMALL(Dong12,ROWS($1:8)),),0))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44" t="str">
        <f ca="1">IF(ROWS($1:9)&gt;COUNT(Dong12),"",IF(LEFT(OFFSET(TH!D$1,SMALL(Dong12,ROWS($1:9)),),1)="N",OFFSET(TH!D$1,SMALL(Dong12,ROWS($1:9)),),""))</f>
        <v/>
      </c>
      <c r="D22" s="382" t="str">
        <f ca="1">IF(ROWS($1:9)&gt;COUNT(Dong12),"",IF(LEFT(OFFSET(TH!D$1,SMALL(Dong12,ROWS($1:9)),),1)="X",OFFSET(TH!D$1,SMALL(Dong12,ROWS($1:9)),),""))</f>
        <v/>
      </c>
      <c r="E22" s="557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IF(ROWS($1:9)&gt;COUNT(Dong12),0,IF(LEFT(OFFSET(TH!D$1,SMALL(Dong12,ROWS($1:9)),),1)="N",OFFSET(TH!I$1,SMALL(Dong12,ROWS($1:9)),),0))</f>
        <v>0</v>
      </c>
      <c r="H22" s="383">
        <f ca="1">IF(ROWS($1:9)&gt;COUNT(Dong12),0,IF(LEFT(OFFSET(TH!D$1,SMALL(Dong12,ROWS($1:9)),),1)="X",OFFSET(TH!I$1,SMALL(Dong12,ROWS($1:9)),),0))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44" t="str">
        <f ca="1">IF(ROWS($1:10)&gt;COUNT(Dong12),"",IF(LEFT(OFFSET(TH!D$1,SMALL(Dong12,ROWS($1:10)),),1)="N",OFFSET(TH!D$1,SMALL(Dong12,ROWS($1:10)),),""))</f>
        <v/>
      </c>
      <c r="D23" s="382" t="str">
        <f ca="1">IF(ROWS($1:10)&gt;COUNT(Dong12),"",IF(LEFT(OFFSET(TH!D$1,SMALL(Dong12,ROWS($1:10)),),1)="X",OFFSET(TH!D$1,SMALL(Dong12,ROWS($1:10)),),""))</f>
        <v/>
      </c>
      <c r="E23" s="557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IF(ROWS($1:10)&gt;COUNT(Dong12),0,IF(LEFT(OFFSET(TH!D$1,SMALL(Dong12,ROWS($1:10)),),1)="N",OFFSET(TH!I$1,SMALL(Dong12,ROWS($1:10)),),0))</f>
        <v>0</v>
      </c>
      <c r="H23" s="383">
        <f ca="1">IF(ROWS($1:10)&gt;COUNT(Dong12),0,IF(LEFT(OFFSET(TH!D$1,SMALL(Dong12,ROWS($1:10)),),1)="X",OFFSET(TH!I$1,SMALL(Dong12,ROWS($1:10)),),0))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8" t="str">
        <f>IF(D24&lt;&gt;"",A21+1,"")</f>
        <v/>
      </c>
      <c r="B24" s="389"/>
      <c r="C24" s="390"/>
      <c r="D24" s="390"/>
      <c r="E24" s="558"/>
      <c r="F24" s="389"/>
      <c r="G24" s="391"/>
      <c r="H24" s="391"/>
      <c r="I24" s="391"/>
      <c r="J24" s="392"/>
      <c r="K24" s="386"/>
    </row>
    <row r="25" spans="1:11" ht="16.5" customHeight="1">
      <c r="A25" s="376"/>
      <c r="B25" s="393"/>
      <c r="C25" s="376"/>
      <c r="D25" s="376"/>
      <c r="E25" s="377" t="s">
        <v>223</v>
      </c>
      <c r="F25" s="394" t="s">
        <v>19</v>
      </c>
      <c r="G25" s="395">
        <f ca="1">SUM(G14:G24)</f>
        <v>100</v>
      </c>
      <c r="H25" s="395">
        <f ca="1">SUM(H14:H24)</f>
        <v>100</v>
      </c>
      <c r="I25" s="395">
        <f ca="1">I13+G25-H25</f>
        <v>0</v>
      </c>
      <c r="J25" s="376" t="s">
        <v>19</v>
      </c>
      <c r="K25" s="396"/>
    </row>
    <row r="26" spans="1:11" ht="12.75" customHeight="1">
      <c r="A26" s="397"/>
      <c r="B26" s="355"/>
      <c r="C26" s="397"/>
      <c r="D26" s="397"/>
      <c r="E26" s="361"/>
      <c r="F26" s="355"/>
      <c r="G26" s="362"/>
      <c r="H26" s="362"/>
      <c r="I26" s="362"/>
      <c r="J26" s="351"/>
      <c r="K26" s="351"/>
    </row>
    <row r="27" spans="1:11" ht="15">
      <c r="A27" s="398" t="s">
        <v>224</v>
      </c>
      <c r="B27" s="398"/>
      <c r="C27" s="399"/>
      <c r="D27" s="399"/>
      <c r="E27" s="361"/>
      <c r="F27" s="355"/>
      <c r="G27" s="362"/>
      <c r="H27" s="362"/>
      <c r="I27" s="362"/>
      <c r="J27" s="351"/>
      <c r="K27" s="351"/>
    </row>
    <row r="28" spans="1:11" ht="15">
      <c r="A28" s="107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31 tháng 12 năm 2012</v>
      </c>
      <c r="B28" s="1073"/>
      <c r="C28" s="1073"/>
      <c r="D28" s="1073"/>
      <c r="E28" s="1073"/>
      <c r="F28" s="355"/>
      <c r="G28" s="362"/>
      <c r="H28" s="362"/>
      <c r="I28" s="362"/>
      <c r="J28" s="351"/>
      <c r="K28" s="351"/>
    </row>
    <row r="29" spans="1:11" ht="15">
      <c r="A29" s="400"/>
      <c r="B29" s="401"/>
      <c r="C29" s="402"/>
      <c r="D29" s="397"/>
      <c r="E29" s="361"/>
      <c r="F29" s="355"/>
      <c r="H29" s="283"/>
      <c r="I29" s="468" t="str">
        <f ca="1">"Ngày 31 tháng  12  năm  "&amp;YEAR($B$14)</f>
        <v>Ngày 31 tháng  12  năm  2012</v>
      </c>
      <c r="J29" s="283"/>
      <c r="K29" s="284"/>
    </row>
    <row r="30" spans="1:11" ht="15" customHeight="1">
      <c r="A30" s="400"/>
      <c r="C30" s="403" t="s">
        <v>225</v>
      </c>
      <c r="D30" s="397"/>
      <c r="E30" s="1074" t="s">
        <v>12</v>
      </c>
      <c r="F30" s="1074"/>
      <c r="G30" s="362"/>
      <c r="I30" s="490" t="s">
        <v>109</v>
      </c>
      <c r="J30" s="353"/>
      <c r="K30" s="400"/>
    </row>
    <row r="31" spans="1:11" ht="15" customHeight="1">
      <c r="A31" s="404"/>
      <c r="C31" s="405" t="s">
        <v>13</v>
      </c>
      <c r="D31" s="406"/>
      <c r="E31" s="1068" t="s">
        <v>13</v>
      </c>
      <c r="F31" s="1068"/>
      <c r="G31" s="362"/>
      <c r="I31" s="491" t="s">
        <v>136</v>
      </c>
      <c r="J31" s="489"/>
      <c r="K31" s="404"/>
    </row>
    <row r="32" spans="1:11" ht="15">
      <c r="A32" s="404"/>
      <c r="C32" s="405"/>
      <c r="D32" s="397"/>
      <c r="E32" s="407"/>
      <c r="F32" s="408"/>
      <c r="G32" s="362"/>
      <c r="H32" s="404"/>
      <c r="I32" s="404"/>
      <c r="J32" s="404"/>
      <c r="K32" s="404"/>
    </row>
    <row r="33" spans="1:11" ht="15">
      <c r="A33" s="404"/>
      <c r="B33" s="405"/>
      <c r="C33" s="404"/>
      <c r="D33" s="397"/>
      <c r="E33" s="407"/>
      <c r="F33" s="408"/>
      <c r="G33" s="362"/>
      <c r="H33" s="404"/>
      <c r="I33" s="404"/>
      <c r="J33" s="404"/>
      <c r="K33" s="404"/>
    </row>
    <row r="34" spans="1:11" ht="15">
      <c r="A34" s="404"/>
      <c r="B34" s="405"/>
      <c r="C34" s="404"/>
      <c r="D34" s="397"/>
      <c r="E34" s="407"/>
      <c r="F34" s="408"/>
      <c r="G34" s="362"/>
      <c r="H34" s="404"/>
      <c r="I34" s="404"/>
      <c r="J34" s="404"/>
      <c r="K34" s="404"/>
    </row>
    <row r="39" spans="1:11" ht="15">
      <c r="C39" s="492" t="s">
        <v>267</v>
      </c>
      <c r="H39" s="488"/>
      <c r="I39" s="487" t="s">
        <v>103</v>
      </c>
      <c r="J39" s="488"/>
    </row>
  </sheetData>
  <mergeCells count="13">
    <mergeCell ref="E31:F31"/>
    <mergeCell ref="G10:I10"/>
    <mergeCell ref="J10:J11"/>
    <mergeCell ref="A28:E28"/>
    <mergeCell ref="E30:F30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7" activePane="bottomLeft" state="frozen"/>
      <selection activeCell="A6" sqref="A6"/>
      <selection pane="bottomLeft" activeCell="I7" sqref="I7:J7"/>
    </sheetView>
  </sheetViews>
  <sheetFormatPr defaultColWidth="10.28515625" defaultRowHeight="12.75"/>
  <cols>
    <col min="1" max="1" width="4.7109375" style="636" customWidth="1"/>
    <col min="2" max="2" width="26.85546875" style="636" customWidth="1"/>
    <col min="3" max="3" width="12.140625" style="636" customWidth="1"/>
    <col min="4" max="4" width="11" style="636" customWidth="1"/>
    <col min="5" max="5" width="9.7109375" style="636" customWidth="1"/>
    <col min="6" max="6" width="11.140625" style="636" customWidth="1"/>
    <col min="7" max="7" width="13.7109375" style="415" hidden="1" customWidth="1"/>
    <col min="8" max="8" width="12" style="636" customWidth="1"/>
    <col min="9" max="10" width="7.42578125" style="636" customWidth="1"/>
    <col min="11" max="11" width="7.140625" style="646" customWidth="1"/>
    <col min="12" max="12" width="2" style="646" customWidth="1"/>
    <col min="13" max="13" width="23" style="636" customWidth="1"/>
    <col min="14" max="14" width="10.140625" style="647" customWidth="1"/>
    <col min="15" max="15" width="6.42578125" style="648" hidden="1" customWidth="1"/>
    <col min="16" max="16" width="7" style="676" customWidth="1"/>
    <col min="17" max="17" width="7.5703125" style="277" customWidth="1"/>
    <col min="18" max="18" width="12.42578125" style="636" customWidth="1"/>
    <col min="19" max="19" width="15.85546875" style="636" customWidth="1"/>
    <col min="20" max="20" width="8.28515625" style="647" customWidth="1"/>
    <col min="21" max="21" width="8.28515625" style="647" hidden="1" customWidth="1"/>
    <col min="22" max="22" width="7.5703125" style="277" customWidth="1"/>
    <col min="23" max="23" width="9" style="277" customWidth="1"/>
    <col min="24" max="24" width="9.7109375" style="636" customWidth="1"/>
    <col min="25" max="25" width="10.28515625" style="636" customWidth="1"/>
    <col min="26" max="16384" width="10.28515625" style="636"/>
  </cols>
  <sheetData>
    <row r="1" spans="1:26">
      <c r="B1" s="636">
        <v>1</v>
      </c>
      <c r="C1" s="636">
        <v>5</v>
      </c>
      <c r="D1" s="636">
        <v>6</v>
      </c>
      <c r="E1" s="636">
        <v>7</v>
      </c>
      <c r="F1" s="636">
        <v>8</v>
      </c>
      <c r="G1" s="415">
        <v>12</v>
      </c>
      <c r="H1" s="636">
        <v>13</v>
      </c>
      <c r="I1" s="636">
        <v>14</v>
      </c>
      <c r="J1" s="636">
        <v>15</v>
      </c>
    </row>
    <row r="2" spans="1:26" ht="18" customHeight="1">
      <c r="A2" s="471" t="str">
        <f>TH!$A$1</f>
        <v>Đơn vị: CÔNG TY TNHH MỘT THÀNH VIÊN KHỞI NGUYÊN AN</v>
      </c>
      <c r="B2" s="637"/>
      <c r="C2" s="277"/>
      <c r="D2" s="277"/>
      <c r="E2" s="277"/>
      <c r="F2" s="277"/>
      <c r="G2" s="416"/>
      <c r="H2" s="277"/>
      <c r="I2" s="499"/>
      <c r="J2" s="277"/>
      <c r="K2" s="649"/>
      <c r="L2" s="649"/>
      <c r="M2" s="277"/>
      <c r="N2" s="632"/>
      <c r="S2" s="277"/>
      <c r="T2" s="632"/>
      <c r="U2" s="632"/>
    </row>
    <row r="3" spans="1:26" ht="18.75" customHeight="1">
      <c r="A3" s="638" t="s">
        <v>562</v>
      </c>
      <c r="B3" s="638"/>
      <c r="C3" s="638"/>
      <c r="D3" s="638"/>
      <c r="E3" s="638"/>
      <c r="F3" s="638"/>
      <c r="G3" s="417"/>
      <c r="H3" s="638"/>
      <c r="I3" s="638"/>
      <c r="J3" s="638"/>
      <c r="K3" s="649"/>
      <c r="L3" s="649"/>
      <c r="M3" s="277"/>
      <c r="N3" s="632"/>
      <c r="S3" s="277"/>
      <c r="T3" s="632"/>
      <c r="U3" s="632"/>
    </row>
    <row r="4" spans="1:26" ht="18.75" customHeight="1">
      <c r="A4" s="638"/>
      <c r="B4" s="639"/>
      <c r="C4" s="639"/>
      <c r="D4" s="639"/>
      <c r="E4" s="639"/>
      <c r="F4" s="639"/>
      <c r="G4" s="418"/>
      <c r="H4" s="639"/>
      <c r="I4" s="650"/>
      <c r="J4" s="639"/>
      <c r="K4" s="649"/>
      <c r="L4" s="649"/>
      <c r="M4" s="277"/>
      <c r="N4" s="632"/>
      <c r="S4" s="277"/>
      <c r="T4" s="632"/>
      <c r="U4" s="632"/>
    </row>
    <row r="5" spans="1:26" ht="12.75" customHeight="1">
      <c r="A5" s="674"/>
      <c r="B5" s="667"/>
      <c r="C5" s="667"/>
      <c r="D5" s="667"/>
      <c r="E5" s="667"/>
      <c r="F5" s="667"/>
      <c r="G5" s="419"/>
      <c r="H5" s="667"/>
      <c r="I5" s="651"/>
      <c r="J5" s="667"/>
      <c r="K5" s="649"/>
      <c r="L5" s="649"/>
      <c r="M5" s="645"/>
      <c r="N5" s="674"/>
      <c r="O5" s="674"/>
      <c r="P5" s="677"/>
      <c r="Q5" s="652"/>
      <c r="R5" s="674"/>
      <c r="S5" s="674"/>
      <c r="T5" s="674"/>
      <c r="U5" s="674"/>
      <c r="V5" s="674"/>
      <c r="W5" s="674"/>
      <c r="X5" s="674"/>
      <c r="Y5" s="645"/>
      <c r="Z5" s="645"/>
    </row>
    <row r="6" spans="1:26" s="425" customFormat="1" ht="42" customHeight="1">
      <c r="A6" s="420" t="s">
        <v>35</v>
      </c>
      <c r="B6" s="420" t="s">
        <v>226</v>
      </c>
      <c r="C6" s="421" t="s">
        <v>230</v>
      </c>
      <c r="D6" s="421" t="s">
        <v>303</v>
      </c>
      <c r="E6" s="421" t="s">
        <v>231</v>
      </c>
      <c r="F6" s="421" t="s">
        <v>298</v>
      </c>
      <c r="G6" s="422" t="s">
        <v>232</v>
      </c>
      <c r="H6" s="421" t="s">
        <v>233</v>
      </c>
      <c r="I6" s="423" t="s">
        <v>228</v>
      </c>
      <c r="J6" s="421" t="s">
        <v>234</v>
      </c>
      <c r="K6" s="424"/>
      <c r="L6" s="424"/>
      <c r="M6" s="420" t="s">
        <v>226</v>
      </c>
      <c r="N6" s="421" t="s">
        <v>220</v>
      </c>
      <c r="O6" s="633" t="s">
        <v>227</v>
      </c>
      <c r="P6" s="678" t="s">
        <v>187</v>
      </c>
      <c r="Q6" s="421" t="s">
        <v>229</v>
      </c>
      <c r="R6" s="421" t="s">
        <v>235</v>
      </c>
      <c r="S6" s="420" t="s">
        <v>226</v>
      </c>
      <c r="T6" s="421" t="s">
        <v>220</v>
      </c>
      <c r="U6" s="421"/>
      <c r="V6" s="421" t="s">
        <v>187</v>
      </c>
      <c r="W6" s="421" t="s">
        <v>229</v>
      </c>
      <c r="X6" s="420" t="s">
        <v>235</v>
      </c>
    </row>
    <row r="7" spans="1:26" ht="18" customHeight="1">
      <c r="A7" s="727">
        <f>IF(B7&lt;&gt;"",ROW()-(ROW()-1),"")</f>
        <v>1</v>
      </c>
      <c r="B7" s="280" t="s">
        <v>508</v>
      </c>
      <c r="C7" s="25">
        <f>R7</f>
        <v>9354400</v>
      </c>
      <c r="D7" s="640">
        <f t="shared" ref="D7:F16" si="0">IF($I$37&lt;&gt;0,D$37/$I$37*$I7,0)</f>
        <v>9752940.9546791334</v>
      </c>
      <c r="E7" s="640">
        <f t="shared" si="0"/>
        <v>2922022.2833873769</v>
      </c>
      <c r="F7" s="640">
        <f t="shared" si="0"/>
        <v>1088306.4060025639</v>
      </c>
      <c r="G7" s="337"/>
      <c r="H7" s="25">
        <f>SUM(C7:F7)</f>
        <v>23117669.644069072</v>
      </c>
      <c r="I7" s="640">
        <v>22750</v>
      </c>
      <c r="J7" s="640">
        <f>IF(I7&lt;&gt;"",H7/I7,"")</f>
        <v>1016.1613030360031</v>
      </c>
      <c r="K7" s="556">
        <v>900</v>
      </c>
      <c r="L7" s="653"/>
      <c r="M7" s="427" t="s">
        <v>423</v>
      </c>
      <c r="N7" s="655"/>
      <c r="O7" s="655"/>
      <c r="P7" s="668">
        <v>800</v>
      </c>
      <c r="Q7" s="668">
        <v>11693</v>
      </c>
      <c r="R7" s="25">
        <f>ROUND(P7*Q7,0)</f>
        <v>9354400</v>
      </c>
      <c r="S7" s="426"/>
      <c r="T7" s="654"/>
      <c r="U7" s="654"/>
      <c r="V7" s="670"/>
      <c r="W7" s="670"/>
      <c r="X7" s="25">
        <f>V7*W7</f>
        <v>0</v>
      </c>
    </row>
    <row r="8" spans="1:26" ht="18" customHeight="1">
      <c r="A8" s="727">
        <f t="shared" ref="A8:A16" si="1">IF(B8&lt;&gt;"",A7+1,"")</f>
        <v>2</v>
      </c>
      <c r="B8" s="280" t="s">
        <v>557</v>
      </c>
      <c r="C8" s="25">
        <f>R8</f>
        <v>1146600</v>
      </c>
      <c r="D8" s="640">
        <f t="shared" si="0"/>
        <v>25722.042078274637</v>
      </c>
      <c r="E8" s="640">
        <f t="shared" si="0"/>
        <v>7706.4323957469278</v>
      </c>
      <c r="F8" s="640">
        <f t="shared" si="0"/>
        <v>2870.2586531935754</v>
      </c>
      <c r="G8" s="337"/>
      <c r="H8" s="25">
        <f t="shared" ref="H8:H35" si="2">SUM(C8:F8)</f>
        <v>1182898.7331272149</v>
      </c>
      <c r="I8" s="244">
        <v>60</v>
      </c>
      <c r="J8" s="640">
        <f>IF(I8&lt;&gt;"",H8/I8,"")</f>
        <v>19714.978885453584</v>
      </c>
      <c r="K8" s="556">
        <v>88860</v>
      </c>
      <c r="L8" s="653"/>
      <c r="M8" s="427" t="s">
        <v>424</v>
      </c>
      <c r="N8" s="655"/>
      <c r="O8" s="655"/>
      <c r="P8" s="668">
        <f>320-260</f>
        <v>60</v>
      </c>
      <c r="Q8" s="668">
        <v>19110</v>
      </c>
      <c r="R8" s="8">
        <f t="shared" ref="R8" si="3">ROUND(P8*Q8,0)</f>
        <v>1146600</v>
      </c>
      <c r="S8" s="427"/>
      <c r="T8" s="655"/>
      <c r="U8" s="655"/>
      <c r="V8" s="668"/>
      <c r="W8" s="668"/>
      <c r="X8" s="8">
        <f>V8*W8</f>
        <v>0</v>
      </c>
    </row>
    <row r="9" spans="1:26" ht="18" customHeight="1">
      <c r="A9" s="727">
        <f t="shared" si="1"/>
        <v>3</v>
      </c>
      <c r="B9" s="280" t="s">
        <v>516</v>
      </c>
      <c r="C9" s="25">
        <f t="shared" ref="C9:C35" si="4">R9</f>
        <v>14037750</v>
      </c>
      <c r="D9" s="640">
        <f t="shared" si="0"/>
        <v>1415998.4164090189</v>
      </c>
      <c r="E9" s="640">
        <f t="shared" si="0"/>
        <v>424239.10338586837</v>
      </c>
      <c r="F9" s="640">
        <f t="shared" si="0"/>
        <v>158007.73885830631</v>
      </c>
      <c r="G9" s="337"/>
      <c r="H9" s="25">
        <f t="shared" si="2"/>
        <v>16035995.258653194</v>
      </c>
      <c r="I9" s="640">
        <v>3303</v>
      </c>
      <c r="J9" s="640">
        <f t="shared" ref="J9:J35" si="5">IF(I9&lt;&gt;"",H9/I9,"")</f>
        <v>4854.9788854535855</v>
      </c>
      <c r="K9" s="556">
        <v>5150</v>
      </c>
      <c r="L9" s="653"/>
      <c r="M9" s="427" t="s">
        <v>399</v>
      </c>
      <c r="N9" s="655"/>
      <c r="O9" s="655"/>
      <c r="P9" s="668">
        <v>1101</v>
      </c>
      <c r="Q9" s="668">
        <v>12750</v>
      </c>
      <c r="R9" s="8">
        <f t="shared" ref="R9:R35" si="6">ROUND(P9*Q9,0)</f>
        <v>14037750</v>
      </c>
      <c r="S9" s="427"/>
      <c r="T9" s="655"/>
      <c r="U9" s="655"/>
      <c r="V9" s="668"/>
      <c r="W9" s="668"/>
      <c r="X9" s="8">
        <f t="shared" ref="X9:X35" si="7">V9*W9</f>
        <v>0</v>
      </c>
    </row>
    <row r="10" spans="1:26" ht="18" customHeight="1">
      <c r="A10" s="727">
        <f t="shared" si="1"/>
        <v>4</v>
      </c>
      <c r="B10" s="280" t="s">
        <v>540</v>
      </c>
      <c r="C10" s="25">
        <f t="shared" si="4"/>
        <v>4612800</v>
      </c>
      <c r="D10" s="640">
        <f t="shared" si="0"/>
        <v>342960.56104366184</v>
      </c>
      <c r="E10" s="640">
        <f t="shared" si="0"/>
        <v>102752.43194329237</v>
      </c>
      <c r="F10" s="640">
        <f t="shared" si="0"/>
        <v>38270.115375914334</v>
      </c>
      <c r="G10" s="337"/>
      <c r="H10" s="25">
        <f t="shared" si="2"/>
        <v>5096783.1083628694</v>
      </c>
      <c r="I10" s="244">
        <v>800</v>
      </c>
      <c r="J10" s="640">
        <f t="shared" si="5"/>
        <v>6370.9788854535864</v>
      </c>
      <c r="K10" s="556">
        <v>5320</v>
      </c>
      <c r="L10" s="653"/>
      <c r="M10" s="427" t="s">
        <v>436</v>
      </c>
      <c r="N10" s="655"/>
      <c r="O10" s="655"/>
      <c r="P10" s="668">
        <v>400</v>
      </c>
      <c r="Q10" s="668">
        <v>11532</v>
      </c>
      <c r="R10" s="8">
        <f t="shared" si="6"/>
        <v>4612800</v>
      </c>
      <c r="S10" s="427"/>
      <c r="T10" s="655"/>
      <c r="U10" s="655"/>
      <c r="V10" s="668"/>
      <c r="W10" s="668"/>
      <c r="X10" s="8">
        <f t="shared" si="7"/>
        <v>0</v>
      </c>
    </row>
    <row r="11" spans="1:26" ht="18" customHeight="1">
      <c r="A11" s="727">
        <f t="shared" si="1"/>
        <v>5</v>
      </c>
      <c r="B11" s="280" t="s">
        <v>552</v>
      </c>
      <c r="C11" s="25">
        <f t="shared" si="4"/>
        <v>1302000</v>
      </c>
      <c r="D11" s="640">
        <f t="shared" si="0"/>
        <v>42870.070130457731</v>
      </c>
      <c r="E11" s="640">
        <f t="shared" si="0"/>
        <v>12844.053992911546</v>
      </c>
      <c r="F11" s="640">
        <f t="shared" si="0"/>
        <v>4783.7644219892918</v>
      </c>
      <c r="G11" s="337"/>
      <c r="H11" s="25">
        <f t="shared" si="2"/>
        <v>1362497.8885453583</v>
      </c>
      <c r="I11" s="640">
        <v>100</v>
      </c>
      <c r="J11" s="640">
        <f t="shared" si="5"/>
        <v>13624.978885453584</v>
      </c>
      <c r="K11" s="556">
        <v>18550</v>
      </c>
      <c r="L11" s="653"/>
      <c r="M11" s="427" t="s">
        <v>396</v>
      </c>
      <c r="N11" s="655"/>
      <c r="O11" s="655"/>
      <c r="P11" s="668">
        <v>100</v>
      </c>
      <c r="Q11" s="668">
        <v>13020</v>
      </c>
      <c r="R11" s="8">
        <f t="shared" si="6"/>
        <v>1302000</v>
      </c>
      <c r="S11" s="427"/>
      <c r="T11" s="655"/>
      <c r="U11" s="655"/>
      <c r="V11" s="668"/>
      <c r="W11" s="668"/>
      <c r="X11" s="8">
        <f t="shared" si="7"/>
        <v>0</v>
      </c>
    </row>
    <row r="12" spans="1:26" ht="18" customHeight="1">
      <c r="A12" s="727">
        <f t="shared" si="1"/>
        <v>6</v>
      </c>
      <c r="B12" s="280" t="s">
        <v>555</v>
      </c>
      <c r="C12" s="25">
        <f t="shared" si="4"/>
        <v>520800</v>
      </c>
      <c r="D12" s="640">
        <f t="shared" si="0"/>
        <v>17148.028052183094</v>
      </c>
      <c r="E12" s="640">
        <f t="shared" si="0"/>
        <v>5137.6215971646179</v>
      </c>
      <c r="F12" s="640">
        <f t="shared" si="0"/>
        <v>1913.5057687957169</v>
      </c>
      <c r="G12" s="337"/>
      <c r="H12" s="25">
        <f t="shared" si="2"/>
        <v>544999.15541814349</v>
      </c>
      <c r="I12" s="244">
        <v>40</v>
      </c>
      <c r="J12" s="640">
        <f t="shared" si="5"/>
        <v>13624.978885453587</v>
      </c>
      <c r="K12" s="556">
        <v>38150</v>
      </c>
      <c r="L12" s="653"/>
      <c r="M12" s="427" t="s">
        <v>396</v>
      </c>
      <c r="N12" s="655"/>
      <c r="O12" s="655"/>
      <c r="P12" s="668">
        <v>40</v>
      </c>
      <c r="Q12" s="668">
        <v>13020</v>
      </c>
      <c r="R12" s="8">
        <f t="shared" si="6"/>
        <v>520800</v>
      </c>
      <c r="S12" s="427"/>
      <c r="T12" s="655"/>
      <c r="U12" s="655"/>
      <c r="V12" s="668"/>
      <c r="W12" s="668"/>
      <c r="X12" s="8">
        <f t="shared" si="7"/>
        <v>0</v>
      </c>
    </row>
    <row r="13" spans="1:26" ht="18" customHeight="1">
      <c r="A13" s="727">
        <f t="shared" si="1"/>
        <v>7</v>
      </c>
      <c r="B13" s="280" t="s">
        <v>553</v>
      </c>
      <c r="C13" s="25">
        <f t="shared" si="4"/>
        <v>2343600</v>
      </c>
      <c r="D13" s="640">
        <f t="shared" si="0"/>
        <v>77166.126234823911</v>
      </c>
      <c r="E13" s="640">
        <f t="shared" si="0"/>
        <v>23119.297187240783</v>
      </c>
      <c r="F13" s="640">
        <f t="shared" si="0"/>
        <v>8610.7759595807256</v>
      </c>
      <c r="G13" s="337"/>
      <c r="H13" s="25">
        <f t="shared" si="2"/>
        <v>2452496.1993816453</v>
      </c>
      <c r="I13" s="640">
        <v>180</v>
      </c>
      <c r="J13" s="640">
        <f t="shared" si="5"/>
        <v>13624.978885453585</v>
      </c>
      <c r="K13" s="556">
        <v>24000</v>
      </c>
      <c r="L13" s="653"/>
      <c r="M13" s="427" t="s">
        <v>396</v>
      </c>
      <c r="N13" s="655"/>
      <c r="O13" s="655"/>
      <c r="P13" s="668">
        <v>180</v>
      </c>
      <c r="Q13" s="668">
        <v>13020</v>
      </c>
      <c r="R13" s="8">
        <f t="shared" si="6"/>
        <v>2343600</v>
      </c>
      <c r="S13" s="427"/>
      <c r="T13" s="655"/>
      <c r="U13" s="655"/>
      <c r="V13" s="668"/>
      <c r="W13" s="668"/>
      <c r="X13" s="8">
        <f t="shared" si="7"/>
        <v>0</v>
      </c>
    </row>
    <row r="14" spans="1:26" ht="18" customHeight="1">
      <c r="A14" s="727">
        <f t="shared" si="1"/>
        <v>8</v>
      </c>
      <c r="B14" s="280" t="s">
        <v>550</v>
      </c>
      <c r="C14" s="25">
        <f t="shared" si="4"/>
        <v>2343600</v>
      </c>
      <c r="D14" s="640">
        <f t="shared" si="0"/>
        <v>77166.126234823911</v>
      </c>
      <c r="E14" s="640">
        <f t="shared" si="0"/>
        <v>23119.297187240783</v>
      </c>
      <c r="F14" s="640">
        <f t="shared" si="0"/>
        <v>8610.7759595807256</v>
      </c>
      <c r="G14" s="337"/>
      <c r="H14" s="25">
        <f t="shared" si="2"/>
        <v>2452496.1993816453</v>
      </c>
      <c r="I14" s="244">
        <v>180</v>
      </c>
      <c r="J14" s="640">
        <f t="shared" si="5"/>
        <v>13624.978885453585</v>
      </c>
      <c r="K14" s="556">
        <v>24201</v>
      </c>
      <c r="L14" s="653"/>
      <c r="M14" s="427" t="s">
        <v>396</v>
      </c>
      <c r="N14" s="655"/>
      <c r="O14" s="655"/>
      <c r="P14" s="668">
        <v>180</v>
      </c>
      <c r="Q14" s="668">
        <v>13020</v>
      </c>
      <c r="R14" s="8">
        <f t="shared" si="6"/>
        <v>2343600</v>
      </c>
      <c r="S14" s="427"/>
      <c r="T14" s="655"/>
      <c r="U14" s="655"/>
      <c r="V14" s="668"/>
      <c r="W14" s="668"/>
      <c r="X14" s="8">
        <f t="shared" si="7"/>
        <v>0</v>
      </c>
    </row>
    <row r="15" spans="1:26" ht="18" customHeight="1">
      <c r="A15" s="727">
        <f t="shared" si="1"/>
        <v>9</v>
      </c>
      <c r="B15" s="280" t="s">
        <v>514</v>
      </c>
      <c r="C15" s="25">
        <f t="shared" si="4"/>
        <v>6122620</v>
      </c>
      <c r="D15" s="640">
        <f t="shared" si="0"/>
        <v>432987.70831762307</v>
      </c>
      <c r="E15" s="640">
        <f t="shared" si="0"/>
        <v>129724.94532840661</v>
      </c>
      <c r="F15" s="640">
        <f t="shared" si="0"/>
        <v>48316.020662091854</v>
      </c>
      <c r="G15" s="337"/>
      <c r="H15" s="25">
        <f t="shared" si="2"/>
        <v>6733648.6743081221</v>
      </c>
      <c r="I15" s="640">
        <v>1010</v>
      </c>
      <c r="J15" s="640">
        <f t="shared" si="5"/>
        <v>6666.9788854535864</v>
      </c>
      <c r="K15" s="556">
        <v>6200</v>
      </c>
      <c r="L15" s="653"/>
      <c r="M15" s="427" t="s">
        <v>398</v>
      </c>
      <c r="N15" s="655"/>
      <c r="O15" s="655"/>
      <c r="P15" s="668">
        <v>505</v>
      </c>
      <c r="Q15" s="668">
        <v>12124</v>
      </c>
      <c r="R15" s="8">
        <f t="shared" si="6"/>
        <v>6122620</v>
      </c>
      <c r="S15" s="427"/>
      <c r="T15" s="655"/>
      <c r="U15" s="655"/>
      <c r="V15" s="668"/>
      <c r="W15" s="668"/>
      <c r="X15" s="8">
        <f t="shared" si="7"/>
        <v>0</v>
      </c>
    </row>
    <row r="16" spans="1:26" ht="18" customHeight="1">
      <c r="A16" s="727">
        <f t="shared" si="1"/>
        <v>10</v>
      </c>
      <c r="B16" s="280" t="s">
        <v>512</v>
      </c>
      <c r="C16" s="25">
        <f>R16+R17+R18</f>
        <v>16579082</v>
      </c>
      <c r="D16" s="640">
        <f t="shared" si="0"/>
        <v>1330686.9768494079</v>
      </c>
      <c r="E16" s="640">
        <f t="shared" si="0"/>
        <v>398679.43593997438</v>
      </c>
      <c r="F16" s="640">
        <f t="shared" si="0"/>
        <v>148488.04765854764</v>
      </c>
      <c r="G16" s="337"/>
      <c r="H16" s="25">
        <f t="shared" si="2"/>
        <v>18456936.46044793</v>
      </c>
      <c r="I16" s="244">
        <v>3104</v>
      </c>
      <c r="J16" s="640">
        <f t="shared" si="5"/>
        <v>5946.1779833917299</v>
      </c>
      <c r="K16" s="556">
        <v>6341.3492268041236</v>
      </c>
      <c r="L16" s="653"/>
      <c r="M16" s="427" t="s">
        <v>438</v>
      </c>
      <c r="N16" s="655"/>
      <c r="O16" s="655"/>
      <c r="P16" s="668">
        <v>750</v>
      </c>
      <c r="Q16" s="668">
        <v>9672</v>
      </c>
      <c r="R16" s="8">
        <f t="shared" si="6"/>
        <v>7254000</v>
      </c>
      <c r="S16" s="427"/>
      <c r="T16" s="655"/>
      <c r="U16" s="655"/>
      <c r="V16" s="668"/>
      <c r="W16" s="668"/>
      <c r="X16" s="8">
        <f t="shared" si="7"/>
        <v>0</v>
      </c>
    </row>
    <row r="17" spans="1:24" ht="18" customHeight="1">
      <c r="A17" s="727"/>
      <c r="B17" s="280"/>
      <c r="C17" s="25"/>
      <c r="D17" s="640"/>
      <c r="E17" s="640"/>
      <c r="F17" s="640"/>
      <c r="G17" s="337"/>
      <c r="H17" s="25"/>
      <c r="I17" s="640"/>
      <c r="J17" s="640"/>
      <c r="K17" s="556"/>
      <c r="L17" s="653"/>
      <c r="M17" s="427" t="s">
        <v>395</v>
      </c>
      <c r="N17" s="655"/>
      <c r="O17" s="655"/>
      <c r="P17" s="668">
        <f>2000-1588</f>
        <v>412</v>
      </c>
      <c r="Q17" s="668">
        <v>10286</v>
      </c>
      <c r="R17" s="8">
        <f t="shared" si="6"/>
        <v>4237832</v>
      </c>
      <c r="S17" s="427"/>
      <c r="T17" s="655"/>
      <c r="U17" s="655"/>
      <c r="V17" s="668"/>
      <c r="W17" s="668"/>
      <c r="X17" s="8"/>
    </row>
    <row r="18" spans="1:24" ht="18" customHeight="1">
      <c r="A18" s="727"/>
      <c r="B18" s="280"/>
      <c r="C18" s="25"/>
      <c r="D18" s="640"/>
      <c r="E18" s="640"/>
      <c r="F18" s="640"/>
      <c r="G18" s="337"/>
      <c r="H18" s="25"/>
      <c r="I18" s="640"/>
      <c r="J18" s="640"/>
      <c r="K18" s="556"/>
      <c r="L18" s="653"/>
      <c r="M18" s="427" t="s">
        <v>399</v>
      </c>
      <c r="N18" s="655"/>
      <c r="O18" s="655"/>
      <c r="P18" s="668">
        <f>1500-1101</f>
        <v>399</v>
      </c>
      <c r="Q18" s="668">
        <v>12750</v>
      </c>
      <c r="R18" s="8">
        <f t="shared" si="6"/>
        <v>5087250</v>
      </c>
      <c r="S18" s="427"/>
      <c r="T18" s="655"/>
      <c r="U18" s="655"/>
      <c r="V18" s="668"/>
      <c r="W18" s="668"/>
      <c r="X18" s="8"/>
    </row>
    <row r="19" spans="1:24" ht="18" customHeight="1">
      <c r="A19" s="727">
        <f>IF(B19&lt;&gt;"",A16+1,"")</f>
        <v>11</v>
      </c>
      <c r="B19" s="280" t="s">
        <v>520</v>
      </c>
      <c r="C19" s="25">
        <f>R19+R20</f>
        <v>15407760</v>
      </c>
      <c r="D19" s="640">
        <f>IF($I$37&lt;&gt;0,D$37/$I$37*$I19,0)</f>
        <v>1208935.977678908</v>
      </c>
      <c r="E19" s="640">
        <f>IF($I$37&lt;&gt;0,E$37/$I$37*$I19,0)</f>
        <v>362202.3226001056</v>
      </c>
      <c r="F19" s="640">
        <f>IF($I$37&lt;&gt;0,F$37/$I$37*$I19,0)</f>
        <v>134902.15670009804</v>
      </c>
      <c r="G19" s="337"/>
      <c r="H19" s="25">
        <f t="shared" si="2"/>
        <v>17113800.456979111</v>
      </c>
      <c r="I19" s="640">
        <v>2820</v>
      </c>
      <c r="J19" s="640">
        <f t="shared" si="5"/>
        <v>6068.7235663046495</v>
      </c>
      <c r="K19" s="556">
        <v>5800</v>
      </c>
      <c r="L19" s="653"/>
      <c r="M19" s="427" t="s">
        <v>436</v>
      </c>
      <c r="N19" s="655"/>
      <c r="O19" s="655"/>
      <c r="P19" s="668">
        <f>550-400</f>
        <v>150</v>
      </c>
      <c r="Q19" s="668">
        <v>11532</v>
      </c>
      <c r="R19" s="8">
        <f t="shared" si="6"/>
        <v>1729800</v>
      </c>
      <c r="S19" s="427"/>
      <c r="T19" s="655"/>
      <c r="U19" s="655"/>
      <c r="V19" s="668"/>
      <c r="W19" s="668"/>
      <c r="X19" s="8">
        <f t="shared" si="7"/>
        <v>0</v>
      </c>
    </row>
    <row r="20" spans="1:24" ht="18" customHeight="1">
      <c r="A20" s="727"/>
      <c r="B20" s="280"/>
      <c r="C20" s="25"/>
      <c r="D20" s="640"/>
      <c r="E20" s="640"/>
      <c r="F20" s="640"/>
      <c r="G20" s="337"/>
      <c r="H20" s="25"/>
      <c r="I20" s="640"/>
      <c r="J20" s="640"/>
      <c r="K20" s="556"/>
      <c r="L20" s="653"/>
      <c r="M20" s="427" t="s">
        <v>373</v>
      </c>
      <c r="N20" s="655"/>
      <c r="O20" s="655"/>
      <c r="P20" s="668">
        <v>1260</v>
      </c>
      <c r="Q20" s="668">
        <v>10855.523809523809</v>
      </c>
      <c r="R20" s="8">
        <f t="shared" si="6"/>
        <v>13677960</v>
      </c>
      <c r="S20" s="427"/>
      <c r="T20" s="655"/>
      <c r="U20" s="655"/>
      <c r="V20" s="668"/>
      <c r="W20" s="668"/>
      <c r="X20" s="8"/>
    </row>
    <row r="21" spans="1:24" ht="18" customHeight="1">
      <c r="A21" s="727">
        <f>IF(B21&lt;&gt;"",A19+1,"")</f>
        <v>12</v>
      </c>
      <c r="B21" s="280" t="s">
        <v>518</v>
      </c>
      <c r="C21" s="25">
        <f>R21+R22</f>
        <v>24179752</v>
      </c>
      <c r="D21" s="640">
        <f>IF($I$37&lt;&gt;0,D$37/$I$37*$I21,0)</f>
        <v>1999888.7715858531</v>
      </c>
      <c r="E21" s="640">
        <f>IF($I$37&lt;&gt;0,E$37/$I$37*$I21,0)</f>
        <v>599175.11876932357</v>
      </c>
      <c r="F21" s="640">
        <f>IF($I$37&lt;&gt;0,F$37/$I$37*$I21,0)</f>
        <v>223162.61028580047</v>
      </c>
      <c r="G21" s="337"/>
      <c r="H21" s="25">
        <f t="shared" si="2"/>
        <v>27001978.500640977</v>
      </c>
      <c r="I21" s="244">
        <v>4665</v>
      </c>
      <c r="J21" s="640">
        <f t="shared" si="5"/>
        <v>5788.2054663753433</v>
      </c>
      <c r="K21" s="556">
        <v>6217.1489817792071</v>
      </c>
      <c r="L21" s="653"/>
      <c r="M21" s="427" t="s">
        <v>367</v>
      </c>
      <c r="N21" s="655"/>
      <c r="O21" s="655"/>
      <c r="P21" s="668">
        <f>600-317</f>
        <v>283</v>
      </c>
      <c r="Q21" s="668">
        <v>10844</v>
      </c>
      <c r="R21" s="8">
        <f t="shared" si="6"/>
        <v>3068852</v>
      </c>
      <c r="S21" s="427"/>
      <c r="T21" s="655"/>
      <c r="U21" s="655"/>
      <c r="V21" s="668"/>
      <c r="W21" s="668"/>
      <c r="X21" s="8">
        <f t="shared" si="7"/>
        <v>0</v>
      </c>
    </row>
    <row r="22" spans="1:24" ht="18" customHeight="1">
      <c r="A22" s="727"/>
      <c r="B22" s="280"/>
      <c r="C22" s="25"/>
      <c r="D22" s="640"/>
      <c r="E22" s="640"/>
      <c r="F22" s="640"/>
      <c r="G22" s="337"/>
      <c r="H22" s="25"/>
      <c r="I22" s="640"/>
      <c r="J22" s="640"/>
      <c r="K22" s="556"/>
      <c r="L22" s="653"/>
      <c r="M22" s="427" t="s">
        <v>372</v>
      </c>
      <c r="N22" s="655"/>
      <c r="O22" s="655"/>
      <c r="P22" s="668">
        <v>2050</v>
      </c>
      <c r="Q22" s="668">
        <v>10298</v>
      </c>
      <c r="R22" s="8">
        <f t="shared" si="6"/>
        <v>21110900</v>
      </c>
      <c r="S22" s="427"/>
      <c r="T22" s="655"/>
      <c r="U22" s="655"/>
      <c r="V22" s="668"/>
      <c r="W22" s="668"/>
      <c r="X22" s="8"/>
    </row>
    <row r="23" spans="1:24" ht="18" customHeight="1">
      <c r="A23" s="727">
        <f>IF(B23&lt;&gt;"",A21+1,"")</f>
        <v>13</v>
      </c>
      <c r="B23" s="280" t="s">
        <v>510</v>
      </c>
      <c r="C23" s="25">
        <f t="shared" si="4"/>
        <v>6341552</v>
      </c>
      <c r="D23" s="640">
        <f t="shared" ref="D23:F35" si="8">IF($I$37&lt;&gt;0,D$37/$I$37*$I23,0)</f>
        <v>491719.70439635019</v>
      </c>
      <c r="E23" s="640">
        <f t="shared" si="8"/>
        <v>147321.29929869543</v>
      </c>
      <c r="F23" s="640">
        <f t="shared" si="8"/>
        <v>54869.777920217181</v>
      </c>
      <c r="G23" s="337"/>
      <c r="H23" s="25">
        <f t="shared" si="2"/>
        <v>7035462.7816152629</v>
      </c>
      <c r="I23" s="640">
        <v>1147</v>
      </c>
      <c r="J23" s="640">
        <f t="shared" si="5"/>
        <v>6133.7949273018858</v>
      </c>
      <c r="K23" s="556">
        <v>6360</v>
      </c>
      <c r="L23" s="653"/>
      <c r="M23" s="427" t="s">
        <v>366</v>
      </c>
      <c r="N23" s="655"/>
      <c r="O23" s="655"/>
      <c r="P23" s="668">
        <v>574</v>
      </c>
      <c r="Q23" s="668">
        <v>11048</v>
      </c>
      <c r="R23" s="8">
        <f t="shared" si="6"/>
        <v>6341552</v>
      </c>
      <c r="S23" s="427"/>
      <c r="T23" s="655"/>
      <c r="U23" s="655"/>
      <c r="V23" s="668"/>
      <c r="W23" s="668"/>
      <c r="X23" s="8">
        <f t="shared" si="7"/>
        <v>0</v>
      </c>
    </row>
    <row r="24" spans="1:24" ht="18" customHeight="1">
      <c r="A24" s="727">
        <f t="shared" ref="A24:A35" si="9">IF(B24&lt;&gt;"",A23+1,"")</f>
        <v>14</v>
      </c>
      <c r="B24" s="280" t="s">
        <v>515</v>
      </c>
      <c r="C24" s="25">
        <f t="shared" si="4"/>
        <v>16334168</v>
      </c>
      <c r="D24" s="640">
        <f t="shared" si="8"/>
        <v>1361124.7266420329</v>
      </c>
      <c r="E24" s="640">
        <f t="shared" si="8"/>
        <v>407798.71427494159</v>
      </c>
      <c r="F24" s="640">
        <f t="shared" si="8"/>
        <v>151884.52039816004</v>
      </c>
      <c r="G24" s="337"/>
      <c r="H24" s="25">
        <f t="shared" si="2"/>
        <v>18254975.961315133</v>
      </c>
      <c r="I24" s="244">
        <v>3175</v>
      </c>
      <c r="J24" s="640">
        <f t="shared" si="5"/>
        <v>5749.5987279732699</v>
      </c>
      <c r="K24" s="556">
        <v>7110</v>
      </c>
      <c r="L24" s="653"/>
      <c r="M24" s="427" t="s">
        <v>395</v>
      </c>
      <c r="N24" s="655"/>
      <c r="O24" s="655"/>
      <c r="P24" s="668">
        <v>1588</v>
      </c>
      <c r="Q24" s="668">
        <v>10286</v>
      </c>
      <c r="R24" s="8">
        <f t="shared" si="6"/>
        <v>16334168</v>
      </c>
      <c r="S24" s="427"/>
      <c r="T24" s="655"/>
      <c r="U24" s="655"/>
      <c r="V24" s="668"/>
      <c r="W24" s="668"/>
      <c r="X24" s="8">
        <f t="shared" si="7"/>
        <v>0</v>
      </c>
    </row>
    <row r="25" spans="1:24" ht="18" customHeight="1">
      <c r="A25" s="727">
        <f t="shared" si="9"/>
        <v>15</v>
      </c>
      <c r="B25" s="280" t="s">
        <v>528</v>
      </c>
      <c r="C25" s="25">
        <f t="shared" si="4"/>
        <v>6097000</v>
      </c>
      <c r="D25" s="640">
        <f t="shared" si="8"/>
        <v>428700.70130457729</v>
      </c>
      <c r="E25" s="640">
        <f t="shared" si="8"/>
        <v>128440.53992911546</v>
      </c>
      <c r="F25" s="640">
        <f t="shared" si="8"/>
        <v>47837.644219892922</v>
      </c>
      <c r="G25" s="337"/>
      <c r="H25" s="25">
        <f t="shared" si="2"/>
        <v>6701978.8854535855</v>
      </c>
      <c r="I25" s="640">
        <v>1000</v>
      </c>
      <c r="J25" s="640">
        <f t="shared" si="5"/>
        <v>6701.9788854535855</v>
      </c>
      <c r="K25" s="556">
        <v>7880</v>
      </c>
      <c r="L25" s="653"/>
      <c r="M25" s="427" t="s">
        <v>437</v>
      </c>
      <c r="N25" s="655"/>
      <c r="O25" s="655"/>
      <c r="P25" s="668">
        <v>500</v>
      </c>
      <c r="Q25" s="668">
        <v>12194</v>
      </c>
      <c r="R25" s="8">
        <f t="shared" si="6"/>
        <v>6097000</v>
      </c>
      <c r="S25" s="427"/>
      <c r="T25" s="655"/>
      <c r="U25" s="655"/>
      <c r="V25" s="668"/>
      <c r="W25" s="668"/>
      <c r="X25" s="8">
        <f t="shared" si="7"/>
        <v>0</v>
      </c>
    </row>
    <row r="26" spans="1:24" ht="18" customHeight="1">
      <c r="A26" s="727">
        <f t="shared" si="9"/>
        <v>16</v>
      </c>
      <c r="B26" s="280" t="s">
        <v>526</v>
      </c>
      <c r="C26" s="25">
        <f t="shared" si="4"/>
        <v>12319000</v>
      </c>
      <c r="D26" s="640">
        <f t="shared" si="8"/>
        <v>428700.70130457729</v>
      </c>
      <c r="E26" s="640">
        <f t="shared" si="8"/>
        <v>128440.53992911546</v>
      </c>
      <c r="F26" s="640">
        <f t="shared" si="8"/>
        <v>47837.644219892922</v>
      </c>
      <c r="G26" s="337"/>
      <c r="H26" s="25">
        <f t="shared" si="2"/>
        <v>12923978.885453586</v>
      </c>
      <c r="I26" s="244">
        <v>1000</v>
      </c>
      <c r="J26" s="640">
        <f t="shared" si="5"/>
        <v>12923.978885453585</v>
      </c>
      <c r="K26" s="556">
        <v>15500</v>
      </c>
      <c r="L26" s="653"/>
      <c r="M26" s="427" t="s">
        <v>388</v>
      </c>
      <c r="N26" s="655"/>
      <c r="O26" s="655"/>
      <c r="P26" s="668">
        <v>1000</v>
      </c>
      <c r="Q26" s="668">
        <v>12319</v>
      </c>
      <c r="R26" s="8">
        <f t="shared" si="6"/>
        <v>12319000</v>
      </c>
      <c r="S26" s="427"/>
      <c r="T26" s="655"/>
      <c r="U26" s="655"/>
      <c r="V26" s="668"/>
      <c r="W26" s="668"/>
      <c r="X26" s="8">
        <f t="shared" si="7"/>
        <v>0</v>
      </c>
    </row>
    <row r="27" spans="1:24" ht="18" customHeight="1">
      <c r="A27" s="727">
        <f t="shared" si="9"/>
        <v>17</v>
      </c>
      <c r="B27" s="280" t="s">
        <v>546</v>
      </c>
      <c r="C27" s="25">
        <f t="shared" si="4"/>
        <v>5615372</v>
      </c>
      <c r="D27" s="640">
        <f t="shared" si="8"/>
        <v>428700.70130457729</v>
      </c>
      <c r="E27" s="640">
        <f t="shared" si="8"/>
        <v>128440.53992911546</v>
      </c>
      <c r="F27" s="640">
        <f t="shared" si="8"/>
        <v>47837.644219892922</v>
      </c>
      <c r="G27" s="337"/>
      <c r="H27" s="25">
        <f t="shared" si="2"/>
        <v>6220350.8854535855</v>
      </c>
      <c r="I27" s="640">
        <v>1000</v>
      </c>
      <c r="J27" s="640">
        <f t="shared" si="5"/>
        <v>6220.3508854535858</v>
      </c>
      <c r="K27" s="556">
        <v>7425</v>
      </c>
      <c r="L27" s="653"/>
      <c r="M27" s="427" t="s">
        <v>427</v>
      </c>
      <c r="N27" s="655"/>
      <c r="O27" s="655"/>
      <c r="P27" s="668">
        <v>502</v>
      </c>
      <c r="Q27" s="668">
        <v>11186</v>
      </c>
      <c r="R27" s="8">
        <f t="shared" si="6"/>
        <v>5615372</v>
      </c>
      <c r="S27" s="427"/>
      <c r="T27" s="655"/>
      <c r="U27" s="655"/>
      <c r="V27" s="668"/>
      <c r="W27" s="668"/>
      <c r="X27" s="8">
        <f t="shared" si="7"/>
        <v>0</v>
      </c>
    </row>
    <row r="28" spans="1:24" ht="18" customHeight="1">
      <c r="A28" s="727">
        <f t="shared" si="9"/>
        <v>18</v>
      </c>
      <c r="B28" s="280" t="s">
        <v>543</v>
      </c>
      <c r="C28" s="25">
        <f t="shared" si="4"/>
        <v>1534500</v>
      </c>
      <c r="D28" s="640">
        <f t="shared" si="8"/>
        <v>128610.2103913732</v>
      </c>
      <c r="E28" s="640">
        <f t="shared" si="8"/>
        <v>38532.161978734635</v>
      </c>
      <c r="F28" s="640">
        <f t="shared" si="8"/>
        <v>14351.293265967877</v>
      </c>
      <c r="G28" s="337"/>
      <c r="H28" s="25">
        <f t="shared" si="2"/>
        <v>1715993.6656360757</v>
      </c>
      <c r="I28" s="244">
        <v>300</v>
      </c>
      <c r="J28" s="640">
        <f t="shared" si="5"/>
        <v>5719.9788854535855</v>
      </c>
      <c r="K28" s="556">
        <v>6340</v>
      </c>
      <c r="L28" s="653"/>
      <c r="M28" s="427" t="s">
        <v>426</v>
      </c>
      <c r="N28" s="655"/>
      <c r="O28" s="655"/>
      <c r="P28" s="668">
        <v>150</v>
      </c>
      <c r="Q28" s="668">
        <v>10230</v>
      </c>
      <c r="R28" s="8">
        <f t="shared" si="6"/>
        <v>1534500</v>
      </c>
      <c r="S28" s="427"/>
      <c r="T28" s="655"/>
      <c r="U28" s="655"/>
      <c r="V28" s="668"/>
      <c r="W28" s="668"/>
      <c r="X28" s="8">
        <f t="shared" si="7"/>
        <v>0</v>
      </c>
    </row>
    <row r="29" spans="1:24" ht="18" customHeight="1">
      <c r="A29" s="727">
        <f t="shared" si="9"/>
        <v>19</v>
      </c>
      <c r="B29" s="280" t="s">
        <v>530</v>
      </c>
      <c r="C29" s="25">
        <f t="shared" si="4"/>
        <v>2352900</v>
      </c>
      <c r="D29" s="640">
        <f t="shared" si="8"/>
        <v>235785.38571751752</v>
      </c>
      <c r="E29" s="640">
        <f t="shared" si="8"/>
        <v>70642.296961013504</v>
      </c>
      <c r="F29" s="640">
        <f t="shared" si="8"/>
        <v>26310.704320941106</v>
      </c>
      <c r="G29" s="337"/>
      <c r="H29" s="25">
        <f t="shared" si="2"/>
        <v>2685638.3869994725</v>
      </c>
      <c r="I29" s="640">
        <v>550</v>
      </c>
      <c r="J29" s="640">
        <f t="shared" si="5"/>
        <v>4882.9788854535864</v>
      </c>
      <c r="K29" s="556">
        <v>6125</v>
      </c>
      <c r="L29" s="653"/>
      <c r="M29" s="427" t="s">
        <v>402</v>
      </c>
      <c r="N29" s="655"/>
      <c r="O29" s="655"/>
      <c r="P29" s="668">
        <f>I29/2</f>
        <v>275</v>
      </c>
      <c r="Q29" s="668">
        <v>8556</v>
      </c>
      <c r="R29" s="8">
        <f t="shared" si="6"/>
        <v>2352900</v>
      </c>
      <c r="S29" s="427"/>
      <c r="T29" s="655"/>
      <c r="U29" s="655"/>
      <c r="V29" s="668"/>
      <c r="W29" s="668"/>
      <c r="X29" s="8">
        <f t="shared" si="7"/>
        <v>0</v>
      </c>
    </row>
    <row r="30" spans="1:24" ht="18" customHeight="1">
      <c r="A30" s="727">
        <f t="shared" si="9"/>
        <v>20</v>
      </c>
      <c r="B30" s="280" t="s">
        <v>505</v>
      </c>
      <c r="C30" s="25">
        <f t="shared" si="4"/>
        <v>9625500</v>
      </c>
      <c r="D30" s="640">
        <f t="shared" si="8"/>
        <v>964576.5779352989</v>
      </c>
      <c r="E30" s="640">
        <f t="shared" si="8"/>
        <v>288991.21484050981</v>
      </c>
      <c r="F30" s="640">
        <f t="shared" si="8"/>
        <v>107634.69949475907</v>
      </c>
      <c r="G30" s="337"/>
      <c r="H30" s="25">
        <f t="shared" si="2"/>
        <v>10986702.492270567</v>
      </c>
      <c r="I30" s="244">
        <v>2250</v>
      </c>
      <c r="J30" s="640">
        <f t="shared" si="5"/>
        <v>4882.9788854535855</v>
      </c>
      <c r="K30" s="556">
        <v>6770.666666666667</v>
      </c>
      <c r="L30" s="653"/>
      <c r="M30" s="427" t="s">
        <v>402</v>
      </c>
      <c r="N30" s="655"/>
      <c r="O30" s="655"/>
      <c r="P30" s="668">
        <f t="shared" ref="P30:P31" si="10">I30/2</f>
        <v>1125</v>
      </c>
      <c r="Q30" s="668">
        <v>8556</v>
      </c>
      <c r="R30" s="8">
        <f t="shared" si="6"/>
        <v>9625500</v>
      </c>
      <c r="S30" s="427"/>
      <c r="T30" s="655"/>
      <c r="U30" s="655"/>
      <c r="V30" s="668"/>
      <c r="W30" s="668"/>
      <c r="X30" s="8">
        <f t="shared" si="7"/>
        <v>0</v>
      </c>
    </row>
    <row r="31" spans="1:24" ht="18" customHeight="1">
      <c r="A31" s="727">
        <f t="shared" si="9"/>
        <v>21</v>
      </c>
      <c r="B31" s="280" t="s">
        <v>545</v>
      </c>
      <c r="C31" s="25">
        <f t="shared" si="4"/>
        <v>2139000</v>
      </c>
      <c r="D31" s="640">
        <f t="shared" si="8"/>
        <v>214350.35065228865</v>
      </c>
      <c r="E31" s="640">
        <f t="shared" si="8"/>
        <v>64220.26996455773</v>
      </c>
      <c r="F31" s="640">
        <f t="shared" si="8"/>
        <v>23918.822109946461</v>
      </c>
      <c r="G31" s="337"/>
      <c r="H31" s="25">
        <f t="shared" si="2"/>
        <v>2441489.4427267928</v>
      </c>
      <c r="I31" s="640">
        <v>500</v>
      </c>
      <c r="J31" s="640">
        <f t="shared" si="5"/>
        <v>4882.9788854535855</v>
      </c>
      <c r="K31" s="556">
        <v>7420</v>
      </c>
      <c r="L31" s="653"/>
      <c r="M31" s="427" t="s">
        <v>402</v>
      </c>
      <c r="N31" s="655"/>
      <c r="O31" s="655"/>
      <c r="P31" s="668">
        <f t="shared" si="10"/>
        <v>250</v>
      </c>
      <c r="Q31" s="668">
        <v>8556</v>
      </c>
      <c r="R31" s="8">
        <f t="shared" si="6"/>
        <v>2139000</v>
      </c>
      <c r="S31" s="427"/>
      <c r="T31" s="655"/>
      <c r="U31" s="655"/>
      <c r="V31" s="668"/>
      <c r="W31" s="668"/>
      <c r="X31" s="8">
        <f t="shared" si="7"/>
        <v>0</v>
      </c>
    </row>
    <row r="32" spans="1:24" ht="18" customHeight="1">
      <c r="A32" s="727">
        <f t="shared" si="9"/>
        <v>22</v>
      </c>
      <c r="B32" s="280" t="s">
        <v>521</v>
      </c>
      <c r="C32" s="25">
        <f t="shared" si="4"/>
        <v>11622000</v>
      </c>
      <c r="D32" s="640">
        <f t="shared" si="8"/>
        <v>857401.40260915458</v>
      </c>
      <c r="E32" s="640">
        <f t="shared" si="8"/>
        <v>256881.07985823092</v>
      </c>
      <c r="F32" s="640">
        <f t="shared" si="8"/>
        <v>95675.288439785843</v>
      </c>
      <c r="G32" s="337"/>
      <c r="H32" s="25">
        <f t="shared" si="2"/>
        <v>12831957.770907171</v>
      </c>
      <c r="I32" s="244">
        <v>2000</v>
      </c>
      <c r="J32" s="640">
        <f t="shared" si="5"/>
        <v>6415.9788854535855</v>
      </c>
      <c r="K32" s="556">
        <v>7660</v>
      </c>
      <c r="L32" s="653"/>
      <c r="M32" s="427" t="s">
        <v>369</v>
      </c>
      <c r="N32" s="655"/>
      <c r="O32" s="655"/>
      <c r="P32" s="668">
        <v>1000</v>
      </c>
      <c r="Q32" s="668">
        <v>11622</v>
      </c>
      <c r="R32" s="8">
        <f t="shared" si="6"/>
        <v>11622000</v>
      </c>
      <c r="S32" s="427"/>
      <c r="T32" s="655"/>
      <c r="U32" s="655"/>
      <c r="V32" s="668"/>
      <c r="W32" s="668"/>
      <c r="X32" s="8">
        <f t="shared" si="7"/>
        <v>0</v>
      </c>
    </row>
    <row r="33" spans="1:26" ht="18" customHeight="1">
      <c r="A33" s="727">
        <f t="shared" si="9"/>
        <v>23</v>
      </c>
      <c r="B33" s="280" t="s">
        <v>544</v>
      </c>
      <c r="C33" s="25">
        <f t="shared" si="4"/>
        <v>1845550</v>
      </c>
      <c r="D33" s="640">
        <f t="shared" si="8"/>
        <v>150045.24545660205</v>
      </c>
      <c r="E33" s="640">
        <f t="shared" si="8"/>
        <v>44954.188975190409</v>
      </c>
      <c r="F33" s="640">
        <f t="shared" si="8"/>
        <v>16743.175476962522</v>
      </c>
      <c r="G33" s="337"/>
      <c r="H33" s="25">
        <f t="shared" si="2"/>
        <v>2057292.6099087549</v>
      </c>
      <c r="I33" s="640">
        <v>350</v>
      </c>
      <c r="J33" s="640">
        <f t="shared" si="5"/>
        <v>5877.9788854535855</v>
      </c>
      <c r="K33" s="556">
        <v>6600</v>
      </c>
      <c r="L33" s="653"/>
      <c r="M33" s="427" t="s">
        <v>421</v>
      </c>
      <c r="N33" s="655"/>
      <c r="O33" s="655"/>
      <c r="P33" s="668">
        <v>175</v>
      </c>
      <c r="Q33" s="668">
        <v>10546</v>
      </c>
      <c r="R33" s="8">
        <f t="shared" si="6"/>
        <v>1845550</v>
      </c>
      <c r="S33" s="427"/>
      <c r="T33" s="655"/>
      <c r="U33" s="655"/>
      <c r="V33" s="668"/>
      <c r="W33" s="668"/>
      <c r="X33" s="8">
        <f t="shared" si="7"/>
        <v>0</v>
      </c>
    </row>
    <row r="34" spans="1:26" ht="18" customHeight="1">
      <c r="A34" s="727">
        <f t="shared" si="9"/>
        <v>24</v>
      </c>
      <c r="B34" s="280" t="s">
        <v>554</v>
      </c>
      <c r="C34" s="25">
        <f t="shared" si="4"/>
        <v>4968600</v>
      </c>
      <c r="D34" s="640">
        <f t="shared" si="8"/>
        <v>111462.1823391901</v>
      </c>
      <c r="E34" s="640">
        <f t="shared" si="8"/>
        <v>33394.540381570019</v>
      </c>
      <c r="F34" s="640">
        <f t="shared" si="8"/>
        <v>12437.787497172159</v>
      </c>
      <c r="G34" s="337"/>
      <c r="H34" s="25">
        <f t="shared" si="2"/>
        <v>5125894.510217933</v>
      </c>
      <c r="I34" s="244">
        <v>260</v>
      </c>
      <c r="J34" s="640">
        <f t="shared" si="5"/>
        <v>19714.978885453587</v>
      </c>
      <c r="K34" s="556">
        <v>26201</v>
      </c>
      <c r="L34" s="653"/>
      <c r="M34" s="427" t="s">
        <v>424</v>
      </c>
      <c r="N34" s="655"/>
      <c r="O34" s="655"/>
      <c r="P34" s="668">
        <v>260</v>
      </c>
      <c r="Q34" s="668">
        <v>19110</v>
      </c>
      <c r="R34" s="8">
        <f t="shared" si="6"/>
        <v>4968600</v>
      </c>
      <c r="S34" s="427"/>
      <c r="T34" s="655"/>
      <c r="U34" s="655"/>
      <c r="V34" s="668"/>
      <c r="W34" s="668"/>
      <c r="X34" s="8">
        <f t="shared" si="7"/>
        <v>0</v>
      </c>
    </row>
    <row r="35" spans="1:26" ht="18" customHeight="1">
      <c r="A35" s="727">
        <f t="shared" si="9"/>
        <v>25</v>
      </c>
      <c r="B35" s="280" t="s">
        <v>533</v>
      </c>
      <c r="C35" s="25">
        <f t="shared" si="4"/>
        <v>5143000</v>
      </c>
      <c r="D35" s="640">
        <f t="shared" si="8"/>
        <v>214350.35065228865</v>
      </c>
      <c r="E35" s="640">
        <f t="shared" si="8"/>
        <v>64220.26996455773</v>
      </c>
      <c r="F35" s="640">
        <f t="shared" si="8"/>
        <v>23918.822109946461</v>
      </c>
      <c r="G35" s="337"/>
      <c r="H35" s="25">
        <f t="shared" si="2"/>
        <v>5445489.4427267928</v>
      </c>
      <c r="I35" s="640">
        <v>500</v>
      </c>
      <c r="J35" s="640">
        <f t="shared" si="5"/>
        <v>10890.978885453585</v>
      </c>
      <c r="K35" s="556">
        <v>11450</v>
      </c>
      <c r="L35" s="653"/>
      <c r="M35" s="427" t="s">
        <v>368</v>
      </c>
      <c r="N35" s="655"/>
      <c r="O35" s="655"/>
      <c r="P35" s="668">
        <v>500</v>
      </c>
      <c r="Q35" s="668">
        <v>10286</v>
      </c>
      <c r="R35" s="8">
        <f t="shared" si="6"/>
        <v>5143000</v>
      </c>
      <c r="S35" s="427"/>
      <c r="T35" s="655"/>
      <c r="U35" s="655"/>
      <c r="V35" s="668"/>
      <c r="W35" s="668"/>
      <c r="X35" s="8">
        <f t="shared" si="7"/>
        <v>0</v>
      </c>
    </row>
    <row r="36" spans="1:26" s="658" customFormat="1" ht="18" customHeight="1">
      <c r="A36" s="727"/>
      <c r="B36" s="280"/>
      <c r="C36" s="25"/>
      <c r="D36" s="640"/>
      <c r="E36" s="640"/>
      <c r="F36" s="640"/>
      <c r="G36" s="337"/>
      <c r="H36" s="25"/>
      <c r="I36" s="244"/>
      <c r="J36" s="640"/>
      <c r="K36" s="556"/>
      <c r="L36" s="556"/>
      <c r="M36" s="656"/>
      <c r="N36" s="655"/>
      <c r="O36" s="657"/>
      <c r="P36" s="679"/>
      <c r="Q36" s="669"/>
      <c r="R36" s="669"/>
      <c r="S36" s="656"/>
      <c r="T36" s="655"/>
      <c r="U36" s="728"/>
      <c r="V36" s="669"/>
      <c r="W36" s="669"/>
      <c r="X36" s="8"/>
    </row>
    <row r="37" spans="1:26" s="637" customFormat="1" ht="18" customHeight="1">
      <c r="A37" s="641"/>
      <c r="B37" s="642" t="s">
        <v>236</v>
      </c>
      <c r="C37" s="467">
        <f>SUM(C7:C36)</f>
        <v>183888906</v>
      </c>
      <c r="D37" s="467">
        <v>22740000</v>
      </c>
      <c r="E37" s="467">
        <v>6813000</v>
      </c>
      <c r="F37" s="467">
        <v>2537500</v>
      </c>
      <c r="G37" s="428">
        <f>ROUND(SUM(G7:G36),0)</f>
        <v>0</v>
      </c>
      <c r="H37" s="467">
        <f>ROUND(SUM(H7:H36),0)</f>
        <v>215979406</v>
      </c>
      <c r="I37" s="467">
        <f>ROUND(SUM(I7:I36),0)</f>
        <v>53044</v>
      </c>
      <c r="J37" s="467"/>
      <c r="K37" s="649"/>
      <c r="L37" s="649"/>
      <c r="M37" s="659"/>
      <c r="N37" s="660"/>
      <c r="O37" s="661"/>
      <c r="P37" s="680"/>
      <c r="Q37" s="44"/>
      <c r="R37" s="44">
        <f>SUM(R7:R36)</f>
        <v>183888906</v>
      </c>
      <c r="S37" s="659"/>
      <c r="T37" s="660"/>
      <c r="U37" s="660"/>
      <c r="V37" s="665"/>
      <c r="W37" s="27"/>
      <c r="X37" s="44">
        <f>SUM(X7:X36)</f>
        <v>0</v>
      </c>
    </row>
    <row r="38" spans="1:26" s="637" customFormat="1">
      <c r="A38" s="643"/>
      <c r="B38" s="644"/>
      <c r="C38" s="638"/>
      <c r="D38" s="638"/>
      <c r="E38" s="638"/>
      <c r="F38" s="638"/>
      <c r="G38" s="429"/>
      <c r="H38" s="638"/>
      <c r="I38" s="638"/>
      <c r="J38" s="638"/>
      <c r="K38" s="649"/>
      <c r="L38" s="649"/>
      <c r="M38" s="430"/>
      <c r="N38" s="662"/>
      <c r="O38" s="663"/>
      <c r="P38" s="681"/>
      <c r="Q38" s="652"/>
      <c r="R38" s="664"/>
      <c r="S38" s="430"/>
      <c r="T38" s="662"/>
      <c r="U38" s="662"/>
      <c r="V38" s="652"/>
      <c r="W38" s="652"/>
      <c r="X38" s="636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84" customWidth="1"/>
    <col min="2" max="2" width="15.7109375" style="484" customWidth="1"/>
    <col min="3" max="3" width="16.85546875" style="484" customWidth="1"/>
    <col min="4" max="9" width="15.28515625" style="484" customWidth="1"/>
    <col min="10" max="10" width="10.140625" style="484" customWidth="1"/>
    <col min="11" max="11" width="5.85546875" style="484" customWidth="1"/>
    <col min="12" max="16384" width="10.28515625" style="484"/>
  </cols>
  <sheetData>
    <row r="1" spans="1:11" s="431" customFormat="1" ht="19.5" customHeight="1">
      <c r="A1" s="471" t="str">
        <f>TH!A1</f>
        <v>Đơn vị: CÔNG TY TNHH MỘT THÀNH VIÊN KHỞI NGUYÊN AN</v>
      </c>
      <c r="B1" s="471"/>
      <c r="D1" s="432"/>
      <c r="E1" s="432"/>
      <c r="F1" s="432"/>
      <c r="G1" s="1078" t="s">
        <v>237</v>
      </c>
      <c r="H1" s="1078"/>
      <c r="I1" s="1078"/>
      <c r="J1" s="433"/>
      <c r="K1" s="434"/>
    </row>
    <row r="2" spans="1:11" s="431" customFormat="1" ht="19.5" customHeight="1">
      <c r="A2" s="519" t="str">
        <f>TH!A2</f>
        <v>Địa chỉ: Thửa đất số 144, tờ bản đồ số 12TĐH.1, tổ 1, khu phố Đông Tác, Phường Tân Đông Hiệp, Thị Xã Dĩ An, Tỉnh Bình Dương, Việt Nam</v>
      </c>
      <c r="B2" s="471"/>
      <c r="D2" s="435"/>
      <c r="E2" s="435"/>
      <c r="F2" s="435"/>
      <c r="G2" s="1079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1079"/>
      <c r="I2" s="1079"/>
      <c r="J2" s="433"/>
      <c r="K2" s="413">
        <v>1</v>
      </c>
    </row>
    <row r="3" spans="1:11" s="431" customFormat="1" ht="15">
      <c r="A3" s="472"/>
      <c r="B3" s="473"/>
      <c r="C3" s="435"/>
      <c r="D3" s="435"/>
      <c r="E3" s="435"/>
      <c r="F3" s="435"/>
      <c r="G3" s="1079"/>
      <c r="H3" s="1079"/>
      <c r="I3" s="1079"/>
      <c r="J3" s="433"/>
    </row>
    <row r="4" spans="1:11" s="475" customFormat="1" ht="17.25" customHeight="1">
      <c r="A4" s="1080" t="s">
        <v>238</v>
      </c>
      <c r="B4" s="1080"/>
      <c r="C4" s="1080"/>
      <c r="D4" s="1080"/>
      <c r="E4" s="1080"/>
      <c r="F4" s="1080"/>
      <c r="G4" s="1080"/>
      <c r="H4" s="1080"/>
      <c r="I4" s="1080"/>
      <c r="J4" s="474"/>
    </row>
    <row r="5" spans="1:11" s="476" customFormat="1" ht="17.25" customHeight="1">
      <c r="B5" s="477"/>
      <c r="C5" s="478" t="s">
        <v>273</v>
      </c>
      <c r="D5" s="477" t="str">
        <f>IF($K$2&lt;10,"0"&amp;$K$2&amp;"  năm 2011",$K$2&amp;"  năm 2011")</f>
        <v>01  năm 2011</v>
      </c>
      <c r="E5" s="477"/>
      <c r="F5" s="477"/>
      <c r="G5" s="477"/>
      <c r="H5" s="477"/>
      <c r="I5" s="477"/>
      <c r="J5" s="477"/>
    </row>
    <row r="6" spans="1:11" s="476" customFormat="1" ht="17.25" customHeight="1">
      <c r="B6" s="479"/>
      <c r="C6" s="1081" t="s">
        <v>239</v>
      </c>
      <c r="D6" s="1081"/>
      <c r="E6" s="1082"/>
      <c r="F6" s="1082"/>
      <c r="G6" s="1082"/>
      <c r="H6" s="591"/>
      <c r="I6" s="479"/>
      <c r="J6" s="477"/>
    </row>
    <row r="7" spans="1:11" s="481" customFormat="1" ht="9.75" customHeight="1">
      <c r="A7" s="480"/>
      <c r="B7" s="480"/>
      <c r="C7" s="480"/>
      <c r="D7" s="480"/>
      <c r="E7" s="480"/>
      <c r="F7" s="480"/>
      <c r="G7" s="480"/>
      <c r="H7" s="480"/>
      <c r="I7" s="480"/>
      <c r="J7" s="479"/>
    </row>
    <row r="8" spans="1:11" s="437" customFormat="1" ht="17.25" customHeight="1">
      <c r="A8" s="1083" t="s">
        <v>240</v>
      </c>
      <c r="B8" s="1084" t="s">
        <v>241</v>
      </c>
      <c r="C8" s="1084" t="s">
        <v>242</v>
      </c>
      <c r="D8" s="1084"/>
      <c r="E8" s="1084"/>
      <c r="F8" s="1084"/>
      <c r="G8" s="1084"/>
      <c r="H8" s="1084"/>
      <c r="I8" s="1084"/>
      <c r="J8" s="436"/>
    </row>
    <row r="9" spans="1:11" s="440" customFormat="1" ht="35.25" customHeight="1">
      <c r="A9" s="1083"/>
      <c r="B9" s="1084"/>
      <c r="C9" s="438" t="s">
        <v>299</v>
      </c>
      <c r="D9" s="438" t="s">
        <v>243</v>
      </c>
      <c r="E9" s="438" t="s">
        <v>300</v>
      </c>
      <c r="F9" s="438" t="s">
        <v>301</v>
      </c>
      <c r="G9" s="438" t="s">
        <v>244</v>
      </c>
      <c r="H9" s="438" t="s">
        <v>245</v>
      </c>
      <c r="I9" s="438" t="s">
        <v>302</v>
      </c>
      <c r="J9" s="439"/>
    </row>
    <row r="10" spans="1:11" s="443" customFormat="1" ht="15">
      <c r="A10" s="441" t="s">
        <v>2</v>
      </c>
      <c r="B10" s="442">
        <v>1</v>
      </c>
      <c r="C10" s="442">
        <v>2</v>
      </c>
      <c r="D10" s="442">
        <v>3</v>
      </c>
      <c r="E10" s="442">
        <v>4</v>
      </c>
      <c r="F10" s="442">
        <v>5</v>
      </c>
      <c r="G10" s="442">
        <v>6</v>
      </c>
      <c r="H10" s="442">
        <v>7</v>
      </c>
      <c r="I10" s="442">
        <v>8</v>
      </c>
      <c r="J10" s="433"/>
    </row>
    <row r="11" spans="1:11" s="476" customFormat="1" ht="24.75" customHeight="1">
      <c r="A11" s="482" t="s">
        <v>246</v>
      </c>
      <c r="B11" s="483">
        <f>ROUND(SUM(C11:I11),0)</f>
        <v>0</v>
      </c>
      <c r="C11" s="483">
        <v>0</v>
      </c>
      <c r="D11" s="483">
        <v>0</v>
      </c>
      <c r="E11" s="483">
        <v>0</v>
      </c>
      <c r="F11" s="483">
        <v>0</v>
      </c>
      <c r="G11" s="483">
        <v>0</v>
      </c>
      <c r="H11" s="483">
        <v>0</v>
      </c>
      <c r="I11" s="483">
        <v>0</v>
      </c>
      <c r="J11" s="477"/>
    </row>
    <row r="12" spans="1:11" s="476" customFormat="1" ht="24.75" customHeight="1">
      <c r="A12" s="482" t="s">
        <v>247</v>
      </c>
      <c r="B12" s="483">
        <f ca="1">ROUND(SUM(C12:I12),0)</f>
        <v>0</v>
      </c>
      <c r="C12" s="483">
        <f ca="1">IF(ISNA(VLOOKUP($E6,INDIRECT("DSSP"&amp;$K$2),5,0)),0,VLOOKUP($E6,INDIRECT("DSSP"&amp;$K$2),5,0))</f>
        <v>0</v>
      </c>
      <c r="D12" s="483">
        <f ca="1">IF(ISNA(VLOOKUP($E6,INDIRECT("DSSP"&amp;$K$2),6,0)),0,VLOOKUP($E6,INDIRECT("DSSP"&amp;$K$2),6,0))</f>
        <v>0</v>
      </c>
      <c r="E12" s="483">
        <f ca="1">IF(ISNA(VLOOKUP($E6,INDIRECT("DSSP"&amp;$K$2),7,0)),0,VLOOKUP($E6,INDIRECT("DSSP"&amp;$K$2),7,0))</f>
        <v>0</v>
      </c>
      <c r="F12" s="483">
        <f ca="1">IF(ISNA(VLOOKUP($E6,INDIRECT("DSSP"&amp;$K$2),8,0)),0,VLOOKUP($E6,INDIRECT("DSSP"&amp;$K$2),8,0))</f>
        <v>0</v>
      </c>
      <c r="G12" s="483">
        <f ca="1">IF(ISNA(VLOOKUP($E6,INDIRECT("DSSP"&amp;$K$2),9,0)),0,VLOOKUP($E6,INDIRECT("DSSP"&amp;$K$2),9,0))</f>
        <v>0</v>
      </c>
      <c r="H12" s="483">
        <f ca="1">IF(ISNA(VLOOKUP($E6,INDIRECT("DSSP"&amp;$K$2),10,0)),0,VLOOKUP($E6,INDIRECT("DSSP"&amp;$K$2),10,0))</f>
        <v>0</v>
      </c>
      <c r="I12" s="483">
        <f ca="1">IF(ISNA(VLOOKUP($E6,INDIRECT("DSSP"&amp;$K$2),11,0)),0,VLOOKUP($E6,INDIRECT("DSSP"&amp;$K$2),11,0))</f>
        <v>0</v>
      </c>
      <c r="J12" s="477"/>
    </row>
    <row r="13" spans="1:11" s="476" customFormat="1" ht="24.75" customHeight="1">
      <c r="A13" s="482" t="s">
        <v>248</v>
      </c>
      <c r="B13" s="483">
        <f ca="1">ROUND(IF(ISNA(VLOOKUP($E6,INDIRECT("DSSP"&amp;$K$2),13,0)),0,VLOOKUP($E6,INDIRECT("DSSP"&amp;$K$2),13,0)),0)</f>
        <v>0</v>
      </c>
      <c r="C13" s="483">
        <f t="shared" ref="C13:I13" ca="1" si="0">C12</f>
        <v>0</v>
      </c>
      <c r="D13" s="483">
        <f t="shared" ca="1" si="0"/>
        <v>0</v>
      </c>
      <c r="E13" s="483">
        <f t="shared" ca="1" si="0"/>
        <v>0</v>
      </c>
      <c r="F13" s="483"/>
      <c r="G13" s="483">
        <f t="shared" ca="1" si="0"/>
        <v>0</v>
      </c>
      <c r="H13" s="483"/>
      <c r="I13" s="483">
        <f t="shared" ca="1" si="0"/>
        <v>0</v>
      </c>
      <c r="J13" s="477"/>
    </row>
    <row r="14" spans="1:11" s="476" customFormat="1" ht="24.75" customHeight="1">
      <c r="A14" s="482" t="s">
        <v>249</v>
      </c>
      <c r="B14" s="483">
        <f ca="1">B12-B13</f>
        <v>0</v>
      </c>
      <c r="C14" s="483">
        <f t="shared" ref="C14:I14" ca="1" si="1">C12-C13</f>
        <v>0</v>
      </c>
      <c r="D14" s="483">
        <f t="shared" ca="1" si="1"/>
        <v>0</v>
      </c>
      <c r="E14" s="483">
        <f t="shared" ca="1" si="1"/>
        <v>0</v>
      </c>
      <c r="F14" s="483"/>
      <c r="G14" s="483">
        <f t="shared" ca="1" si="1"/>
        <v>0</v>
      </c>
      <c r="H14" s="483"/>
      <c r="I14" s="483">
        <f t="shared" ca="1" si="1"/>
        <v>0</v>
      </c>
      <c r="J14" s="477"/>
    </row>
    <row r="15" spans="1:11" s="476" customFormat="1" ht="15">
      <c r="B15" s="477"/>
      <c r="C15" s="477"/>
      <c r="D15" s="477"/>
      <c r="E15" s="477"/>
      <c r="F15" s="477"/>
      <c r="G15" s="477"/>
      <c r="H15" s="477"/>
      <c r="I15" s="477"/>
      <c r="J15" s="477"/>
    </row>
    <row r="16" spans="1:11" s="476" customFormat="1" ht="15">
      <c r="B16" s="477"/>
      <c r="C16" s="477"/>
      <c r="D16" s="477"/>
      <c r="E16" s="107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077"/>
      <c r="G16" s="1077"/>
      <c r="H16" s="1077"/>
      <c r="I16" s="1077"/>
      <c r="J16" s="477"/>
    </row>
    <row r="17" spans="2:10" s="476" customFormat="1" ht="15">
      <c r="B17" s="443" t="s">
        <v>250</v>
      </c>
      <c r="C17" s="477"/>
      <c r="D17" s="477"/>
      <c r="E17" s="1077" t="s">
        <v>12</v>
      </c>
      <c r="F17" s="1077"/>
      <c r="G17" s="1077"/>
      <c r="H17" s="1077"/>
      <c r="I17" s="1077"/>
      <c r="J17" s="477"/>
    </row>
    <row r="19" spans="2:10" ht="15">
      <c r="E19" s="485"/>
      <c r="F19" s="485"/>
    </row>
    <row r="26" spans="2:10">
      <c r="B26" s="470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O13" sqref="O13"/>
    </sheetView>
  </sheetViews>
  <sheetFormatPr defaultRowHeight="15"/>
  <cols>
    <col min="1" max="1" width="10.28515625" style="593" customWidth="1"/>
    <col min="2" max="2" width="8.85546875" style="593" customWidth="1"/>
    <col min="3" max="3" width="10.5703125" style="593" customWidth="1"/>
    <col min="4" max="4" width="43.42578125" style="593" customWidth="1"/>
    <col min="5" max="5" width="7.140625" style="593" customWidth="1"/>
    <col min="6" max="6" width="14.140625" style="593" customWidth="1"/>
    <col min="7" max="7" width="14.85546875" style="593" customWidth="1"/>
    <col min="8" max="9" width="12" style="593" customWidth="1"/>
    <col min="10" max="10" width="12.85546875" style="593" customWidth="1"/>
    <col min="11" max="12" width="13.5703125" style="593" customWidth="1"/>
    <col min="13" max="13" width="12.7109375" style="593" customWidth="1"/>
    <col min="14" max="14" width="6.28515625" style="593" customWidth="1"/>
    <col min="15" max="15" width="8.42578125" style="593" customWidth="1"/>
    <col min="16" max="16384" width="9.140625" style="593"/>
  </cols>
  <sheetData>
    <row r="2" spans="1:16">
      <c r="A2" s="592" t="str">
        <f>'IN-NX'!A2</f>
        <v>Đơn vị: CÔNG TY TNHH MỘT THÀNH VIÊN KHỞI NGUYÊN AN</v>
      </c>
      <c r="F2" s="594"/>
      <c r="G2" s="594"/>
      <c r="H2" s="594"/>
      <c r="I2" s="594"/>
      <c r="J2" s="1089" t="s">
        <v>304</v>
      </c>
      <c r="K2" s="1089"/>
      <c r="L2" s="1089"/>
      <c r="M2" s="1089"/>
    </row>
    <row r="3" spans="1:16" ht="15" customHeight="1">
      <c r="A3" s="622" t="str">
        <f>'IN-NX'!A3</f>
        <v>Địa chỉ: Thửa đất số 144, tờ bản đồ số 12TĐH.1, tổ 1, khu phố Đông Tác, Phường Tân Đông Hiệp, Thị Xã Dĩ An, Tỉnh Bình Dương, Việt Nam</v>
      </c>
      <c r="J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92"/>
      <c r="L3" s="1092"/>
      <c r="M3" s="1092"/>
    </row>
    <row r="4" spans="1:16">
      <c r="J4" s="1092"/>
      <c r="K4" s="1092"/>
      <c r="L4" s="1092"/>
      <c r="M4" s="1092"/>
    </row>
    <row r="5" spans="1:16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1090"/>
      <c r="N5" s="595" t="s">
        <v>160</v>
      </c>
      <c r="O5" s="528">
        <f>IF(O13="Quý I",1,IF(O13="Quý II",4,IF(O13="Quý III",7,IF(O13="Quý IV",10,""))))</f>
        <v>7</v>
      </c>
      <c r="P5" s="528">
        <f>IF(O13="Quý I",3,IF(O13="Quý II",6,IF(O13="Quý III",9,IF(O13="Quý IV",12,""))))</f>
        <v>9</v>
      </c>
    </row>
    <row r="6" spans="1:16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  <c r="M6" s="1091"/>
      <c r="N6" s="620"/>
    </row>
    <row r="7" spans="1:16">
      <c r="B7" s="596"/>
      <c r="C7" s="596"/>
      <c r="D7" s="596"/>
      <c r="E7" s="597" t="s">
        <v>307</v>
      </c>
      <c r="G7" s="596"/>
      <c r="H7" s="596"/>
      <c r="I7" s="596"/>
      <c r="J7" s="596"/>
      <c r="K7" s="596"/>
      <c r="L7" s="596"/>
      <c r="M7" s="596"/>
    </row>
    <row r="8" spans="1:16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  <c r="M8" s="596"/>
    </row>
    <row r="9" spans="1:16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  <c r="M9" s="598"/>
    </row>
    <row r="10" spans="1:16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  <c r="M10" s="1088"/>
    </row>
    <row r="11" spans="1:16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310</v>
      </c>
      <c r="G11" s="1086"/>
      <c r="H11" s="1086"/>
      <c r="I11" s="1086"/>
      <c r="J11" s="1086"/>
      <c r="K11" s="1086"/>
      <c r="L11" s="1086"/>
      <c r="M11" s="1086"/>
    </row>
    <row r="12" spans="1:16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  <c r="M12" s="1087"/>
    </row>
    <row r="13" spans="1:16" ht="31.5" customHeight="1" thickBot="1">
      <c r="A13" s="1085"/>
      <c r="B13" s="1087"/>
      <c r="C13" s="1087"/>
      <c r="D13" s="1085"/>
      <c r="E13" s="1085"/>
      <c r="F13" s="1087"/>
      <c r="G13" s="599" t="s">
        <v>299</v>
      </c>
      <c r="H13" s="599" t="s">
        <v>300</v>
      </c>
      <c r="I13" s="599" t="s">
        <v>301</v>
      </c>
      <c r="J13" s="599" t="s">
        <v>313</v>
      </c>
      <c r="K13" s="599" t="s">
        <v>314</v>
      </c>
      <c r="L13" s="599" t="s">
        <v>297</v>
      </c>
      <c r="M13" s="599" t="s">
        <v>315</v>
      </c>
      <c r="O13" s="621" t="s">
        <v>331</v>
      </c>
    </row>
    <row r="14" spans="1:16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/>
      <c r="J14" s="600">
        <v>4</v>
      </c>
      <c r="K14" s="600">
        <v>5</v>
      </c>
      <c r="L14" s="600"/>
      <c r="M14" s="600">
        <v>6</v>
      </c>
    </row>
    <row r="15" spans="1:16" ht="22.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  <c r="M15" s="603"/>
    </row>
    <row r="16" spans="1:16" ht="22.5" customHeight="1">
      <c r="A16" s="604">
        <f ca="1">IF(ROWS($1:1)&gt;COUNT(Dong9),"",OFFSET(TH!C$1,SMALL(Dong9,ROWS($1:1)),))</f>
        <v>41136</v>
      </c>
      <c r="B16" s="604" t="str">
        <f ca="1">IF(ROWS($1:1)&gt;COUNT(Dong9),"",OFFSET(TH!D$1,SMALL(Dong9,ROWS($1:1)),))</f>
        <v>C02</v>
      </c>
      <c r="C16" s="604">
        <f ca="1">IF(ROWS($1:1)&gt;COUNT(Dong9),"",OFFSET(TH!E$1,SMALL(Dong9,ROWS($1:1)),))</f>
        <v>41136</v>
      </c>
      <c r="D16" s="605" t="str">
        <f ca="1">IF(ROWS($1:1)&gt;COUNT(Dong9),"",OFFSET(TH!F$1,SMALL(Dong9,ROWS($1:1)),))</f>
        <v>Dây mạ kẽm</v>
      </c>
      <c r="E16" s="604" t="str">
        <f ca="1">IF(ROWS($1:1)&gt;COUNT(Dong9),"",OFFSET(TH!M$1,SMALL(Dong9,ROWS($1:1)),))</f>
        <v>1111</v>
      </c>
      <c r="F16" s="606">
        <f ca="1">IF(ROWS($1:1)&gt;COUNT(Dong9),"",OFFSET(TH!K$1,SMALL(Dong9,ROWS($1:1)),))</f>
        <v>2580000</v>
      </c>
      <c r="G16" s="606">
        <f ca="1">IF($E16="1521",$F16,0)</f>
        <v>0</v>
      </c>
      <c r="H16" s="606">
        <f ca="1">IF($E16="1522",$F16,0)</f>
        <v>0</v>
      </c>
      <c r="I16" s="606">
        <f ca="1">IF(LEFT(D16,6)="Mực in",F16,0)</f>
        <v>0</v>
      </c>
      <c r="J16" s="606">
        <f ca="1">IF(OR(LEFT($E16,3)="334",LEFT($E16,3)="338"),$F16,0)</f>
        <v>0</v>
      </c>
      <c r="K16" s="606">
        <f ca="1">IF(OR(LEFT($E16,3)="331",AND(LEFT($E16,3)="111",$D16="Tiền điện")),$F16,0)</f>
        <v>0</v>
      </c>
      <c r="L16" s="606">
        <f ca="1">IF($E16="142",$F16,0)</f>
        <v>0</v>
      </c>
      <c r="M16" s="606">
        <f ca="1">IF(OR(LEFT($E16,3)="214",LEFT($E16,3)="242",AND(LEFT($E16,3)="111",$D16&lt;&gt;"Tiền điện",LEFT($D16,6)&lt;&gt;"Mực in")),$F16,0)</f>
        <v>2580000</v>
      </c>
    </row>
    <row r="17" spans="1:13" ht="22.5" customHeight="1">
      <c r="A17" s="604">
        <f ca="1">IF(ROWS($1:2)&gt;COUNT(Dong9),"",OFFSET(TH!C$1,SMALL(Dong9,ROWS($1:2)),))</f>
        <v>41182</v>
      </c>
      <c r="B17" s="604" t="str">
        <f ca="1">IF(ROWS($1:2)&gt;COUNT(Dong9),"",OFFSET(TH!D$1,SMALL(Dong9,ROWS($1:2)),))</f>
        <v>CTGS</v>
      </c>
      <c r="C17" s="604">
        <f ca="1">IF(ROWS($1:2)&gt;COUNT(Dong9),"",OFFSET(TH!E$1,SMALL(Dong9,ROWS($1:2)),))</f>
        <v>41182</v>
      </c>
      <c r="D17" s="605" t="str">
        <f ca="1">IF(ROWS($1:2)&gt;COUNT(Dong9),"",OFFSET(TH!F$1,SMALL(Dong9,ROWS($1:2)),))</f>
        <v>Lương bộ phận sản xuất</v>
      </c>
      <c r="E17" s="604" t="str">
        <f ca="1">IF(ROWS($1:2)&gt;COUNT(Dong9),"",OFFSET(TH!M$1,SMALL(Dong9,ROWS($1:2)),))</f>
        <v>3341</v>
      </c>
      <c r="F17" s="606">
        <f ca="1">IF(ROWS($1:2)&gt;COUNT(Dong9),"",OFFSET(TH!K$1,SMALL(Dong9,ROWS($1:2)),))</f>
        <v>5685000</v>
      </c>
      <c r="G17" s="606">
        <f t="shared" ref="G17:G33" ca="1" si="0">IF($E17="1521",$F17,0)</f>
        <v>0</v>
      </c>
      <c r="H17" s="606">
        <f t="shared" ref="H17:H33" ca="1" si="1">IF($E17="1522",$F17,0)</f>
        <v>0</v>
      </c>
      <c r="I17" s="606">
        <f t="shared" ref="I17:I33" ca="1" si="2">IF(LEFT(D17,6)="Mực in",F17,0)</f>
        <v>0</v>
      </c>
      <c r="J17" s="606">
        <f t="shared" ref="J17:J33" ca="1" si="3">IF(OR(LEFT($E17,3)="334",LEFT($E17,3)="338"),$F17,0)</f>
        <v>5685000</v>
      </c>
      <c r="K17" s="606">
        <f t="shared" ref="K17:K33" ca="1" si="4">IF(OR(LEFT($E17,3)="331",AND(LEFT($E17,3)="111",$D17="Tiền điện")),$F17,0)</f>
        <v>0</v>
      </c>
      <c r="L17" s="606">
        <f t="shared" ref="L17:L33" ca="1" si="5">IF($E17="142",$F17,0)</f>
        <v>0</v>
      </c>
      <c r="M17" s="6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04" t="str">
        <f ca="1">IF(ROWS($1:3)&gt;COUNT(Dong9),"",OFFSET(TH!C$1,SMALL(Dong9,ROWS($1:3)),))</f>
        <v/>
      </c>
      <c r="B18" s="604" t="str">
        <f ca="1">IF(ROWS($1:3)&gt;COUNT(Dong9),"",OFFSET(TH!D$1,SMALL(Dong9,ROWS($1:3)),))</f>
        <v/>
      </c>
      <c r="C18" s="604" t="str">
        <f ca="1">IF(ROWS($1:3)&gt;COUNT(Dong9),"",OFFSET(TH!E$1,SMALL(Dong9,ROWS($1:3)),))</f>
        <v/>
      </c>
      <c r="D18" s="605" t="str">
        <f ca="1">IF(ROWS($1:3)&gt;COUNT(Dong9),"",OFFSET(TH!F$1,SMALL(Dong9,ROWS($1:3)),))</f>
        <v/>
      </c>
      <c r="E18" s="604" t="str">
        <f ca="1">IF(ROWS($1:3)&gt;COUNT(Dong9),"",OFFSET(TH!M$1,SMALL(Dong9,ROWS($1:3)),))</f>
        <v/>
      </c>
      <c r="F18" s="606" t="str">
        <f ca="1">IF(ROWS($1:3)&gt;COUNT(Dong9),"",OFFSET(TH!K$1,SMALL(Dong9,ROWS($1:3)),))</f>
        <v/>
      </c>
      <c r="G18" s="606">
        <f t="shared" ca="1" si="0"/>
        <v>0</v>
      </c>
      <c r="H18" s="606">
        <f t="shared" ca="1" si="1"/>
        <v>0</v>
      </c>
      <c r="I18" s="606">
        <f t="shared" ca="1" si="2"/>
        <v>0</v>
      </c>
      <c r="J18" s="606">
        <f t="shared" ca="1" si="3"/>
        <v>0</v>
      </c>
      <c r="K18" s="606">
        <f t="shared" ca="1" si="4"/>
        <v>0</v>
      </c>
      <c r="L18" s="606">
        <f t="shared" ca="1" si="5"/>
        <v>0</v>
      </c>
      <c r="M18" s="606">
        <f t="shared" ca="1" si="6"/>
        <v>0</v>
      </c>
    </row>
    <row r="19" spans="1:13" ht="22.5" customHeight="1">
      <c r="A19" s="604" t="str">
        <f ca="1">IF(ROWS($1:4)&gt;COUNT(Dong9),"",OFFSET(TH!C$1,SMALL(Dong9,ROWS($1:4)),))</f>
        <v/>
      </c>
      <c r="B19" s="604" t="str">
        <f ca="1">IF(ROWS($1:4)&gt;COUNT(Dong9),"",OFFSET(TH!D$1,SMALL(Dong9,ROWS($1:4)),))</f>
        <v/>
      </c>
      <c r="C19" s="604" t="str">
        <f ca="1">IF(ROWS($1:4)&gt;COUNT(Dong9),"",OFFSET(TH!E$1,SMALL(Dong9,ROWS($1:4)),))</f>
        <v/>
      </c>
      <c r="D19" s="605" t="str">
        <f ca="1">IF(ROWS($1:4)&gt;COUNT(Dong9),"",OFFSET(TH!F$1,SMALL(Dong9,ROWS($1:4)),))</f>
        <v/>
      </c>
      <c r="E19" s="604" t="str">
        <f ca="1">IF(ROWS($1:4)&gt;COUNT(Dong9),"",OFFSET(TH!M$1,SMALL(Dong9,ROWS($1:4)),))</f>
        <v/>
      </c>
      <c r="F19" s="606" t="str">
        <f ca="1">IF(ROWS($1:4)&gt;COUNT(Dong9),"",OFFSET(TH!K$1,SMALL(Dong9,ROWS($1:4)),))</f>
        <v/>
      </c>
      <c r="G19" s="606">
        <f t="shared" ca="1" si="0"/>
        <v>0</v>
      </c>
      <c r="H19" s="606">
        <f t="shared" ca="1" si="1"/>
        <v>0</v>
      </c>
      <c r="I19" s="606">
        <f t="shared" ca="1" si="2"/>
        <v>0</v>
      </c>
      <c r="J19" s="606">
        <f t="shared" ca="1" si="3"/>
        <v>0</v>
      </c>
      <c r="K19" s="606">
        <f t="shared" ca="1" si="4"/>
        <v>0</v>
      </c>
      <c r="L19" s="606">
        <f t="shared" ca="1" si="5"/>
        <v>0</v>
      </c>
      <c r="M19" s="606">
        <f t="shared" ca="1" si="6"/>
        <v>0</v>
      </c>
    </row>
    <row r="20" spans="1:13" ht="22.5" customHeight="1">
      <c r="A20" s="604" t="str">
        <f ca="1">IF(ROWS($1:5)&gt;COUNT(Dong9),"",OFFSET(TH!C$1,SMALL(Dong9,ROWS($1:5)),))</f>
        <v/>
      </c>
      <c r="B20" s="604" t="str">
        <f ca="1">IF(ROWS($1:5)&gt;COUNT(Dong9),"",OFFSET(TH!D$1,SMALL(Dong9,ROWS($1:5)),))</f>
        <v/>
      </c>
      <c r="C20" s="604" t="str">
        <f ca="1">IF(ROWS($1:5)&gt;COUNT(Dong9),"",OFFSET(TH!E$1,SMALL(Dong9,ROWS($1:5)),))</f>
        <v/>
      </c>
      <c r="D20" s="605" t="str">
        <f ca="1">IF(ROWS($1:5)&gt;COUNT(Dong9),"",OFFSET(TH!F$1,SMALL(Dong9,ROWS($1:5)),))</f>
        <v/>
      </c>
      <c r="E20" s="604" t="str">
        <f ca="1">IF(ROWS($1:5)&gt;COUNT(Dong9),"",OFFSET(TH!M$1,SMALL(Dong9,ROWS($1:5)),))</f>
        <v/>
      </c>
      <c r="F20" s="606" t="str">
        <f ca="1">IF(ROWS($1:5)&gt;COUNT(Dong9),"",OFFSET(TH!K$1,SMALL(Dong9,ROWS($1:5)),))</f>
        <v/>
      </c>
      <c r="G20" s="606">
        <f t="shared" ca="1" si="0"/>
        <v>0</v>
      </c>
      <c r="H20" s="606">
        <f t="shared" ca="1" si="1"/>
        <v>0</v>
      </c>
      <c r="I20" s="606">
        <f t="shared" ca="1" si="2"/>
        <v>0</v>
      </c>
      <c r="J20" s="606">
        <f t="shared" ca="1" si="3"/>
        <v>0</v>
      </c>
      <c r="K20" s="606">
        <f t="shared" ca="1" si="4"/>
        <v>0</v>
      </c>
      <c r="L20" s="606">
        <f t="shared" ca="1" si="5"/>
        <v>0</v>
      </c>
      <c r="M20" s="606">
        <f t="shared" ca="1" si="6"/>
        <v>0</v>
      </c>
    </row>
    <row r="21" spans="1:13" ht="22.5" customHeight="1">
      <c r="A21" s="604" t="str">
        <f ca="1">IF(ROWS($1:6)&gt;COUNT(Dong9),"",OFFSET(TH!C$1,SMALL(Dong9,ROWS($1:6)),))</f>
        <v/>
      </c>
      <c r="B21" s="604" t="str">
        <f ca="1">IF(ROWS($1:6)&gt;COUNT(Dong9),"",OFFSET(TH!D$1,SMALL(Dong9,ROWS($1:6)),))</f>
        <v/>
      </c>
      <c r="C21" s="604" t="str">
        <f ca="1">IF(ROWS($1:6)&gt;COUNT(Dong9),"",OFFSET(TH!E$1,SMALL(Dong9,ROWS($1:6)),))</f>
        <v/>
      </c>
      <c r="D21" s="605" t="str">
        <f ca="1">IF(ROWS($1:6)&gt;COUNT(Dong9),"",OFFSET(TH!F$1,SMALL(Dong9,ROWS($1:6)),))</f>
        <v/>
      </c>
      <c r="E21" s="604" t="str">
        <f ca="1">IF(ROWS($1:6)&gt;COUNT(Dong9),"",OFFSET(TH!M$1,SMALL(Dong9,ROWS($1:6)),))</f>
        <v/>
      </c>
      <c r="F21" s="606" t="str">
        <f ca="1">IF(ROWS($1:6)&gt;COUNT(Dong9),"",OFFSET(TH!K$1,SMALL(Dong9,ROWS($1:6)),))</f>
        <v/>
      </c>
      <c r="G21" s="606">
        <f t="shared" ca="1" si="0"/>
        <v>0</v>
      </c>
      <c r="H21" s="606">
        <f t="shared" ca="1" si="1"/>
        <v>0</v>
      </c>
      <c r="I21" s="606">
        <f t="shared" ca="1" si="2"/>
        <v>0</v>
      </c>
      <c r="J21" s="606">
        <f t="shared" ca="1" si="3"/>
        <v>0</v>
      </c>
      <c r="K21" s="606">
        <f t="shared" ca="1" si="4"/>
        <v>0</v>
      </c>
      <c r="L21" s="606">
        <f t="shared" ca="1" si="5"/>
        <v>0</v>
      </c>
      <c r="M21" s="606">
        <f t="shared" ca="1" si="6"/>
        <v>0</v>
      </c>
    </row>
    <row r="22" spans="1:13" ht="22.5" customHeight="1">
      <c r="A22" s="604" t="str">
        <f ca="1">IF(ROWS($1:7)&gt;COUNT(Dong9),"",OFFSET(TH!C$1,SMALL(Dong9,ROWS($1:7)),))</f>
        <v/>
      </c>
      <c r="B22" s="604" t="str">
        <f ca="1">IF(ROWS($1:7)&gt;COUNT(Dong9),"",OFFSET(TH!D$1,SMALL(Dong9,ROWS($1:7)),))</f>
        <v/>
      </c>
      <c r="C22" s="604" t="str">
        <f ca="1">IF(ROWS($1:7)&gt;COUNT(Dong9),"",OFFSET(TH!E$1,SMALL(Dong9,ROWS($1:7)),))</f>
        <v/>
      </c>
      <c r="D22" s="605" t="str">
        <f ca="1">IF(ROWS($1:7)&gt;COUNT(Dong9),"",OFFSET(TH!F$1,SMALL(Dong9,ROWS($1:7)),))</f>
        <v/>
      </c>
      <c r="E22" s="604" t="str">
        <f ca="1">IF(ROWS($1:7)&gt;COUNT(Dong9),"",OFFSET(TH!M$1,SMALL(Dong9,ROWS($1:7)),))</f>
        <v/>
      </c>
      <c r="F22" s="606" t="str">
        <f ca="1">IF(ROWS($1:7)&gt;COUNT(Dong9),"",OFFSET(TH!K$1,SMALL(Dong9,ROWS($1:7)),))</f>
        <v/>
      </c>
      <c r="G22" s="606">
        <f t="shared" ca="1" si="0"/>
        <v>0</v>
      </c>
      <c r="H22" s="606">
        <f t="shared" ca="1" si="1"/>
        <v>0</v>
      </c>
      <c r="I22" s="606">
        <f t="shared" ca="1" si="2"/>
        <v>0</v>
      </c>
      <c r="J22" s="606">
        <f t="shared" ca="1" si="3"/>
        <v>0</v>
      </c>
      <c r="K22" s="606">
        <f t="shared" ca="1" si="4"/>
        <v>0</v>
      </c>
      <c r="L22" s="606">
        <f t="shared" ca="1" si="5"/>
        <v>0</v>
      </c>
      <c r="M22" s="606">
        <f t="shared" ca="1" si="6"/>
        <v>0</v>
      </c>
    </row>
    <row r="23" spans="1:13" ht="22.5" customHeight="1">
      <c r="A23" s="604" t="str">
        <f ca="1">IF(ROWS($1:8)&gt;COUNT(Dong9),"",OFFSET(TH!C$1,SMALL(Dong9,ROWS($1:8)),))</f>
        <v/>
      </c>
      <c r="B23" s="604" t="str">
        <f ca="1">IF(ROWS($1:8)&gt;COUNT(Dong9),"",OFFSET(TH!D$1,SMALL(Dong9,ROWS($1:8)),))</f>
        <v/>
      </c>
      <c r="C23" s="604" t="str">
        <f ca="1">IF(ROWS($1:8)&gt;COUNT(Dong9),"",OFFSET(TH!E$1,SMALL(Dong9,ROWS($1:8)),))</f>
        <v/>
      </c>
      <c r="D23" s="605" t="str">
        <f ca="1">IF(ROWS($1:8)&gt;COUNT(Dong9),"",OFFSET(TH!F$1,SMALL(Dong9,ROWS($1:8)),))</f>
        <v/>
      </c>
      <c r="E23" s="604" t="str">
        <f ca="1">IF(ROWS($1:8)&gt;COUNT(Dong9),"",OFFSET(TH!M$1,SMALL(Dong9,ROWS($1:8)),))</f>
        <v/>
      </c>
      <c r="F23" s="606" t="str">
        <f ca="1">IF(ROWS($1:8)&gt;COUNT(Dong9),"",OFFSET(TH!K$1,SMALL(Dong9,ROWS($1:8)),))</f>
        <v/>
      </c>
      <c r="G23" s="606">
        <f t="shared" ca="1" si="0"/>
        <v>0</v>
      </c>
      <c r="H23" s="606">
        <f t="shared" ca="1" si="1"/>
        <v>0</v>
      </c>
      <c r="I23" s="606">
        <f t="shared" ca="1" si="2"/>
        <v>0</v>
      </c>
      <c r="J23" s="606">
        <f t="shared" ca="1" si="3"/>
        <v>0</v>
      </c>
      <c r="K23" s="606">
        <f t="shared" ca="1" si="4"/>
        <v>0</v>
      </c>
      <c r="L23" s="606">
        <f t="shared" ca="1" si="5"/>
        <v>0</v>
      </c>
      <c r="M23" s="606">
        <f t="shared" ca="1" si="6"/>
        <v>0</v>
      </c>
    </row>
    <row r="24" spans="1:13" ht="22.5" customHeight="1">
      <c r="A24" s="604" t="str">
        <f ca="1">IF(ROWS($1:9)&gt;COUNT(Dong9),"",OFFSET(TH!C$1,SMALL(Dong9,ROWS($1:9)),))</f>
        <v/>
      </c>
      <c r="B24" s="604" t="str">
        <f ca="1">IF(ROWS($1:9)&gt;COUNT(Dong9),"",OFFSET(TH!D$1,SMALL(Dong9,ROWS($1:9)),))</f>
        <v/>
      </c>
      <c r="C24" s="604" t="str">
        <f ca="1">IF(ROWS($1:9)&gt;COUNT(Dong9),"",OFFSET(TH!E$1,SMALL(Dong9,ROWS($1:9)),))</f>
        <v/>
      </c>
      <c r="D24" s="605" t="str">
        <f ca="1">IF(ROWS($1:9)&gt;COUNT(Dong9),"",OFFSET(TH!F$1,SMALL(Dong9,ROWS($1:9)),))</f>
        <v/>
      </c>
      <c r="E24" s="604" t="str">
        <f ca="1">IF(ROWS($1:9)&gt;COUNT(Dong9),"",OFFSET(TH!M$1,SMALL(Dong9,ROWS($1:9)),))</f>
        <v/>
      </c>
      <c r="F24" s="606" t="str">
        <f ca="1">IF(ROWS($1:9)&gt;COUNT(Dong9),"",OFFSET(TH!K$1,SMALL(Dong9,ROWS($1:9)),))</f>
        <v/>
      </c>
      <c r="G24" s="606">
        <f t="shared" ca="1" si="0"/>
        <v>0</v>
      </c>
      <c r="H24" s="606">
        <f t="shared" ca="1" si="1"/>
        <v>0</v>
      </c>
      <c r="I24" s="606">
        <f t="shared" ca="1" si="2"/>
        <v>0</v>
      </c>
      <c r="J24" s="606">
        <f t="shared" ca="1" si="3"/>
        <v>0</v>
      </c>
      <c r="K24" s="606">
        <f t="shared" ca="1" si="4"/>
        <v>0</v>
      </c>
      <c r="L24" s="606">
        <f t="shared" ca="1" si="5"/>
        <v>0</v>
      </c>
      <c r="M24" s="606">
        <f t="shared" ca="1" si="6"/>
        <v>0</v>
      </c>
    </row>
    <row r="25" spans="1:13" ht="22.5" customHeight="1">
      <c r="A25" s="604" t="str">
        <f ca="1">IF(ROWS($1:10)&gt;COUNT(Dong9),"",OFFSET(TH!C$1,SMALL(Dong9,ROWS($1:10)),))</f>
        <v/>
      </c>
      <c r="B25" s="604" t="str">
        <f ca="1">IF(ROWS($1:10)&gt;COUNT(Dong9),"",OFFSET(TH!D$1,SMALL(Dong9,ROWS($1:10)),))</f>
        <v/>
      </c>
      <c r="C25" s="604" t="str">
        <f ca="1">IF(ROWS($1:10)&gt;COUNT(Dong9),"",OFFSET(TH!E$1,SMALL(Dong9,ROWS($1:10)),))</f>
        <v/>
      </c>
      <c r="D25" s="605" t="str">
        <f ca="1">IF(ROWS($1:10)&gt;COUNT(Dong9),"",OFFSET(TH!F$1,SMALL(Dong9,ROWS($1:10)),))</f>
        <v/>
      </c>
      <c r="E25" s="604" t="str">
        <f ca="1">IF(ROWS($1:10)&gt;COUNT(Dong9),"",OFFSET(TH!M$1,SMALL(Dong9,ROWS($1:10)),))</f>
        <v/>
      </c>
      <c r="F25" s="606" t="str">
        <f ca="1">IF(ROWS($1:10)&gt;COUNT(Dong9),"",OFFSET(TH!K$1,SMALL(Dong9,ROWS($1:10)),))</f>
        <v/>
      </c>
      <c r="G25" s="606">
        <f t="shared" ca="1" si="0"/>
        <v>0</v>
      </c>
      <c r="H25" s="606">
        <f t="shared" ca="1" si="1"/>
        <v>0</v>
      </c>
      <c r="I25" s="606">
        <f t="shared" ca="1" si="2"/>
        <v>0</v>
      </c>
      <c r="J25" s="606">
        <f t="shared" ca="1" si="3"/>
        <v>0</v>
      </c>
      <c r="K25" s="606">
        <f t="shared" ca="1" si="4"/>
        <v>0</v>
      </c>
      <c r="L25" s="606">
        <f t="shared" ca="1" si="5"/>
        <v>0</v>
      </c>
      <c r="M25" s="606">
        <f t="shared" ca="1" si="6"/>
        <v>0</v>
      </c>
    </row>
    <row r="26" spans="1:13" ht="22.5" customHeight="1">
      <c r="A26" s="604" t="str">
        <f ca="1">IF(ROWS($1:11)&gt;COUNT(Dong9),"",OFFSET(TH!C$1,SMALL(Dong9,ROWS($1:11)),))</f>
        <v/>
      </c>
      <c r="B26" s="604" t="str">
        <f ca="1">IF(ROWS($1:11)&gt;COUNT(Dong9),"",OFFSET(TH!D$1,SMALL(Dong9,ROWS($1:11)),))</f>
        <v/>
      </c>
      <c r="C26" s="604" t="str">
        <f ca="1">IF(ROWS($1:11)&gt;COUNT(Dong9),"",OFFSET(TH!E$1,SMALL(Dong9,ROWS($1:11)),))</f>
        <v/>
      </c>
      <c r="D26" s="605" t="str">
        <f ca="1">IF(ROWS($1:11)&gt;COUNT(Dong9),"",OFFSET(TH!F$1,SMALL(Dong9,ROWS($1:11)),))</f>
        <v/>
      </c>
      <c r="E26" s="604" t="str">
        <f ca="1">IF(ROWS($1:11)&gt;COUNT(Dong9),"",OFFSET(TH!M$1,SMALL(Dong9,ROWS($1:11)),))</f>
        <v/>
      </c>
      <c r="F26" s="606" t="str">
        <f ca="1">IF(ROWS($1:11)&gt;COUNT(Dong9),"",OFFSET(TH!K$1,SMALL(Dong9,ROWS($1:11)),))</f>
        <v/>
      </c>
      <c r="G26" s="606">
        <f t="shared" ca="1" si="0"/>
        <v>0</v>
      </c>
      <c r="H26" s="606">
        <f t="shared" ca="1" si="1"/>
        <v>0</v>
      </c>
      <c r="I26" s="606">
        <f t="shared" ca="1" si="2"/>
        <v>0</v>
      </c>
      <c r="J26" s="606">
        <f t="shared" ca="1" si="3"/>
        <v>0</v>
      </c>
      <c r="K26" s="606">
        <f t="shared" ca="1" si="4"/>
        <v>0</v>
      </c>
      <c r="L26" s="606">
        <f t="shared" ca="1" si="5"/>
        <v>0</v>
      </c>
      <c r="M26" s="606">
        <f t="shared" ca="1" si="6"/>
        <v>0</v>
      </c>
    </row>
    <row r="27" spans="1:13" ht="22.5" customHeight="1">
      <c r="A27" s="604" t="str">
        <f ca="1">IF(ROWS($1:12)&gt;COUNT(Dong9),"",OFFSET(TH!C$1,SMALL(Dong9,ROWS($1:12)),))</f>
        <v/>
      </c>
      <c r="B27" s="604" t="str">
        <f ca="1">IF(ROWS($1:12)&gt;COUNT(Dong9),"",OFFSET(TH!D$1,SMALL(Dong9,ROWS($1:12)),))</f>
        <v/>
      </c>
      <c r="C27" s="604" t="str">
        <f ca="1">IF(ROWS($1:12)&gt;COUNT(Dong9),"",OFFSET(TH!E$1,SMALL(Dong9,ROWS($1:12)),))</f>
        <v/>
      </c>
      <c r="D27" s="605" t="str">
        <f ca="1">IF(ROWS($1:12)&gt;COUNT(Dong9),"",OFFSET(TH!F$1,SMALL(Dong9,ROWS($1:12)),))</f>
        <v/>
      </c>
      <c r="E27" s="604" t="str">
        <f ca="1">IF(ROWS($1:12)&gt;COUNT(Dong9),"",OFFSET(TH!M$1,SMALL(Dong9,ROWS($1:12)),))</f>
        <v/>
      </c>
      <c r="F27" s="606" t="str">
        <f ca="1">IF(ROWS($1:12)&gt;COUNT(Dong9),"",OFFSET(TH!K$1,SMALL(Dong9,ROWS($1:12)),))</f>
        <v/>
      </c>
      <c r="G27" s="606">
        <f t="shared" ca="1" si="0"/>
        <v>0</v>
      </c>
      <c r="H27" s="606">
        <f t="shared" ca="1" si="1"/>
        <v>0</v>
      </c>
      <c r="I27" s="606">
        <f t="shared" ca="1" si="2"/>
        <v>0</v>
      </c>
      <c r="J27" s="606">
        <f t="shared" ca="1" si="3"/>
        <v>0</v>
      </c>
      <c r="K27" s="606">
        <f t="shared" ca="1" si="4"/>
        <v>0</v>
      </c>
      <c r="L27" s="606">
        <f t="shared" ca="1" si="5"/>
        <v>0</v>
      </c>
      <c r="M27" s="606">
        <f t="shared" ca="1" si="6"/>
        <v>0</v>
      </c>
    </row>
    <row r="28" spans="1:13" ht="22.5" customHeight="1">
      <c r="A28" s="604" t="str">
        <f ca="1">IF(ROWS($1:13)&gt;COUNT(Dong9),"",OFFSET(TH!C$1,SMALL(Dong9,ROWS($1:13)),))</f>
        <v/>
      </c>
      <c r="B28" s="604" t="str">
        <f ca="1">IF(ROWS($1:13)&gt;COUNT(Dong9),"",OFFSET(TH!D$1,SMALL(Dong9,ROWS($1:13)),))</f>
        <v/>
      </c>
      <c r="C28" s="604" t="str">
        <f ca="1">IF(ROWS($1:13)&gt;COUNT(Dong9),"",OFFSET(TH!E$1,SMALL(Dong9,ROWS($1:13)),))</f>
        <v/>
      </c>
      <c r="D28" s="605" t="str">
        <f ca="1">IF(ROWS($1:13)&gt;COUNT(Dong9),"",OFFSET(TH!F$1,SMALL(Dong9,ROWS($1:13)),))</f>
        <v/>
      </c>
      <c r="E28" s="604" t="str">
        <f ca="1">IF(ROWS($1:13)&gt;COUNT(Dong9),"",OFFSET(TH!M$1,SMALL(Dong9,ROWS($1:13)),))</f>
        <v/>
      </c>
      <c r="F28" s="606" t="str">
        <f ca="1">IF(ROWS($1:13)&gt;COUNT(Dong9),"",OFFSET(TH!K$1,SMALL(Dong9,ROWS($1:13)),))</f>
        <v/>
      </c>
      <c r="G28" s="606">
        <f t="shared" ca="1" si="0"/>
        <v>0</v>
      </c>
      <c r="H28" s="606">
        <f t="shared" ca="1" si="1"/>
        <v>0</v>
      </c>
      <c r="I28" s="606">
        <f t="shared" ca="1" si="2"/>
        <v>0</v>
      </c>
      <c r="J28" s="606">
        <f t="shared" ca="1" si="3"/>
        <v>0</v>
      </c>
      <c r="K28" s="606">
        <f t="shared" ca="1" si="4"/>
        <v>0</v>
      </c>
      <c r="L28" s="606">
        <f t="shared" ca="1" si="5"/>
        <v>0</v>
      </c>
      <c r="M28" s="606">
        <f t="shared" ca="1" si="6"/>
        <v>0</v>
      </c>
    </row>
    <row r="29" spans="1:13" ht="22.5" customHeight="1">
      <c r="A29" s="604" t="str">
        <f ca="1">IF(ROWS($1:14)&gt;COUNT(Dong9),"",OFFSET(TH!C$1,SMALL(Dong9,ROWS($1:14)),))</f>
        <v/>
      </c>
      <c r="B29" s="604" t="str">
        <f ca="1">IF(ROWS($1:14)&gt;COUNT(Dong9),"",OFFSET(TH!D$1,SMALL(Dong9,ROWS($1:14)),))</f>
        <v/>
      </c>
      <c r="C29" s="604" t="str">
        <f ca="1">IF(ROWS($1:14)&gt;COUNT(Dong9),"",OFFSET(TH!E$1,SMALL(Dong9,ROWS($1:14)),))</f>
        <v/>
      </c>
      <c r="D29" s="605" t="str">
        <f ca="1">IF(ROWS($1:14)&gt;COUNT(Dong9),"",OFFSET(TH!F$1,SMALL(Dong9,ROWS($1:14)),))</f>
        <v/>
      </c>
      <c r="E29" s="604" t="str">
        <f ca="1">IF(ROWS($1:14)&gt;COUNT(Dong9),"",OFFSET(TH!M$1,SMALL(Dong9,ROWS($1:14)),))</f>
        <v/>
      </c>
      <c r="F29" s="606" t="str">
        <f ca="1">IF(ROWS($1:14)&gt;COUNT(Dong9),"",OFFSET(TH!K$1,SMALL(Dong9,ROWS($1:14)),))</f>
        <v/>
      </c>
      <c r="G29" s="606">
        <f t="shared" ca="1" si="0"/>
        <v>0</v>
      </c>
      <c r="H29" s="606">
        <f t="shared" ca="1" si="1"/>
        <v>0</v>
      </c>
      <c r="I29" s="606">
        <f t="shared" ca="1" si="2"/>
        <v>0</v>
      </c>
      <c r="J29" s="606">
        <f t="shared" ca="1" si="3"/>
        <v>0</v>
      </c>
      <c r="K29" s="606">
        <f t="shared" ca="1" si="4"/>
        <v>0</v>
      </c>
      <c r="L29" s="606">
        <f t="shared" ca="1" si="5"/>
        <v>0</v>
      </c>
      <c r="M29" s="606">
        <f t="shared" ca="1" si="6"/>
        <v>0</v>
      </c>
    </row>
    <row r="30" spans="1:13" ht="22.5" customHeight="1">
      <c r="A30" s="604" t="str">
        <f ca="1">IF(ROWS($1:15)&gt;COUNT(Dong9),"",OFFSET(TH!C$1,SMALL(Dong9,ROWS($1:15)),))</f>
        <v/>
      </c>
      <c r="B30" s="604" t="str">
        <f ca="1">IF(ROWS($1:15)&gt;COUNT(Dong9),"",OFFSET(TH!D$1,SMALL(Dong9,ROWS($1:15)),))</f>
        <v/>
      </c>
      <c r="C30" s="604" t="str">
        <f ca="1">IF(ROWS($1:15)&gt;COUNT(Dong9),"",OFFSET(TH!E$1,SMALL(Dong9,ROWS($1:15)),))</f>
        <v/>
      </c>
      <c r="D30" s="605" t="str">
        <f ca="1">IF(ROWS($1:15)&gt;COUNT(Dong9),"",OFFSET(TH!F$1,SMALL(Dong9,ROWS($1:15)),))</f>
        <v/>
      </c>
      <c r="E30" s="604" t="str">
        <f ca="1">IF(ROWS($1:15)&gt;COUNT(Dong9),"",OFFSET(TH!M$1,SMALL(Dong9,ROWS($1:15)),))</f>
        <v/>
      </c>
      <c r="F30" s="606" t="str">
        <f ca="1">IF(ROWS($1:15)&gt;COUNT(Dong9),"",OFFSET(TH!K$1,SMALL(Dong9,ROWS($1:15)),))</f>
        <v/>
      </c>
      <c r="G30" s="606">
        <f t="shared" ca="1" si="0"/>
        <v>0</v>
      </c>
      <c r="H30" s="606">
        <f t="shared" ca="1" si="1"/>
        <v>0</v>
      </c>
      <c r="I30" s="606">
        <f t="shared" ca="1" si="2"/>
        <v>0</v>
      </c>
      <c r="J30" s="606">
        <f t="shared" ca="1" si="3"/>
        <v>0</v>
      </c>
      <c r="K30" s="606">
        <f t="shared" ca="1" si="4"/>
        <v>0</v>
      </c>
      <c r="L30" s="606">
        <f t="shared" ca="1" si="5"/>
        <v>0</v>
      </c>
      <c r="M30" s="606">
        <f t="shared" ca="1" si="6"/>
        <v>0</v>
      </c>
    </row>
    <row r="31" spans="1:13" ht="22.5" customHeight="1">
      <c r="A31" s="604" t="str">
        <f ca="1">IF(ROWS($1:16)&gt;COUNT(Dong9),"",OFFSET(TH!C$1,SMALL(Dong9,ROWS($1:16)),))</f>
        <v/>
      </c>
      <c r="B31" s="604" t="str">
        <f ca="1">IF(ROWS($1:16)&gt;COUNT(Dong9),"",OFFSET(TH!D$1,SMALL(Dong9,ROWS($1:16)),))</f>
        <v/>
      </c>
      <c r="C31" s="604" t="str">
        <f ca="1">IF(ROWS($1:16)&gt;COUNT(Dong9),"",OFFSET(TH!E$1,SMALL(Dong9,ROWS($1:16)),))</f>
        <v/>
      </c>
      <c r="D31" s="605" t="str">
        <f ca="1">IF(ROWS($1:16)&gt;COUNT(Dong9),"",OFFSET(TH!F$1,SMALL(Dong9,ROWS($1:16)),))</f>
        <v/>
      </c>
      <c r="E31" s="604" t="str">
        <f ca="1">IF(ROWS($1:16)&gt;COUNT(Dong9),"",OFFSET(TH!M$1,SMALL(Dong9,ROWS($1:16)),))</f>
        <v/>
      </c>
      <c r="F31" s="606" t="str">
        <f ca="1">IF(ROWS($1:16)&gt;COUNT(Dong9),"",OFFSET(TH!K$1,SMALL(Dong9,ROWS($1:16)),))</f>
        <v/>
      </c>
      <c r="G31" s="606">
        <f t="shared" ca="1" si="0"/>
        <v>0</v>
      </c>
      <c r="H31" s="606">
        <f t="shared" ca="1" si="1"/>
        <v>0</v>
      </c>
      <c r="I31" s="606">
        <f t="shared" ca="1" si="2"/>
        <v>0</v>
      </c>
      <c r="J31" s="606">
        <f t="shared" ca="1" si="3"/>
        <v>0</v>
      </c>
      <c r="K31" s="606">
        <f t="shared" ca="1" si="4"/>
        <v>0</v>
      </c>
      <c r="L31" s="606">
        <f t="shared" ca="1" si="5"/>
        <v>0</v>
      </c>
      <c r="M31" s="606">
        <f t="shared" ca="1" si="6"/>
        <v>0</v>
      </c>
    </row>
    <row r="32" spans="1:13" ht="22.5" customHeight="1">
      <c r="A32" s="604" t="str">
        <f ca="1">IF(ROWS($1:17)&gt;COUNT(Dong9),"",OFFSET(TH!C$1,SMALL(Dong9,ROWS($1:17)),))</f>
        <v/>
      </c>
      <c r="B32" s="604" t="str">
        <f ca="1">IF(ROWS($1:17)&gt;COUNT(Dong9),"",OFFSET(TH!D$1,SMALL(Dong9,ROWS($1:17)),))</f>
        <v/>
      </c>
      <c r="C32" s="604" t="str">
        <f ca="1">IF(ROWS($1:17)&gt;COUNT(Dong9),"",OFFSET(TH!E$1,SMALL(Dong9,ROWS($1:17)),))</f>
        <v/>
      </c>
      <c r="D32" s="605" t="str">
        <f ca="1">IF(ROWS($1:17)&gt;COUNT(Dong9),"",OFFSET(TH!F$1,SMALL(Dong9,ROWS($1:17)),))</f>
        <v/>
      </c>
      <c r="E32" s="604" t="str">
        <f ca="1">IF(ROWS($1:17)&gt;COUNT(Dong9),"",OFFSET(TH!M$1,SMALL(Dong9,ROWS($1:17)),))</f>
        <v/>
      </c>
      <c r="F32" s="606" t="str">
        <f ca="1">IF(ROWS($1:17)&gt;COUNT(Dong9),"",OFFSET(TH!K$1,SMALL(Dong9,ROWS($1:17)),))</f>
        <v/>
      </c>
      <c r="G32" s="606">
        <f t="shared" ca="1" si="0"/>
        <v>0</v>
      </c>
      <c r="H32" s="606">
        <f t="shared" ca="1" si="1"/>
        <v>0</v>
      </c>
      <c r="I32" s="606">
        <f t="shared" ca="1" si="2"/>
        <v>0</v>
      </c>
      <c r="J32" s="606">
        <f t="shared" ca="1" si="3"/>
        <v>0</v>
      </c>
      <c r="K32" s="606">
        <f t="shared" ca="1" si="4"/>
        <v>0</v>
      </c>
      <c r="L32" s="606">
        <f t="shared" ca="1" si="5"/>
        <v>0</v>
      </c>
      <c r="M32" s="606">
        <f t="shared" ca="1" si="6"/>
        <v>0</v>
      </c>
    </row>
    <row r="33" spans="1:13" ht="22.5" customHeight="1">
      <c r="A33" s="604" t="str">
        <f ca="1">IF(ROWS($1:18)&gt;COUNT(Dong9),"",OFFSET(TH!C$1,SMALL(Dong9,ROWS($1:18)),))</f>
        <v/>
      </c>
      <c r="B33" s="604" t="str">
        <f ca="1">IF(ROWS($1:18)&gt;COUNT(Dong9),"",OFFSET(TH!D$1,SMALL(Dong9,ROWS($1:18)),))</f>
        <v/>
      </c>
      <c r="C33" s="604" t="str">
        <f ca="1">IF(ROWS($1:18)&gt;COUNT(Dong9),"",OFFSET(TH!E$1,SMALL(Dong9,ROWS($1:18)),))</f>
        <v/>
      </c>
      <c r="D33" s="605" t="str">
        <f ca="1">IF(ROWS($1:18)&gt;COUNT(Dong9),"",OFFSET(TH!F$1,SMALL(Dong9,ROWS($1:18)),))</f>
        <v/>
      </c>
      <c r="E33" s="604" t="str">
        <f ca="1">IF(ROWS($1:18)&gt;COUNT(Dong9),"",OFFSET(TH!M$1,SMALL(Dong9,ROWS($1:18)),))</f>
        <v/>
      </c>
      <c r="F33" s="606" t="str">
        <f ca="1">IF(ROWS($1:18)&gt;COUNT(Dong9),"",OFFSET(TH!K$1,SMALL(Dong9,ROWS($1:18)),))</f>
        <v/>
      </c>
      <c r="G33" s="606">
        <f t="shared" ca="1" si="0"/>
        <v>0</v>
      </c>
      <c r="H33" s="606">
        <f t="shared" ca="1" si="1"/>
        <v>0</v>
      </c>
      <c r="I33" s="606">
        <f t="shared" ca="1" si="2"/>
        <v>0</v>
      </c>
      <c r="J33" s="606">
        <f t="shared" ca="1" si="3"/>
        <v>0</v>
      </c>
      <c r="K33" s="606">
        <f t="shared" ca="1" si="4"/>
        <v>0</v>
      </c>
      <c r="L33" s="606">
        <f t="shared" ca="1" si="5"/>
        <v>0</v>
      </c>
      <c r="M33" s="606">
        <f t="shared" ca="1" si="6"/>
        <v>0</v>
      </c>
    </row>
    <row r="34" spans="1:13" ht="22.5" customHeight="1">
      <c r="A34" s="604"/>
      <c r="B34" s="607"/>
      <c r="C34" s="604"/>
      <c r="D34" s="608"/>
      <c r="E34" s="609"/>
      <c r="F34" s="610"/>
      <c r="G34" s="610"/>
      <c r="H34" s="610"/>
      <c r="I34" s="610"/>
      <c r="J34" s="610"/>
      <c r="K34" s="610"/>
      <c r="L34" s="610"/>
      <c r="M34" s="610"/>
    </row>
    <row r="35" spans="1:13" ht="22.5" customHeight="1">
      <c r="A35" s="604"/>
      <c r="B35" s="607"/>
      <c r="C35" s="604"/>
      <c r="D35" s="602" t="s">
        <v>133</v>
      </c>
      <c r="E35" s="601" t="s">
        <v>19</v>
      </c>
      <c r="F35" s="603">
        <f t="shared" ref="F35:M35" ca="1" si="7">SUM(F15:F34)</f>
        <v>8265000</v>
      </c>
      <c r="G35" s="603">
        <f t="shared" ca="1" si="7"/>
        <v>0</v>
      </c>
      <c r="H35" s="603">
        <f t="shared" ca="1" si="7"/>
        <v>0</v>
      </c>
      <c r="I35" s="603">
        <f t="shared" ca="1" si="7"/>
        <v>0</v>
      </c>
      <c r="J35" s="603">
        <f t="shared" ca="1" si="7"/>
        <v>5685000</v>
      </c>
      <c r="K35" s="603">
        <f t="shared" ca="1" si="7"/>
        <v>0</v>
      </c>
      <c r="L35" s="603">
        <f t="shared" ca="1" si="7"/>
        <v>0</v>
      </c>
      <c r="M35" s="603">
        <f t="shared" ca="1" si="7"/>
        <v>2580000</v>
      </c>
    </row>
    <row r="36" spans="1:13" ht="22.5" customHeight="1">
      <c r="A36" s="611"/>
      <c r="B36" s="609"/>
      <c r="C36" s="611"/>
      <c r="D36" s="612" t="s">
        <v>316</v>
      </c>
      <c r="E36" s="607"/>
      <c r="F36" s="613">
        <f ca="1">SUM(G36:M36)</f>
        <v>8265000</v>
      </c>
      <c r="G36" s="613">
        <f t="shared" ref="G36:M36" ca="1" si="8">G35</f>
        <v>0</v>
      </c>
      <c r="H36" s="613">
        <f t="shared" ca="1" si="8"/>
        <v>0</v>
      </c>
      <c r="I36" s="613">
        <f t="shared" ref="I36" ca="1" si="9">I35</f>
        <v>0</v>
      </c>
      <c r="J36" s="613">
        <f t="shared" ca="1" si="8"/>
        <v>5685000</v>
      </c>
      <c r="K36" s="613">
        <f t="shared" ca="1" si="8"/>
        <v>0</v>
      </c>
      <c r="L36" s="613">
        <f t="shared" ref="L36" ca="1" si="10">L35</f>
        <v>0</v>
      </c>
      <c r="M36" s="613">
        <f t="shared" ca="1" si="8"/>
        <v>2580000</v>
      </c>
    </row>
    <row r="37" spans="1:13" ht="22.5" customHeight="1">
      <c r="A37" s="614"/>
      <c r="B37" s="614"/>
      <c r="C37" s="614"/>
      <c r="D37" s="615" t="s">
        <v>10</v>
      </c>
      <c r="E37" s="614" t="s">
        <v>19</v>
      </c>
      <c r="F37" s="616">
        <f t="shared" ref="F37:M37" ca="1" si="11">F15+F35-F36</f>
        <v>0</v>
      </c>
      <c r="G37" s="616">
        <f t="shared" ca="1" si="11"/>
        <v>0</v>
      </c>
      <c r="H37" s="616">
        <f t="shared" ca="1" si="11"/>
        <v>0</v>
      </c>
      <c r="I37" s="616">
        <f t="shared" ca="1" si="11"/>
        <v>0</v>
      </c>
      <c r="J37" s="616">
        <f t="shared" ca="1" si="11"/>
        <v>0</v>
      </c>
      <c r="K37" s="616">
        <f t="shared" ca="1" si="11"/>
        <v>0</v>
      </c>
      <c r="L37" s="616">
        <f t="shared" ca="1" si="11"/>
        <v>0</v>
      </c>
      <c r="M37" s="616">
        <f t="shared" ca="1" si="11"/>
        <v>0</v>
      </c>
    </row>
    <row r="39" spans="1:13">
      <c r="B39" s="617"/>
      <c r="C39" s="597" t="s">
        <v>317</v>
      </c>
    </row>
    <row r="40" spans="1:13">
      <c r="C40" s="597" t="str">
        <f ca="1">"Ngày mở sổ: "&amp;"01/"&amp;MONTH(A16)&amp;"/ "&amp;YEAR(A16)</f>
        <v>Ngày mở sổ: 01/8/ 2012</v>
      </c>
    </row>
    <row r="41" spans="1:13">
      <c r="E41" s="596"/>
      <c r="F41" s="596"/>
      <c r="G41" s="596"/>
      <c r="H41" s="596"/>
      <c r="I41" s="596"/>
      <c r="J41" s="1077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9   năm 2012</v>
      </c>
      <c r="K41" s="1077"/>
      <c r="L41" s="1077"/>
      <c r="M41" s="1077"/>
    </row>
    <row r="42" spans="1:13">
      <c r="B42" s="596"/>
      <c r="C42" s="593" t="s">
        <v>11</v>
      </c>
      <c r="D42" s="596"/>
      <c r="E42" s="596"/>
      <c r="F42" s="596"/>
      <c r="G42" s="596"/>
      <c r="H42" s="596"/>
      <c r="I42" s="596"/>
      <c r="J42" s="1077" t="s">
        <v>12</v>
      </c>
      <c r="K42" s="1077"/>
      <c r="L42" s="1077"/>
      <c r="M42" s="1077"/>
    </row>
    <row r="43" spans="1:13">
      <c r="B43" s="596"/>
      <c r="C43" s="593" t="s">
        <v>13</v>
      </c>
      <c r="D43" s="596"/>
      <c r="E43" s="596"/>
      <c r="F43" s="596"/>
      <c r="G43" s="596"/>
      <c r="H43" s="596"/>
      <c r="I43" s="596"/>
      <c r="J43" s="596"/>
      <c r="K43" s="596" t="s">
        <v>13</v>
      </c>
      <c r="L43" s="596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L13" sqref="L13"/>
    </sheetView>
  </sheetViews>
  <sheetFormatPr defaultRowHeight="15"/>
  <cols>
    <col min="1" max="1" width="10.28515625" style="593" customWidth="1"/>
    <col min="2" max="2" width="8.85546875" style="593" customWidth="1"/>
    <col min="3" max="3" width="10.5703125" style="593" customWidth="1"/>
    <col min="4" max="4" width="31.85546875" style="593" customWidth="1"/>
    <col min="5" max="5" width="10.28515625" style="593" customWidth="1"/>
    <col min="6" max="6" width="15.28515625" style="593" customWidth="1"/>
    <col min="7" max="7" width="9.42578125" style="593" customWidth="1"/>
    <col min="8" max="8" width="15.140625" style="593" customWidth="1"/>
    <col min="9" max="9" width="11.42578125" style="593" customWidth="1"/>
    <col min="10" max="10" width="16.28515625" style="593" customWidth="1"/>
    <col min="11" max="11" width="6" style="593" customWidth="1"/>
    <col min="12" max="16384" width="9.140625" style="593"/>
  </cols>
  <sheetData>
    <row r="2" spans="1:13">
      <c r="A2" s="592" t="str">
        <f>'154'!A2</f>
        <v>Đơn vị: CÔNG TY TNHH MỘT THÀNH VIÊN KHỞI NGUYÊN AN</v>
      </c>
      <c r="F2" s="594"/>
      <c r="G2" s="1089" t="s">
        <v>304</v>
      </c>
      <c r="H2" s="1089"/>
      <c r="I2" s="1089"/>
      <c r="J2" s="1089"/>
    </row>
    <row r="3" spans="1:13" ht="15" customHeight="1">
      <c r="A3" s="622" t="str">
        <f>'154'!A3</f>
        <v>Địa chỉ: Thửa đất số 144, tờ bản đồ số 12TĐH.1, tổ 1, khu phố Đông Tác, Phường Tân Đông Hiệp, Thị Xã Dĩ An, Tỉnh Bình Dương, Việt Nam</v>
      </c>
      <c r="G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1092"/>
      <c r="I3" s="1092"/>
      <c r="J3" s="1092"/>
    </row>
    <row r="4" spans="1:13">
      <c r="G4" s="1092"/>
      <c r="H4" s="1092"/>
      <c r="I4" s="1092"/>
      <c r="J4" s="1092"/>
    </row>
    <row r="5" spans="1:13" ht="27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595" t="s">
        <v>162</v>
      </c>
      <c r="L5" s="528">
        <f>IF(L13="Quý I",1,IF(L13="Quý II",4,IF(L13="Quý III",7,IF(L13="Quý IV",10,""))))</f>
        <v>10</v>
      </c>
      <c r="M5" s="528">
        <f>IF(L13="Quý I",3,IF(L13="Quý II",6,IF(L13="Quý III",9,IF(L13="Quý IV",12,""))))</f>
        <v>12</v>
      </c>
    </row>
    <row r="6" spans="1:13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</row>
    <row r="7" spans="1:13">
      <c r="B7" s="596"/>
      <c r="C7" s="596"/>
      <c r="D7" s="596"/>
      <c r="E7" s="597" t="s">
        <v>318</v>
      </c>
      <c r="G7" s="596"/>
      <c r="H7" s="596"/>
      <c r="I7" s="596"/>
      <c r="J7" s="596"/>
    </row>
    <row r="8" spans="1:13">
      <c r="B8" s="596"/>
      <c r="C8" s="596"/>
      <c r="D8" s="596"/>
      <c r="E8" s="597" t="s">
        <v>308</v>
      </c>
      <c r="G8" s="596"/>
      <c r="H8" s="596"/>
      <c r="I8" s="596"/>
      <c r="J8" s="596"/>
    </row>
    <row r="9" spans="1:13">
      <c r="B9" s="598"/>
      <c r="C9" s="598"/>
      <c r="D9" s="598"/>
      <c r="E9" s="597" t="s">
        <v>309</v>
      </c>
      <c r="G9" s="598"/>
      <c r="H9" s="598"/>
      <c r="I9" s="598"/>
      <c r="J9" s="598"/>
    </row>
    <row r="10" spans="1:13" ht="9.75" customHeight="1">
      <c r="C10" s="1088"/>
      <c r="D10" s="1088"/>
      <c r="E10" s="1088"/>
      <c r="F10" s="1088"/>
      <c r="G10" s="1088"/>
      <c r="H10" s="1088"/>
      <c r="I10" s="1088"/>
      <c r="J10" s="1088"/>
    </row>
    <row r="11" spans="1:13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319</v>
      </c>
      <c r="G11" s="1086"/>
      <c r="H11" s="1086"/>
      <c r="I11" s="1086"/>
      <c r="J11" s="1086"/>
    </row>
    <row r="12" spans="1:13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</row>
    <row r="13" spans="1:13" ht="30.75" customHeight="1" thickBot="1">
      <c r="A13" s="1085"/>
      <c r="B13" s="1087"/>
      <c r="C13" s="1087"/>
      <c r="D13" s="1085"/>
      <c r="E13" s="1085"/>
      <c r="F13" s="1087"/>
      <c r="G13" s="599">
        <v>154</v>
      </c>
      <c r="H13" s="599">
        <v>155</v>
      </c>
      <c r="I13" s="599">
        <v>156</v>
      </c>
      <c r="J13" s="599">
        <v>157</v>
      </c>
      <c r="L13" s="621" t="s">
        <v>332</v>
      </c>
    </row>
    <row r="14" spans="1:13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>
        <v>4</v>
      </c>
      <c r="J14" s="600">
        <v>5</v>
      </c>
    </row>
    <row r="15" spans="1:13" ht="20.2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</row>
    <row r="16" spans="1:13" ht="20.25" customHeight="1">
      <c r="A16" s="604">
        <f ca="1">IF(ROWS($1:1)&gt;COUNT(Dong8),"",OFFSET(TH!C$1,SMALL(Dong8,ROWS($1:1)),))</f>
        <v>41274</v>
      </c>
      <c r="B16" s="604" t="str">
        <f ca="1">IF(ROWS($1:1)&gt;COUNT(Dong8),"",OFFSET(TH!D$1,SMALL(Dong8,ROWS($1:1)),))</f>
        <v>XB/GV</v>
      </c>
      <c r="C16" s="604">
        <f ca="1">IF(ROWS($1:1)&gt;COUNT(Dong8),"",OFFSET(TH!E$1,SMALL(Dong8,ROWS($1:1)),))</f>
        <v>41274</v>
      </c>
      <c r="D16" s="605" t="str">
        <f ca="1">IF(ROWS($1:1)&gt;COUNT(Dong8),"",OFFSET(TH!F$1,SMALL(Dong8,ROWS($1:1)),))</f>
        <v>Tấm lót</v>
      </c>
      <c r="E16" s="604" t="str">
        <f ca="1">IF(ROWS($1:1)&gt;COUNT(Dong8),"",OFFSET(TH!M$1,SMALL(Dong8,ROWS($1:1)),))</f>
        <v>156</v>
      </c>
      <c r="F16" s="606">
        <f ca="1">IF(ROWS($1:1)&gt;COUNT(Dong8),"",OFFSET(TH!K$1,SMALL(Dong8,ROWS($1:1)),))</f>
        <v>23117670</v>
      </c>
      <c r="G16" s="606">
        <f ca="1">IF($E16="154",$F16,0)</f>
        <v>0</v>
      </c>
      <c r="H16" s="606">
        <f ca="1">IF($E16="155",$F16,0)</f>
        <v>0</v>
      </c>
      <c r="I16" s="606">
        <f ca="1">IF($E16="156",$F16,0)</f>
        <v>23117670</v>
      </c>
      <c r="J16" s="606">
        <f ca="1">IF($E16="157",$F16,0)</f>
        <v>0</v>
      </c>
    </row>
    <row r="17" spans="1:10" ht="20.25" customHeight="1">
      <c r="A17" s="604">
        <f ca="1">IF(ROWS($1:2)&gt;COUNT(Dong8),"",OFFSET(TH!C$1,SMALL(Dong8,ROWS($1:2)),))</f>
        <v>41274</v>
      </c>
      <c r="B17" s="604" t="str">
        <f ca="1">IF(ROWS($1:2)&gt;COUNT(Dong8),"",OFFSET(TH!D$1,SMALL(Dong8,ROWS($1:2)),))</f>
        <v>XB/GV</v>
      </c>
      <c r="C17" s="604">
        <f ca="1">IF(ROWS($1:2)&gt;COUNT(Dong8),"",OFFSET(TH!E$1,SMALL(Dong8,ROWS($1:2)),))</f>
        <v>41274</v>
      </c>
      <c r="D17" s="605" t="str">
        <f ca="1">IF(ROWS($1:2)&gt;COUNT(Dong8),"",OFFSET(TH!F$1,SMALL(Dong8,ROWS($1:2)),))</f>
        <v xml:space="preserve">Thùng carton </v>
      </c>
      <c r="E17" s="604" t="str">
        <f ca="1">IF(ROWS($1:2)&gt;COUNT(Dong8),"",OFFSET(TH!M$1,SMALL(Dong8,ROWS($1:2)),))</f>
        <v>156</v>
      </c>
      <c r="F17" s="606">
        <f ca="1">IF(ROWS($1:2)&gt;COUNT(Dong8),"",OFFSET(TH!K$1,SMALL(Dong8,ROWS($1:2)),))</f>
        <v>1182899</v>
      </c>
      <c r="G17" s="606">
        <f t="shared" ref="G17:G20" ca="1" si="0">IF($E17="154",$F17,0)</f>
        <v>0</v>
      </c>
      <c r="H17" s="606">
        <f t="shared" ref="H17:H20" ca="1" si="1">IF($E17="155",$F17,0)</f>
        <v>0</v>
      </c>
      <c r="I17" s="606">
        <f t="shared" ref="I17:I20" ca="1" si="2">IF($E17="156",$F17,0)</f>
        <v>1182899</v>
      </c>
      <c r="J17" s="606">
        <f t="shared" ref="J17:J20" ca="1" si="3">IF($E17="157",$F17,0)</f>
        <v>0</v>
      </c>
    </row>
    <row r="18" spans="1:10" ht="20.25" customHeight="1">
      <c r="A18" s="604">
        <f ca="1">IF(ROWS($1:3)&gt;COUNT(Dong8),"",OFFSET(TH!C$1,SMALL(Dong8,ROWS($1:3)),))</f>
        <v>41274</v>
      </c>
      <c r="B18" s="604" t="str">
        <f ca="1">IF(ROWS($1:3)&gt;COUNT(Dong8),"",OFFSET(TH!D$1,SMALL(Dong8,ROWS($1:3)),))</f>
        <v>XB/GV</v>
      </c>
      <c r="C18" s="604">
        <f ca="1">IF(ROWS($1:3)&gt;COUNT(Dong8),"",OFFSET(TH!E$1,SMALL(Dong8,ROWS($1:3)),))</f>
        <v>41274</v>
      </c>
      <c r="D18" s="605" t="str">
        <f ca="1">IF(ROWS($1:3)&gt;COUNT(Dong8),"",OFFSET(TH!F$1,SMALL(Dong8,ROWS($1:3)),))</f>
        <v>Thùng carton (22x22x51,5)</v>
      </c>
      <c r="E18" s="604" t="str">
        <f ca="1">IF(ROWS($1:3)&gt;COUNT(Dong8),"",OFFSET(TH!M$1,SMALL(Dong8,ROWS($1:3)),))</f>
        <v>156</v>
      </c>
      <c r="F18" s="606">
        <f ca="1">IF(ROWS($1:3)&gt;COUNT(Dong8),"",OFFSET(TH!K$1,SMALL(Dong8,ROWS($1:3)),))</f>
        <v>16035995</v>
      </c>
      <c r="G18" s="606">
        <f t="shared" ca="1" si="0"/>
        <v>0</v>
      </c>
      <c r="H18" s="606">
        <f t="shared" ca="1" si="1"/>
        <v>0</v>
      </c>
      <c r="I18" s="606">
        <f t="shared" ca="1" si="2"/>
        <v>16035995</v>
      </c>
      <c r="J18" s="606">
        <f t="shared" ca="1" si="3"/>
        <v>0</v>
      </c>
    </row>
    <row r="19" spans="1:10" ht="20.25" customHeight="1">
      <c r="A19" s="604">
        <f ca="1">IF(ROWS($1:4)&gt;COUNT(Dong8),"",OFFSET(TH!C$1,SMALL(Dong8,ROWS($1:4)),))</f>
        <v>41274</v>
      </c>
      <c r="B19" s="604" t="str">
        <f ca="1">IF(ROWS($1:4)&gt;COUNT(Dong8),"",OFFSET(TH!D$1,SMALL(Dong8,ROWS($1:4)),))</f>
        <v>XB/GV</v>
      </c>
      <c r="C19" s="604">
        <f ca="1">IF(ROWS($1:4)&gt;COUNT(Dong8),"",OFFSET(TH!E$1,SMALL(Dong8,ROWS($1:4)),))</f>
        <v>41274</v>
      </c>
      <c r="D19" s="605" t="str">
        <f ca="1">IF(ROWS($1:4)&gt;COUNT(Dong8),"",OFFSET(TH!F$1,SMALL(Dong8,ROWS($1:4)),))</f>
        <v>Thùng carton (22x22x52)</v>
      </c>
      <c r="E19" s="604" t="str">
        <f ca="1">IF(ROWS($1:4)&gt;COUNT(Dong8),"",OFFSET(TH!M$1,SMALL(Dong8,ROWS($1:4)),))</f>
        <v>156</v>
      </c>
      <c r="F19" s="606">
        <f ca="1">IF(ROWS($1:4)&gt;COUNT(Dong8),"",OFFSET(TH!K$1,SMALL(Dong8,ROWS($1:4)),))</f>
        <v>5096783</v>
      </c>
      <c r="G19" s="606">
        <f t="shared" ca="1" si="0"/>
        <v>0</v>
      </c>
      <c r="H19" s="606">
        <f t="shared" ca="1" si="1"/>
        <v>0</v>
      </c>
      <c r="I19" s="606">
        <f t="shared" ca="1" si="2"/>
        <v>5096783</v>
      </c>
      <c r="J19" s="606">
        <f t="shared" ca="1" si="3"/>
        <v>0</v>
      </c>
    </row>
    <row r="20" spans="1:10" ht="20.25" customHeight="1">
      <c r="A20" s="604">
        <f ca="1">IF(ROWS($1:5)&gt;COUNT(Dong8),"",OFFSET(TH!C$1,SMALL(Dong8,ROWS($1:5)),))</f>
        <v>41274</v>
      </c>
      <c r="B20" s="604" t="str">
        <f ca="1">IF(ROWS($1:5)&gt;COUNT(Dong8),"",OFFSET(TH!D$1,SMALL(Dong8,ROWS($1:5)),))</f>
        <v>XB/GV</v>
      </c>
      <c r="C20" s="604">
        <f ca="1">IF(ROWS($1:5)&gt;COUNT(Dong8),"",OFFSET(TH!E$1,SMALL(Dong8,ROWS($1:5)),))</f>
        <v>41274</v>
      </c>
      <c r="D20" s="605" t="str">
        <f ca="1">IF(ROWS($1:5)&gt;COUNT(Dong8),"",OFFSET(TH!F$1,SMALL(Dong8,ROWS($1:5)),))</f>
        <v>Thùng carton (36,5x36,5x63)</v>
      </c>
      <c r="E20" s="604" t="str">
        <f ca="1">IF(ROWS($1:5)&gt;COUNT(Dong8),"",OFFSET(TH!M$1,SMALL(Dong8,ROWS($1:5)),))</f>
        <v>156</v>
      </c>
      <c r="F20" s="606">
        <f ca="1">IF(ROWS($1:5)&gt;COUNT(Dong8),"",OFFSET(TH!K$1,SMALL(Dong8,ROWS($1:5)),))</f>
        <v>1362498</v>
      </c>
      <c r="G20" s="606">
        <f t="shared" ca="1" si="0"/>
        <v>0</v>
      </c>
      <c r="H20" s="606">
        <f t="shared" ca="1" si="1"/>
        <v>0</v>
      </c>
      <c r="I20" s="606">
        <f t="shared" ca="1" si="2"/>
        <v>1362498</v>
      </c>
      <c r="J20" s="606">
        <f t="shared" ca="1" si="3"/>
        <v>0</v>
      </c>
    </row>
    <row r="21" spans="1:10" ht="20.25" customHeight="1">
      <c r="A21" s="604"/>
      <c r="B21" s="607"/>
      <c r="C21" s="604"/>
      <c r="D21" s="608"/>
      <c r="E21" s="609"/>
      <c r="F21" s="610"/>
      <c r="G21" s="610"/>
      <c r="H21" s="610"/>
      <c r="I21" s="610"/>
      <c r="J21" s="610"/>
    </row>
    <row r="22" spans="1:10" ht="20.25" customHeight="1">
      <c r="A22" s="604"/>
      <c r="B22" s="607"/>
      <c r="C22" s="604"/>
      <c r="D22" s="602" t="s">
        <v>133</v>
      </c>
      <c r="E22" s="601" t="s">
        <v>19</v>
      </c>
      <c r="F22" s="603">
        <f ca="1">SUM(F15:F21)</f>
        <v>46795845</v>
      </c>
      <c r="G22" s="603">
        <f ca="1">SUM(G15:G21)</f>
        <v>0</v>
      </c>
      <c r="H22" s="603">
        <f ca="1">SUM(H15:H21)</f>
        <v>0</v>
      </c>
      <c r="I22" s="603">
        <f ca="1">SUM(I15:I21)</f>
        <v>46795845</v>
      </c>
      <c r="J22" s="603">
        <f ca="1">SUM(J15:J21)</f>
        <v>0</v>
      </c>
    </row>
    <row r="23" spans="1:10" ht="20.25" customHeight="1">
      <c r="A23" s="611"/>
      <c r="B23" s="609"/>
      <c r="C23" s="611"/>
      <c r="D23" s="612" t="s">
        <v>320</v>
      </c>
      <c r="E23" s="607"/>
      <c r="F23" s="613">
        <f ca="1">SUM(G23:J23)</f>
        <v>46795845</v>
      </c>
      <c r="G23" s="613">
        <f ca="1">G22</f>
        <v>0</v>
      </c>
      <c r="H23" s="613">
        <f ca="1">H22</f>
        <v>0</v>
      </c>
      <c r="I23" s="613">
        <f ca="1">I22</f>
        <v>46795845</v>
      </c>
      <c r="J23" s="613">
        <f ca="1">J22</f>
        <v>0</v>
      </c>
    </row>
    <row r="24" spans="1:10" ht="20.25" customHeight="1">
      <c r="A24" s="614"/>
      <c r="B24" s="614"/>
      <c r="C24" s="614"/>
      <c r="D24" s="615" t="s">
        <v>10</v>
      </c>
      <c r="E24" s="614" t="s">
        <v>19</v>
      </c>
      <c r="F24" s="616">
        <f ca="1">F15+F22-F23</f>
        <v>0</v>
      </c>
      <c r="G24" s="616">
        <f ca="1">G15+G22-G23</f>
        <v>0</v>
      </c>
      <c r="H24" s="616">
        <f ca="1">H15+H22-H23</f>
        <v>0</v>
      </c>
      <c r="I24" s="616">
        <f ca="1">I15+I22-I23</f>
        <v>0</v>
      </c>
      <c r="J24" s="616">
        <f ca="1">J15+J22-J23</f>
        <v>0</v>
      </c>
    </row>
    <row r="26" spans="1:10">
      <c r="B26" s="617"/>
      <c r="C26" s="597" t="s">
        <v>321</v>
      </c>
    </row>
    <row r="27" spans="1:10">
      <c r="C27" s="597" t="str">
        <f ca="1">"- Ngày mở sổ: "&amp;"01/"&amp;MONTH(A16)&amp;"/ "&amp;YEAR(A16)</f>
        <v>- Ngày mở sổ: 01/12/ 2012</v>
      </c>
    </row>
    <row r="28" spans="1:10">
      <c r="E28" s="596"/>
      <c r="F28" s="596"/>
      <c r="G28" s="596"/>
      <c r="H28" s="596"/>
      <c r="I28" s="1077" t="str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Ngày  31  tháng  12   năm 2012</v>
      </c>
      <c r="J28" s="1077"/>
    </row>
    <row r="29" spans="1:10">
      <c r="B29" s="596"/>
      <c r="C29" s="593" t="s">
        <v>11</v>
      </c>
      <c r="D29" s="596"/>
      <c r="E29" s="596"/>
      <c r="F29" s="596"/>
      <c r="G29" s="596"/>
      <c r="H29" s="596"/>
      <c r="I29" s="1077" t="s">
        <v>12</v>
      </c>
      <c r="J29" s="1077"/>
    </row>
    <row r="30" spans="1:10">
      <c r="B30" s="596"/>
      <c r="C30" s="593" t="s">
        <v>13</v>
      </c>
      <c r="D30" s="596"/>
      <c r="E30" s="596"/>
      <c r="F30" s="596"/>
      <c r="G30" s="596"/>
      <c r="H30" s="596"/>
      <c r="I30" s="596"/>
      <c r="J30" s="596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22" activePane="bottomLeft" state="frozen"/>
      <selection activeCell="A11" sqref="A11"/>
      <selection pane="bottomLeft" activeCell="N13" sqref="N13"/>
    </sheetView>
  </sheetViews>
  <sheetFormatPr defaultRowHeight="15"/>
  <cols>
    <col min="1" max="2" width="8.85546875" style="593" customWidth="1"/>
    <col min="3" max="3" width="8.5703125" style="593" customWidth="1"/>
    <col min="4" max="4" width="51.42578125" style="593" customWidth="1"/>
    <col min="5" max="5" width="8" style="593" customWidth="1"/>
    <col min="6" max="6" width="12.28515625" style="593" bestFit="1" customWidth="1"/>
    <col min="7" max="7" width="10.140625" style="593" customWidth="1"/>
    <col min="8" max="8" width="10.7109375" style="593" customWidth="1"/>
    <col min="9" max="9" width="11.42578125" style="593" customWidth="1"/>
    <col min="10" max="10" width="11.5703125" style="593" customWidth="1"/>
    <col min="11" max="11" width="11.42578125" style="593" customWidth="1"/>
    <col min="12" max="12" width="9.42578125" style="593" customWidth="1"/>
    <col min="13" max="13" width="6.7109375" style="593" customWidth="1"/>
    <col min="14" max="16384" width="9.140625" style="593"/>
  </cols>
  <sheetData>
    <row r="2" spans="1:15">
      <c r="A2" s="592" t="str">
        <f>'632'!A2</f>
        <v>Đơn vị: CÔNG TY TNHH MỘT THÀNH VIÊN KHỞI NGUYÊN AN</v>
      </c>
      <c r="F2" s="594"/>
      <c r="G2" s="594"/>
      <c r="H2" s="1089" t="s">
        <v>304</v>
      </c>
      <c r="I2" s="1089"/>
      <c r="J2" s="1089"/>
      <c r="K2" s="1089"/>
      <c r="L2" s="618"/>
    </row>
    <row r="3" spans="1:15" ht="15" customHeight="1">
      <c r="A3" s="622" t="str">
        <f>'632'!A3</f>
        <v>Địa chỉ: Thửa đất số 144, tờ bản đồ số 12TĐH.1, tổ 1, khu phố Đông Tác, Phường Tân Đông Hiệp, Thị Xã Dĩ An, Tỉnh Bình Dương, Việt Nam</v>
      </c>
      <c r="H3" s="1092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3" s="1092"/>
      <c r="J3" s="1092"/>
      <c r="K3" s="1092"/>
      <c r="L3" s="596"/>
    </row>
    <row r="4" spans="1:15">
      <c r="H4" s="1092"/>
      <c r="I4" s="1092"/>
      <c r="J4" s="1092"/>
      <c r="K4" s="1092"/>
      <c r="L4" s="596"/>
    </row>
    <row r="5" spans="1:15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595" t="s">
        <v>83</v>
      </c>
      <c r="N5" s="528">
        <f>IF(N13="Quý I",1,IF(N13="Quý II",4,IF(N13="Quý III",7,IF(N13="Quý IV",10,""))))</f>
        <v>7</v>
      </c>
      <c r="O5" s="528">
        <f>IF(N13="Quý I",3,IF(N13="Quý II",6,IF(N13="Quý III",9,IF(N13="Quý IV",12,""))))</f>
        <v>9</v>
      </c>
    </row>
    <row r="6" spans="1:15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596"/>
      <c r="C7" s="596"/>
      <c r="D7" s="596"/>
      <c r="E7" s="597" t="s">
        <v>322</v>
      </c>
      <c r="G7" s="596"/>
      <c r="H7" s="596"/>
      <c r="I7" s="596"/>
      <c r="J7" s="596"/>
      <c r="K7" s="596"/>
      <c r="L7" s="596"/>
      <c r="M7" s="623"/>
    </row>
    <row r="8" spans="1:15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</row>
    <row r="9" spans="1:15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323</v>
      </c>
      <c r="G11" s="1086"/>
      <c r="H11" s="1086"/>
      <c r="I11" s="1086"/>
      <c r="J11" s="1086"/>
      <c r="K11" s="1086"/>
      <c r="L11" s="1086"/>
    </row>
    <row r="12" spans="1:15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</row>
    <row r="13" spans="1:15" ht="29.25" customHeight="1" thickBot="1">
      <c r="A13" s="1085"/>
      <c r="B13" s="1087"/>
      <c r="C13" s="1087"/>
      <c r="D13" s="1085"/>
      <c r="E13" s="1085"/>
      <c r="F13" s="1087"/>
      <c r="G13" s="619" t="s">
        <v>47</v>
      </c>
      <c r="H13" s="619" t="s">
        <v>24</v>
      </c>
      <c r="I13" s="619" t="s">
        <v>63</v>
      </c>
      <c r="J13" s="619" t="s">
        <v>254</v>
      </c>
      <c r="K13" s="619"/>
      <c r="L13" s="619"/>
      <c r="N13" s="621" t="s">
        <v>331</v>
      </c>
    </row>
    <row r="14" spans="1:15">
      <c r="A14" s="600" t="s">
        <v>2</v>
      </c>
      <c r="B14" s="600" t="s">
        <v>3</v>
      </c>
      <c r="C14" s="600" t="s">
        <v>4</v>
      </c>
      <c r="D14" s="600" t="s">
        <v>5</v>
      </c>
      <c r="E14" s="600" t="s">
        <v>6</v>
      </c>
      <c r="F14" s="600">
        <v>1</v>
      </c>
      <c r="G14" s="600">
        <v>2</v>
      </c>
      <c r="H14" s="600">
        <v>3</v>
      </c>
      <c r="I14" s="600">
        <v>4</v>
      </c>
      <c r="J14" s="600">
        <v>5</v>
      </c>
      <c r="K14" s="600">
        <v>6</v>
      </c>
      <c r="L14" s="600">
        <v>7</v>
      </c>
    </row>
    <row r="15" spans="1:15" ht="21.7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</row>
    <row r="16" spans="1:15" ht="21.75" customHeight="1">
      <c r="A16" s="604">
        <f ca="1">IF(ROWS($1:1)&gt;COUNT(Dong7),"",OFFSET(TH!C$1,SMALL(Dong7,ROWS($1:1)),))</f>
        <v>41142</v>
      </c>
      <c r="B16" s="604" t="str">
        <f ca="1">IF(ROWS($1:1)&gt;COUNT(Dong7),"",OFFSET(TH!D$1,SMALL(Dong7,ROWS($1:1)),))</f>
        <v>C03</v>
      </c>
      <c r="C16" s="604">
        <f ca="1">IF(ROWS($1:1)&gt;COUNT(Dong7),"",OFFSET(TH!E$1,SMALL(Dong7,ROWS($1:1)),))</f>
        <v>41142</v>
      </c>
      <c r="D16" s="605" t="str">
        <f ca="1">IF(ROWS($1:1)&gt;COUNT(Dong7),"",OFFSET(TH!F$1,SMALL(Dong7,ROWS($1:1)),))</f>
        <v>Tiền đặt in hóa đơn</v>
      </c>
      <c r="E16" s="604" t="str">
        <f ca="1">IF(ROWS($1:1)&gt;COUNT(Dong7),"",OFFSET(TH!M$1,SMALL(Dong7,ROWS($1:1)),))</f>
        <v>1111</v>
      </c>
      <c r="F16" s="606">
        <f ca="1">IF(ROWS($1:1)&gt;COUNT(Dong7),"",OFFSET(TH!K$1,SMALL(Dong7,ROWS($1:1)),))</f>
        <v>3400000</v>
      </c>
      <c r="G16" s="606">
        <f t="shared" ref="G16:J30" ca="1" si="0">IF($E16=G$13,$F16,0)</f>
        <v>3400000</v>
      </c>
      <c r="H16" s="606">
        <f t="shared" ca="1" si="0"/>
        <v>0</v>
      </c>
      <c r="I16" s="606">
        <f t="shared" ca="1" si="0"/>
        <v>0</v>
      </c>
      <c r="J16" s="606">
        <f t="shared" ca="1" si="0"/>
        <v>0</v>
      </c>
      <c r="K16" s="606">
        <f ca="1">IF(LEFT($E16,3)=K$13,$F16,0)</f>
        <v>0</v>
      </c>
      <c r="L16" s="606">
        <f ca="1">IF(LEFT($E16,3)=L$13,$F16,0)</f>
        <v>0</v>
      </c>
    </row>
    <row r="17" spans="1:12" ht="21.75" customHeight="1">
      <c r="A17" s="604">
        <f ca="1">IF(ROWS($1:2)&gt;COUNT(Dong7),"",OFFSET(TH!C$1,SMALL(Dong7,ROWS($1:2)),))</f>
        <v>41146</v>
      </c>
      <c r="B17" s="604" t="str">
        <f ca="1">IF(ROWS($1:2)&gt;COUNT(Dong7),"",OFFSET(TH!D$1,SMALL(Dong7,ROWS($1:2)),))</f>
        <v>GBN</v>
      </c>
      <c r="C17" s="604">
        <f ca="1">IF(ROWS($1:2)&gt;COUNT(Dong7),"",OFFSET(TH!E$1,SMALL(Dong7,ROWS($1:2)),))</f>
        <v>41146</v>
      </c>
      <c r="D17" s="605" t="str">
        <f ca="1">IF(ROWS($1:2)&gt;COUNT(Dong7),"",OFFSET(TH!F$1,SMALL(Dong7,ROWS($1:2)),))</f>
        <v>Thu phí quản lý tài khoản</v>
      </c>
      <c r="E17" s="604" t="str">
        <f ca="1">IF(ROWS($1:2)&gt;COUNT(Dong7),"",OFFSET(TH!M$1,SMALL(Dong7,ROWS($1:2)),))</f>
        <v>1121</v>
      </c>
      <c r="F17" s="606">
        <f ca="1">IF(ROWS($1:2)&gt;COUNT(Dong7),"",OFFSET(TH!K$1,SMALL(Dong7,ROWS($1:2)),))</f>
        <v>11000</v>
      </c>
      <c r="G17" s="606">
        <f t="shared" ca="1" si="0"/>
        <v>0</v>
      </c>
      <c r="H17" s="606">
        <f t="shared" ca="1" si="0"/>
        <v>11000</v>
      </c>
      <c r="I17" s="606">
        <f t="shared" ca="1" si="0"/>
        <v>0</v>
      </c>
      <c r="J17" s="606">
        <f t="shared" ca="1" si="0"/>
        <v>0</v>
      </c>
      <c r="K17" s="606">
        <f t="shared" ref="K17:L30" ca="1" si="1">IF(LEFT($E17,3)=K$13,$F17,0)</f>
        <v>0</v>
      </c>
      <c r="L17" s="606">
        <f t="shared" ca="1" si="1"/>
        <v>0</v>
      </c>
    </row>
    <row r="18" spans="1:12" ht="21.75" customHeight="1">
      <c r="A18" s="604">
        <f ca="1">IF(ROWS($1:3)&gt;COUNT(Dong7),"",OFFSET(TH!C$1,SMALL(Dong7,ROWS($1:3)),))</f>
        <v>41171</v>
      </c>
      <c r="B18" s="604" t="str">
        <f ca="1">IF(ROWS($1:3)&gt;COUNT(Dong7),"",OFFSET(TH!D$1,SMALL(Dong7,ROWS($1:3)),))</f>
        <v>C08</v>
      </c>
      <c r="C18" s="604">
        <f ca="1">IF(ROWS($1:3)&gt;COUNT(Dong7),"",OFFSET(TH!E$1,SMALL(Dong7,ROWS($1:3)),))</f>
        <v>41171</v>
      </c>
      <c r="D18" s="605" t="str">
        <f ca="1">IF(ROWS($1:3)&gt;COUNT(Dong7),"",OFFSET(TH!F$1,SMALL(Dong7,ROWS($1:3)),))</f>
        <v>Thanh toán tiền viễn thông</v>
      </c>
      <c r="E18" s="604" t="str">
        <f ca="1">IF(ROWS($1:3)&gt;COUNT(Dong7),"",OFFSET(TH!M$1,SMALL(Dong7,ROWS($1:3)),))</f>
        <v>1111</v>
      </c>
      <c r="F18" s="606">
        <f ca="1">IF(ROWS($1:3)&gt;COUNT(Dong7),"",OFFSET(TH!K$1,SMALL(Dong7,ROWS($1:3)),))</f>
        <v>233637</v>
      </c>
      <c r="G18" s="606">
        <f t="shared" ca="1" si="0"/>
        <v>233637</v>
      </c>
      <c r="H18" s="606">
        <f t="shared" ca="1" si="0"/>
        <v>0</v>
      </c>
      <c r="I18" s="606">
        <f t="shared" ca="1" si="0"/>
        <v>0</v>
      </c>
      <c r="J18" s="606">
        <f t="shared" ca="1" si="0"/>
        <v>0</v>
      </c>
      <c r="K18" s="606">
        <f t="shared" ca="1" si="1"/>
        <v>0</v>
      </c>
      <c r="L18" s="606">
        <f t="shared" ca="1" si="1"/>
        <v>0</v>
      </c>
    </row>
    <row r="19" spans="1:12" ht="21.75" customHeight="1">
      <c r="A19" s="604">
        <f ca="1">IF(ROWS($1:4)&gt;COUNT(Dong7),"",OFFSET(TH!C$1,SMALL(Dong7,ROWS($1:4)),))</f>
        <v>41177</v>
      </c>
      <c r="B19" s="604" t="str">
        <f ca="1">IF(ROWS($1:4)&gt;COUNT(Dong7),"",OFFSET(TH!D$1,SMALL(Dong7,ROWS($1:4)),))</f>
        <v>GBN</v>
      </c>
      <c r="C19" s="604">
        <f ca="1">IF(ROWS($1:4)&gt;COUNT(Dong7),"",OFFSET(TH!E$1,SMALL(Dong7,ROWS($1:4)),))</f>
        <v>41177</v>
      </c>
      <c r="D19" s="605" t="str">
        <f ca="1">IF(ROWS($1:4)&gt;COUNT(Dong7),"",OFFSET(TH!F$1,SMALL(Dong7,ROWS($1:4)),))</f>
        <v>Thu phí quản lý tài khoản</v>
      </c>
      <c r="E19" s="604" t="str">
        <f ca="1">IF(ROWS($1:4)&gt;COUNT(Dong7),"",OFFSET(TH!M$1,SMALL(Dong7,ROWS($1:4)),))</f>
        <v>1121</v>
      </c>
      <c r="F19" s="606">
        <f ca="1">IF(ROWS($1:4)&gt;COUNT(Dong7),"",OFFSET(TH!K$1,SMALL(Dong7,ROWS($1:4)),))</f>
        <v>11000</v>
      </c>
      <c r="G19" s="606">
        <f t="shared" ca="1" si="0"/>
        <v>0</v>
      </c>
      <c r="H19" s="606">
        <f t="shared" ca="1" si="0"/>
        <v>11000</v>
      </c>
      <c r="I19" s="606">
        <f t="shared" ca="1" si="0"/>
        <v>0</v>
      </c>
      <c r="J19" s="606">
        <f t="shared" ca="1" si="0"/>
        <v>0</v>
      </c>
      <c r="K19" s="606">
        <f t="shared" ca="1" si="1"/>
        <v>0</v>
      </c>
      <c r="L19" s="606">
        <f t="shared" ca="1" si="1"/>
        <v>0</v>
      </c>
    </row>
    <row r="20" spans="1:12" ht="21.75" customHeight="1">
      <c r="A20" s="604">
        <f ca="1">IF(ROWS($1:5)&gt;COUNT(Dong7),"",OFFSET(TH!C$1,SMALL(Dong7,ROWS($1:5)),))</f>
        <v>41182</v>
      </c>
      <c r="B20" s="604" t="str">
        <f ca="1">IF(ROWS($1:5)&gt;COUNT(Dong7),"",OFFSET(TH!D$1,SMALL(Dong7,ROWS($1:5)),))</f>
        <v>CTGS</v>
      </c>
      <c r="C20" s="604">
        <f ca="1">IF(ROWS($1:5)&gt;COUNT(Dong7),"",OFFSET(TH!E$1,SMALL(Dong7,ROWS($1:5)),))</f>
        <v>41182</v>
      </c>
      <c r="D20" s="605" t="str">
        <f ca="1">IF(ROWS($1:5)&gt;COUNT(Dong7),"",OFFSET(TH!F$1,SMALL(Dong7,ROWS($1:5)),))</f>
        <v>Lương bộ phận quản lý</v>
      </c>
      <c r="E20" s="604" t="str">
        <f ca="1">IF(ROWS($1:5)&gt;COUNT(Dong7),"",OFFSET(TH!M$1,SMALL(Dong7,ROWS($1:5)),))</f>
        <v>3341</v>
      </c>
      <c r="F20" s="606">
        <f ca="1">IF(ROWS($1:5)&gt;COUNT(Dong7),"",OFFSET(TH!K$1,SMALL(Dong7,ROWS($1:5)),))</f>
        <v>8100000</v>
      </c>
      <c r="G20" s="606">
        <f t="shared" ca="1" si="0"/>
        <v>0</v>
      </c>
      <c r="H20" s="606">
        <f t="shared" ca="1" si="0"/>
        <v>0</v>
      </c>
      <c r="I20" s="606">
        <f t="shared" ca="1" si="0"/>
        <v>0</v>
      </c>
      <c r="J20" s="606">
        <f t="shared" ca="1" si="0"/>
        <v>8100000</v>
      </c>
      <c r="K20" s="606">
        <f t="shared" ca="1" si="1"/>
        <v>0</v>
      </c>
      <c r="L20" s="606">
        <f t="shared" ca="1" si="1"/>
        <v>0</v>
      </c>
    </row>
    <row r="21" spans="1:12" ht="21.75" customHeight="1">
      <c r="A21" s="604" t="str">
        <f ca="1">IF(ROWS($1:6)&gt;COUNT(Dong7),"",OFFSET(TH!C$1,SMALL(Dong7,ROWS($1:6)),))</f>
        <v/>
      </c>
      <c r="B21" s="604" t="str">
        <f ca="1">IF(ROWS($1:6)&gt;COUNT(Dong7),"",OFFSET(TH!D$1,SMALL(Dong7,ROWS($1:6)),))</f>
        <v/>
      </c>
      <c r="C21" s="604" t="str">
        <f ca="1">IF(ROWS($1:6)&gt;COUNT(Dong7),"",OFFSET(TH!E$1,SMALL(Dong7,ROWS($1:6)),))</f>
        <v/>
      </c>
      <c r="D21" s="605" t="str">
        <f ca="1">IF(ROWS($1:6)&gt;COUNT(Dong7),"",OFFSET(TH!F$1,SMALL(Dong7,ROWS($1:6)),))</f>
        <v/>
      </c>
      <c r="E21" s="604" t="str">
        <f ca="1">IF(ROWS($1:6)&gt;COUNT(Dong7),"",OFFSET(TH!M$1,SMALL(Dong7,ROWS($1:6)),))</f>
        <v/>
      </c>
      <c r="F21" s="606" t="str">
        <f ca="1">IF(ROWS($1:6)&gt;COUNT(Dong7),"",OFFSET(TH!K$1,SMALL(Dong7,ROWS($1:6)),))</f>
        <v/>
      </c>
      <c r="G21" s="606">
        <f t="shared" ca="1" si="0"/>
        <v>0</v>
      </c>
      <c r="H21" s="606">
        <f t="shared" ca="1" si="0"/>
        <v>0</v>
      </c>
      <c r="I21" s="606">
        <f t="shared" ca="1" si="0"/>
        <v>0</v>
      </c>
      <c r="J21" s="606">
        <f t="shared" ca="1" si="0"/>
        <v>0</v>
      </c>
      <c r="K21" s="606" t="str">
        <f t="shared" ca="1" si="1"/>
        <v/>
      </c>
      <c r="L21" s="606" t="str">
        <f t="shared" ca="1" si="1"/>
        <v/>
      </c>
    </row>
    <row r="22" spans="1:12" ht="21.75" customHeight="1">
      <c r="A22" s="604" t="str">
        <f ca="1">IF(ROWS($1:7)&gt;COUNT(Dong7),"",OFFSET(TH!C$1,SMALL(Dong7,ROWS($1:7)),))</f>
        <v/>
      </c>
      <c r="B22" s="604" t="str">
        <f ca="1">IF(ROWS($1:7)&gt;COUNT(Dong7),"",OFFSET(TH!D$1,SMALL(Dong7,ROWS($1:7)),))</f>
        <v/>
      </c>
      <c r="C22" s="604" t="str">
        <f ca="1">IF(ROWS($1:7)&gt;COUNT(Dong7),"",OFFSET(TH!E$1,SMALL(Dong7,ROWS($1:7)),))</f>
        <v/>
      </c>
      <c r="D22" s="605" t="str">
        <f ca="1">IF(ROWS($1:7)&gt;COUNT(Dong7),"",OFFSET(TH!F$1,SMALL(Dong7,ROWS($1:7)),))</f>
        <v/>
      </c>
      <c r="E22" s="604" t="str">
        <f ca="1">IF(ROWS($1:7)&gt;COUNT(Dong7),"",OFFSET(TH!M$1,SMALL(Dong7,ROWS($1:7)),))</f>
        <v/>
      </c>
      <c r="F22" s="606" t="str">
        <f ca="1">IF(ROWS($1:7)&gt;COUNT(Dong7),"",OFFSET(TH!K$1,SMALL(Dong7,ROWS($1:7)),))</f>
        <v/>
      </c>
      <c r="G22" s="606">
        <f t="shared" ca="1" si="0"/>
        <v>0</v>
      </c>
      <c r="H22" s="606">
        <f t="shared" ca="1" si="0"/>
        <v>0</v>
      </c>
      <c r="I22" s="606">
        <f t="shared" ca="1" si="0"/>
        <v>0</v>
      </c>
      <c r="J22" s="606">
        <f t="shared" ca="1" si="0"/>
        <v>0</v>
      </c>
      <c r="K22" s="606" t="str">
        <f t="shared" ca="1" si="1"/>
        <v/>
      </c>
      <c r="L22" s="606" t="str">
        <f t="shared" ca="1" si="1"/>
        <v/>
      </c>
    </row>
    <row r="23" spans="1:12" ht="21.75" customHeight="1">
      <c r="A23" s="604" t="str">
        <f ca="1">IF(ROWS($1:8)&gt;COUNT(Dong7),"",OFFSET(TH!C$1,SMALL(Dong7,ROWS($1:8)),))</f>
        <v/>
      </c>
      <c r="B23" s="604" t="str">
        <f ca="1">IF(ROWS($1:8)&gt;COUNT(Dong7),"",OFFSET(TH!D$1,SMALL(Dong7,ROWS($1:8)),))</f>
        <v/>
      </c>
      <c r="C23" s="604" t="str">
        <f ca="1">IF(ROWS($1:8)&gt;COUNT(Dong7),"",OFFSET(TH!E$1,SMALL(Dong7,ROWS($1:8)),))</f>
        <v/>
      </c>
      <c r="D23" s="605" t="str">
        <f ca="1">IF(ROWS($1:8)&gt;COUNT(Dong7),"",OFFSET(TH!F$1,SMALL(Dong7,ROWS($1:8)),))</f>
        <v/>
      </c>
      <c r="E23" s="604" t="str">
        <f ca="1">IF(ROWS($1:8)&gt;COUNT(Dong7),"",OFFSET(TH!M$1,SMALL(Dong7,ROWS($1:8)),))</f>
        <v/>
      </c>
      <c r="F23" s="606" t="str">
        <f ca="1">IF(ROWS($1:8)&gt;COUNT(Dong7),"",OFFSET(TH!K$1,SMALL(Dong7,ROWS($1:8)),))</f>
        <v/>
      </c>
      <c r="G23" s="606">
        <f t="shared" ca="1" si="0"/>
        <v>0</v>
      </c>
      <c r="H23" s="606">
        <f t="shared" ca="1" si="0"/>
        <v>0</v>
      </c>
      <c r="I23" s="606">
        <f t="shared" ca="1" si="0"/>
        <v>0</v>
      </c>
      <c r="J23" s="606">
        <f t="shared" ca="1" si="0"/>
        <v>0</v>
      </c>
      <c r="K23" s="606" t="str">
        <f t="shared" ca="1" si="1"/>
        <v/>
      </c>
      <c r="L23" s="606" t="str">
        <f t="shared" ca="1" si="1"/>
        <v/>
      </c>
    </row>
    <row r="24" spans="1:12" ht="21.75" customHeight="1">
      <c r="A24" s="604" t="str">
        <f ca="1">IF(ROWS($1:9)&gt;COUNT(Dong7),"",OFFSET(TH!C$1,SMALL(Dong7,ROWS($1:9)),))</f>
        <v/>
      </c>
      <c r="B24" s="604" t="str">
        <f ca="1">IF(ROWS($1:9)&gt;COUNT(Dong7),"",OFFSET(TH!D$1,SMALL(Dong7,ROWS($1:9)),))</f>
        <v/>
      </c>
      <c r="C24" s="604" t="str">
        <f ca="1">IF(ROWS($1:9)&gt;COUNT(Dong7),"",OFFSET(TH!E$1,SMALL(Dong7,ROWS($1:9)),))</f>
        <v/>
      </c>
      <c r="D24" s="605" t="str">
        <f ca="1">IF(ROWS($1:9)&gt;COUNT(Dong7),"",OFFSET(TH!F$1,SMALL(Dong7,ROWS($1:9)),))</f>
        <v/>
      </c>
      <c r="E24" s="604" t="str">
        <f ca="1">IF(ROWS($1:9)&gt;COUNT(Dong7),"",OFFSET(TH!M$1,SMALL(Dong7,ROWS($1:9)),))</f>
        <v/>
      </c>
      <c r="F24" s="606" t="str">
        <f ca="1">IF(ROWS($1:9)&gt;COUNT(Dong7),"",OFFSET(TH!K$1,SMALL(Dong7,ROWS($1:9)),))</f>
        <v/>
      </c>
      <c r="G24" s="606">
        <f t="shared" ca="1" si="0"/>
        <v>0</v>
      </c>
      <c r="H24" s="606">
        <f t="shared" ca="1" si="0"/>
        <v>0</v>
      </c>
      <c r="I24" s="606">
        <f t="shared" ca="1" si="0"/>
        <v>0</v>
      </c>
      <c r="J24" s="606">
        <f t="shared" ca="1" si="0"/>
        <v>0</v>
      </c>
      <c r="K24" s="606" t="str">
        <f t="shared" ca="1" si="1"/>
        <v/>
      </c>
      <c r="L24" s="606" t="str">
        <f t="shared" ca="1" si="1"/>
        <v/>
      </c>
    </row>
    <row r="25" spans="1:12" ht="21.75" customHeight="1">
      <c r="A25" s="604" t="str">
        <f ca="1">IF(ROWS($1:10)&gt;COUNT(Dong7),"",OFFSET(TH!C$1,SMALL(Dong7,ROWS($1:10)),))</f>
        <v/>
      </c>
      <c r="B25" s="604" t="str">
        <f ca="1">IF(ROWS($1:10)&gt;COUNT(Dong7),"",OFFSET(TH!D$1,SMALL(Dong7,ROWS($1:10)),))</f>
        <v/>
      </c>
      <c r="C25" s="604" t="str">
        <f ca="1">IF(ROWS($1:10)&gt;COUNT(Dong7),"",OFFSET(TH!E$1,SMALL(Dong7,ROWS($1:10)),))</f>
        <v/>
      </c>
      <c r="D25" s="605" t="str">
        <f ca="1">IF(ROWS($1:10)&gt;COUNT(Dong7),"",OFFSET(TH!F$1,SMALL(Dong7,ROWS($1:10)),))</f>
        <v/>
      </c>
      <c r="E25" s="604" t="str">
        <f ca="1">IF(ROWS($1:10)&gt;COUNT(Dong7),"",OFFSET(TH!M$1,SMALL(Dong7,ROWS($1:10)),))</f>
        <v/>
      </c>
      <c r="F25" s="606" t="str">
        <f ca="1">IF(ROWS($1:10)&gt;COUNT(Dong7),"",OFFSET(TH!K$1,SMALL(Dong7,ROWS($1:10)),))</f>
        <v/>
      </c>
      <c r="G25" s="606">
        <f t="shared" ca="1" si="0"/>
        <v>0</v>
      </c>
      <c r="H25" s="606">
        <f t="shared" ca="1" si="0"/>
        <v>0</v>
      </c>
      <c r="I25" s="606">
        <f t="shared" ca="1" si="0"/>
        <v>0</v>
      </c>
      <c r="J25" s="606">
        <f t="shared" ca="1" si="0"/>
        <v>0</v>
      </c>
      <c r="K25" s="606" t="str">
        <f t="shared" ca="1" si="1"/>
        <v/>
      </c>
      <c r="L25" s="606" t="str">
        <f t="shared" ca="1" si="1"/>
        <v/>
      </c>
    </row>
    <row r="26" spans="1:12" ht="21.75" customHeight="1">
      <c r="A26" s="604" t="str">
        <f ca="1">IF(ROWS($1:11)&gt;COUNT(Dong7),"",OFFSET(TH!C$1,SMALL(Dong7,ROWS($1:11)),))</f>
        <v/>
      </c>
      <c r="B26" s="604" t="str">
        <f ca="1">IF(ROWS($1:11)&gt;COUNT(Dong7),"",OFFSET(TH!D$1,SMALL(Dong7,ROWS($1:11)),))</f>
        <v/>
      </c>
      <c r="C26" s="604" t="str">
        <f ca="1">IF(ROWS($1:11)&gt;COUNT(Dong7),"",OFFSET(TH!E$1,SMALL(Dong7,ROWS($1:11)),))</f>
        <v/>
      </c>
      <c r="D26" s="605" t="str">
        <f ca="1">IF(ROWS($1:11)&gt;COUNT(Dong7),"",OFFSET(TH!F$1,SMALL(Dong7,ROWS($1:11)),))</f>
        <v/>
      </c>
      <c r="E26" s="604" t="str">
        <f ca="1">IF(ROWS($1:11)&gt;COUNT(Dong7),"",OFFSET(TH!M$1,SMALL(Dong7,ROWS($1:11)),))</f>
        <v/>
      </c>
      <c r="F26" s="606" t="str">
        <f ca="1">IF(ROWS($1:11)&gt;COUNT(Dong7),"",OFFSET(TH!K$1,SMALL(Dong7,ROWS($1:11)),))</f>
        <v/>
      </c>
      <c r="G26" s="606">
        <f t="shared" ca="1" si="0"/>
        <v>0</v>
      </c>
      <c r="H26" s="606">
        <f t="shared" ca="1" si="0"/>
        <v>0</v>
      </c>
      <c r="I26" s="606">
        <f t="shared" ca="1" si="0"/>
        <v>0</v>
      </c>
      <c r="J26" s="606">
        <f t="shared" ca="1" si="0"/>
        <v>0</v>
      </c>
      <c r="K26" s="606" t="str">
        <f t="shared" ca="1" si="1"/>
        <v/>
      </c>
      <c r="L26" s="606" t="str">
        <f t="shared" ca="1" si="1"/>
        <v/>
      </c>
    </row>
    <row r="27" spans="1:12" ht="21.75" customHeight="1">
      <c r="A27" s="604" t="str">
        <f ca="1">IF(ROWS($1:12)&gt;COUNT(Dong7),"",OFFSET(TH!C$1,SMALL(Dong7,ROWS($1:12)),))</f>
        <v/>
      </c>
      <c r="B27" s="604" t="str">
        <f ca="1">IF(ROWS($1:12)&gt;COUNT(Dong7),"",OFFSET(TH!D$1,SMALL(Dong7,ROWS($1:12)),))</f>
        <v/>
      </c>
      <c r="C27" s="604" t="str">
        <f ca="1">IF(ROWS($1:12)&gt;COUNT(Dong7),"",OFFSET(TH!E$1,SMALL(Dong7,ROWS($1:12)),))</f>
        <v/>
      </c>
      <c r="D27" s="605" t="str">
        <f ca="1">IF(ROWS($1:12)&gt;COUNT(Dong7),"",OFFSET(TH!F$1,SMALL(Dong7,ROWS($1:12)),))</f>
        <v/>
      </c>
      <c r="E27" s="604" t="str">
        <f ca="1">IF(ROWS($1:12)&gt;COUNT(Dong7),"",OFFSET(TH!M$1,SMALL(Dong7,ROWS($1:12)),))</f>
        <v/>
      </c>
      <c r="F27" s="606" t="str">
        <f ca="1">IF(ROWS($1:12)&gt;COUNT(Dong7),"",OFFSET(TH!K$1,SMALL(Dong7,ROWS($1:12)),))</f>
        <v/>
      </c>
      <c r="G27" s="606">
        <f t="shared" ca="1" si="0"/>
        <v>0</v>
      </c>
      <c r="H27" s="606">
        <f t="shared" ca="1" si="0"/>
        <v>0</v>
      </c>
      <c r="I27" s="606">
        <f t="shared" ca="1" si="0"/>
        <v>0</v>
      </c>
      <c r="J27" s="606">
        <f t="shared" ca="1" si="0"/>
        <v>0</v>
      </c>
      <c r="K27" s="606" t="str">
        <f t="shared" ca="1" si="1"/>
        <v/>
      </c>
      <c r="L27" s="606" t="str">
        <f t="shared" ca="1" si="1"/>
        <v/>
      </c>
    </row>
    <row r="28" spans="1:12" ht="21.75" customHeight="1">
      <c r="A28" s="604" t="str">
        <f ca="1">IF(ROWS($1:13)&gt;COUNT(Dong7),"",OFFSET(TH!C$1,SMALL(Dong7,ROWS($1:13)),))</f>
        <v/>
      </c>
      <c r="B28" s="604" t="str">
        <f ca="1">IF(ROWS($1:13)&gt;COUNT(Dong7),"",OFFSET(TH!D$1,SMALL(Dong7,ROWS($1:13)),))</f>
        <v/>
      </c>
      <c r="C28" s="604" t="str">
        <f ca="1">IF(ROWS($1:13)&gt;COUNT(Dong7),"",OFFSET(TH!E$1,SMALL(Dong7,ROWS($1:13)),))</f>
        <v/>
      </c>
      <c r="D28" s="605" t="str">
        <f ca="1">IF(ROWS($1:13)&gt;COUNT(Dong7),"",OFFSET(TH!F$1,SMALL(Dong7,ROWS($1:13)),))</f>
        <v/>
      </c>
      <c r="E28" s="604" t="str">
        <f ca="1">IF(ROWS($1:13)&gt;COUNT(Dong7),"",OFFSET(TH!M$1,SMALL(Dong7,ROWS($1:13)),))</f>
        <v/>
      </c>
      <c r="F28" s="606" t="str">
        <f ca="1">IF(ROWS($1:13)&gt;COUNT(Dong7),"",OFFSET(TH!K$1,SMALL(Dong7,ROWS($1:13)),))</f>
        <v/>
      </c>
      <c r="G28" s="606">
        <f t="shared" ca="1" si="0"/>
        <v>0</v>
      </c>
      <c r="H28" s="606">
        <f t="shared" ca="1" si="0"/>
        <v>0</v>
      </c>
      <c r="I28" s="606">
        <f t="shared" ca="1" si="0"/>
        <v>0</v>
      </c>
      <c r="J28" s="606">
        <f t="shared" ca="1" si="0"/>
        <v>0</v>
      </c>
      <c r="K28" s="606" t="str">
        <f t="shared" ca="1" si="1"/>
        <v/>
      </c>
      <c r="L28" s="606" t="str">
        <f t="shared" ca="1" si="1"/>
        <v/>
      </c>
    </row>
    <row r="29" spans="1:12" ht="21.75" customHeight="1">
      <c r="A29" s="604" t="str">
        <f ca="1">IF(ROWS($1:14)&gt;COUNT(Dong7),"",OFFSET(TH!C$1,SMALL(Dong7,ROWS($1:14)),))</f>
        <v/>
      </c>
      <c r="B29" s="604" t="str">
        <f ca="1">IF(ROWS($1:14)&gt;COUNT(Dong7),"",OFFSET(TH!D$1,SMALL(Dong7,ROWS($1:14)),))</f>
        <v/>
      </c>
      <c r="C29" s="604" t="str">
        <f ca="1">IF(ROWS($1:14)&gt;COUNT(Dong7),"",OFFSET(TH!E$1,SMALL(Dong7,ROWS($1:14)),))</f>
        <v/>
      </c>
      <c r="D29" s="605" t="str">
        <f ca="1">IF(ROWS($1:14)&gt;COUNT(Dong7),"",OFFSET(TH!F$1,SMALL(Dong7,ROWS($1:14)),))</f>
        <v/>
      </c>
      <c r="E29" s="604" t="str">
        <f ca="1">IF(ROWS($1:14)&gt;COUNT(Dong7),"",OFFSET(TH!M$1,SMALL(Dong7,ROWS($1:14)),))</f>
        <v/>
      </c>
      <c r="F29" s="606" t="str">
        <f ca="1">IF(ROWS($1:14)&gt;COUNT(Dong7),"",OFFSET(TH!K$1,SMALL(Dong7,ROWS($1:14)),))</f>
        <v/>
      </c>
      <c r="G29" s="606">
        <f t="shared" ca="1" si="0"/>
        <v>0</v>
      </c>
      <c r="H29" s="606">
        <f t="shared" ca="1" si="0"/>
        <v>0</v>
      </c>
      <c r="I29" s="606">
        <f t="shared" ca="1" si="0"/>
        <v>0</v>
      </c>
      <c r="J29" s="606">
        <f t="shared" ca="1" si="0"/>
        <v>0</v>
      </c>
      <c r="K29" s="606" t="str">
        <f t="shared" ca="1" si="1"/>
        <v/>
      </c>
      <c r="L29" s="606" t="str">
        <f t="shared" ca="1" si="1"/>
        <v/>
      </c>
    </row>
    <row r="30" spans="1:12" ht="21.75" customHeight="1">
      <c r="A30" s="604" t="str">
        <f ca="1">IF(ROWS($1:15)&gt;COUNT(Dong7),"",OFFSET(TH!C$1,SMALL(Dong7,ROWS($1:15)),))</f>
        <v/>
      </c>
      <c r="B30" s="604" t="str">
        <f ca="1">IF(ROWS($1:15)&gt;COUNT(Dong7),"",OFFSET(TH!D$1,SMALL(Dong7,ROWS($1:15)),))</f>
        <v/>
      </c>
      <c r="C30" s="604" t="str">
        <f ca="1">IF(ROWS($1:15)&gt;COUNT(Dong7),"",OFFSET(TH!E$1,SMALL(Dong7,ROWS($1:15)),))</f>
        <v/>
      </c>
      <c r="D30" s="605" t="str">
        <f ca="1">IF(ROWS($1:15)&gt;COUNT(Dong7),"",OFFSET(TH!F$1,SMALL(Dong7,ROWS($1:15)),))</f>
        <v/>
      </c>
      <c r="E30" s="604" t="str">
        <f ca="1">IF(ROWS($1:15)&gt;COUNT(Dong7),"",OFFSET(TH!M$1,SMALL(Dong7,ROWS($1:15)),))</f>
        <v/>
      </c>
      <c r="F30" s="606" t="str">
        <f ca="1">IF(ROWS($1:15)&gt;COUNT(Dong7),"",OFFSET(TH!K$1,SMALL(Dong7,ROWS($1:15)),))</f>
        <v/>
      </c>
      <c r="G30" s="606">
        <f t="shared" ca="1" si="0"/>
        <v>0</v>
      </c>
      <c r="H30" s="606">
        <f t="shared" ca="1" si="0"/>
        <v>0</v>
      </c>
      <c r="I30" s="606">
        <f t="shared" ca="1" si="0"/>
        <v>0</v>
      </c>
      <c r="J30" s="606">
        <f t="shared" ca="1" si="0"/>
        <v>0</v>
      </c>
      <c r="K30" s="606" t="str">
        <f t="shared" ca="1" si="1"/>
        <v/>
      </c>
      <c r="L30" s="606" t="str">
        <f t="shared" ca="1" si="1"/>
        <v/>
      </c>
    </row>
    <row r="31" spans="1:12" ht="21.75" customHeight="1">
      <c r="A31" s="604"/>
      <c r="B31" s="607"/>
      <c r="C31" s="604"/>
      <c r="D31" s="608"/>
      <c r="E31" s="609"/>
      <c r="F31" s="610"/>
      <c r="G31" s="610"/>
      <c r="H31" s="610"/>
      <c r="I31" s="610"/>
      <c r="J31" s="610"/>
      <c r="K31" s="610"/>
      <c r="L31" s="610"/>
    </row>
    <row r="32" spans="1:12" ht="21.75" customHeight="1">
      <c r="A32" s="604"/>
      <c r="B32" s="607"/>
      <c r="C32" s="604"/>
      <c r="D32" s="602" t="s">
        <v>133</v>
      </c>
      <c r="E32" s="601" t="s">
        <v>19</v>
      </c>
      <c r="F32" s="603">
        <f ca="1">SUM(F15:F31)</f>
        <v>11755637</v>
      </c>
      <c r="G32" s="603">
        <f t="shared" ref="G32:L32" ca="1" si="2">SUM(G15:G31)</f>
        <v>3633637</v>
      </c>
      <c r="H32" s="603">
        <f t="shared" ca="1" si="2"/>
        <v>22000</v>
      </c>
      <c r="I32" s="603">
        <f t="shared" ca="1" si="2"/>
        <v>0</v>
      </c>
      <c r="J32" s="603">
        <f t="shared" ca="1" si="2"/>
        <v>8100000</v>
      </c>
      <c r="K32" s="603">
        <f t="shared" ca="1" si="2"/>
        <v>0</v>
      </c>
      <c r="L32" s="603">
        <f t="shared" ca="1" si="2"/>
        <v>0</v>
      </c>
    </row>
    <row r="33" spans="1:12" ht="21.75" customHeight="1">
      <c r="A33" s="611"/>
      <c r="B33" s="609"/>
      <c r="C33" s="611"/>
      <c r="D33" s="612" t="s">
        <v>324</v>
      </c>
      <c r="E33" s="607"/>
      <c r="F33" s="613">
        <f ca="1">SUM(G33:L33)</f>
        <v>11755637</v>
      </c>
      <c r="G33" s="613">
        <f t="shared" ref="G33:L33" ca="1" si="3">G32</f>
        <v>3633637</v>
      </c>
      <c r="H33" s="613">
        <f t="shared" ca="1" si="3"/>
        <v>22000</v>
      </c>
      <c r="I33" s="613">
        <f t="shared" ca="1" si="3"/>
        <v>0</v>
      </c>
      <c r="J33" s="613">
        <f t="shared" ca="1" si="3"/>
        <v>8100000</v>
      </c>
      <c r="K33" s="613">
        <f t="shared" ca="1" si="3"/>
        <v>0</v>
      </c>
      <c r="L33" s="613">
        <f t="shared" ca="1" si="3"/>
        <v>0</v>
      </c>
    </row>
    <row r="34" spans="1:12" ht="21.75" customHeight="1">
      <c r="A34" s="614"/>
      <c r="B34" s="614"/>
      <c r="C34" s="614"/>
      <c r="D34" s="615" t="s">
        <v>10</v>
      </c>
      <c r="E34" s="614" t="s">
        <v>19</v>
      </c>
      <c r="F34" s="616">
        <f t="shared" ref="F34:L34" ca="1" si="4">F15+F32-F33</f>
        <v>0</v>
      </c>
      <c r="G34" s="616">
        <f t="shared" ca="1" si="4"/>
        <v>0</v>
      </c>
      <c r="H34" s="616">
        <f t="shared" ca="1" si="4"/>
        <v>0</v>
      </c>
      <c r="I34" s="616">
        <f t="shared" ca="1" si="4"/>
        <v>0</v>
      </c>
      <c r="J34" s="616">
        <f t="shared" ca="1" si="4"/>
        <v>0</v>
      </c>
      <c r="K34" s="616">
        <f t="shared" ca="1" si="4"/>
        <v>0</v>
      </c>
      <c r="L34" s="616">
        <f t="shared" ca="1" si="4"/>
        <v>0</v>
      </c>
    </row>
    <row r="36" spans="1:12">
      <c r="B36" s="617"/>
      <c r="C36" s="597" t="s">
        <v>317</v>
      </c>
    </row>
    <row r="37" spans="1:12">
      <c r="C37" s="597" t="str">
        <f ca="1">"- Ngày mở sổ: "&amp;"01/"&amp;MONTH(A16)&amp;"/"&amp;YEAR(A16)</f>
        <v>- Ngày mở sổ: 01/8/2012</v>
      </c>
    </row>
    <row r="38" spans="1:12">
      <c r="E38" s="596"/>
      <c r="F38" s="596"/>
      <c r="G38" s="596"/>
      <c r="H38" s="596"/>
      <c r="I38" s="596"/>
      <c r="J38" s="107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2012</v>
      </c>
      <c r="K38" s="1077"/>
      <c r="L38" s="1077"/>
    </row>
    <row r="39" spans="1:12">
      <c r="B39" s="596"/>
      <c r="C39" s="593" t="s">
        <v>11</v>
      </c>
      <c r="D39" s="596"/>
      <c r="E39" s="596"/>
      <c r="F39" s="596"/>
      <c r="G39" s="596"/>
      <c r="H39" s="596"/>
      <c r="I39" s="596"/>
      <c r="J39" s="1077" t="s">
        <v>12</v>
      </c>
      <c r="K39" s="1077"/>
      <c r="L39" s="1077"/>
    </row>
    <row r="40" spans="1:12">
      <c r="B40" s="596"/>
      <c r="C40" s="593" t="s">
        <v>13</v>
      </c>
      <c r="D40" s="596"/>
      <c r="E40" s="596"/>
      <c r="F40" s="596"/>
      <c r="G40" s="596"/>
      <c r="H40" s="596"/>
      <c r="I40" s="596"/>
      <c r="J40" s="1091" t="s">
        <v>13</v>
      </c>
      <c r="K40" s="1091"/>
      <c r="L40" s="1091"/>
    </row>
  </sheetData>
  <mergeCells count="17"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N13" sqref="N13"/>
    </sheetView>
  </sheetViews>
  <sheetFormatPr defaultRowHeight="15"/>
  <cols>
    <col min="1" max="2" width="8.85546875" style="672" customWidth="1"/>
    <col min="3" max="3" width="8.5703125" style="672" customWidth="1"/>
    <col min="4" max="4" width="51.42578125" style="672" customWidth="1"/>
    <col min="5" max="5" width="8" style="672" customWidth="1"/>
    <col min="6" max="6" width="12.28515625" style="672" bestFit="1" customWidth="1"/>
    <col min="7" max="7" width="10.140625" style="672" customWidth="1"/>
    <col min="8" max="8" width="10.7109375" style="672" customWidth="1"/>
    <col min="9" max="9" width="11.42578125" style="672" customWidth="1"/>
    <col min="10" max="10" width="11.5703125" style="672" customWidth="1"/>
    <col min="11" max="11" width="11.42578125" style="672" customWidth="1"/>
    <col min="12" max="12" width="9.42578125" style="672" customWidth="1"/>
    <col min="13" max="13" width="6.7109375" style="672" customWidth="1"/>
    <col min="14" max="16384" width="9.140625" style="672"/>
  </cols>
  <sheetData>
    <row r="2" spans="1:15">
      <c r="A2" s="592" t="str">
        <f>'632'!A2</f>
        <v>Đơn vị: CÔNG TY TNHH MỘT THÀNH VIÊN KHỞI NGUYÊN AN</v>
      </c>
      <c r="F2" s="671"/>
      <c r="G2" s="671"/>
      <c r="H2" s="1089" t="s">
        <v>304</v>
      </c>
      <c r="I2" s="1089"/>
      <c r="J2" s="1089"/>
      <c r="K2" s="1089"/>
      <c r="L2" s="618"/>
    </row>
    <row r="3" spans="1:15" ht="15" customHeight="1">
      <c r="A3" s="622" t="str">
        <f>'632'!A3</f>
        <v>Địa chỉ: Thửa đất số 144, tờ bản đồ số 12TĐH.1, tổ 1, khu phố Đông Tác, Phường Tân Đông Hiệp, Thị Xã Dĩ An, Tỉnh Bình Dương, Việt Nam</v>
      </c>
      <c r="H3" s="109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092"/>
      <c r="J3" s="1092"/>
      <c r="K3" s="1092"/>
      <c r="L3" s="596"/>
    </row>
    <row r="4" spans="1:15">
      <c r="H4" s="1092"/>
      <c r="I4" s="1092"/>
      <c r="J4" s="1092"/>
      <c r="K4" s="1092"/>
      <c r="L4" s="596"/>
    </row>
    <row r="5" spans="1:15" ht="19.5" customHeight="1">
      <c r="A5" s="1090" t="s">
        <v>305</v>
      </c>
      <c r="B5" s="1090"/>
      <c r="C5" s="1090"/>
      <c r="D5" s="1090"/>
      <c r="E5" s="1090"/>
      <c r="F5" s="1090"/>
      <c r="G5" s="1090"/>
      <c r="H5" s="1090"/>
      <c r="I5" s="1090"/>
      <c r="J5" s="1090"/>
      <c r="K5" s="1090"/>
      <c r="L5" s="1090"/>
      <c r="M5" s="595" t="s">
        <v>253</v>
      </c>
      <c r="N5" s="528">
        <f>IF(N13="Quý I",1,IF(N13="Quý II",4,IF(N13="Quý III",7,IF(N13="Quý IV",10,""))))</f>
        <v>10</v>
      </c>
      <c r="O5" s="528">
        <f>IF(N13="Quý I",3,IF(N13="Quý II",6,IF(N13="Quý III",9,IF(N13="Quý IV",12,""))))</f>
        <v>12</v>
      </c>
    </row>
    <row r="6" spans="1:15">
      <c r="A6" s="1091" t="s">
        <v>306</v>
      </c>
      <c r="B6" s="1091"/>
      <c r="C6" s="1091"/>
      <c r="D6" s="1091"/>
      <c r="E6" s="1091"/>
      <c r="F6" s="1091"/>
      <c r="G6" s="1091"/>
      <c r="H6" s="1091"/>
      <c r="I6" s="1091"/>
      <c r="J6" s="1091"/>
      <c r="K6" s="1091"/>
      <c r="L6" s="1091"/>
    </row>
    <row r="7" spans="1:15">
      <c r="B7" s="596"/>
      <c r="C7" s="596"/>
      <c r="D7" s="596"/>
      <c r="E7" s="597" t="s">
        <v>329</v>
      </c>
      <c r="G7" s="596"/>
      <c r="H7" s="596"/>
      <c r="I7" s="596"/>
      <c r="J7" s="596"/>
      <c r="K7" s="596"/>
      <c r="L7" s="596"/>
      <c r="M7" s="623"/>
    </row>
    <row r="8" spans="1:15">
      <c r="B8" s="596"/>
      <c r="C8" s="596"/>
      <c r="D8" s="596"/>
      <c r="E8" s="597" t="s">
        <v>308</v>
      </c>
      <c r="G8" s="596"/>
      <c r="H8" s="596"/>
      <c r="I8" s="596"/>
      <c r="J8" s="596"/>
      <c r="K8" s="596"/>
      <c r="L8" s="596"/>
    </row>
    <row r="9" spans="1:15">
      <c r="B9" s="598"/>
      <c r="C9" s="598"/>
      <c r="D9" s="598"/>
      <c r="E9" s="597" t="s">
        <v>309</v>
      </c>
      <c r="G9" s="598"/>
      <c r="H9" s="598"/>
      <c r="I9" s="598"/>
      <c r="J9" s="598"/>
      <c r="K9" s="598"/>
      <c r="L9" s="598"/>
    </row>
    <row r="10" spans="1:15" ht="9" customHeight="1">
      <c r="C10" s="1088"/>
      <c r="D10" s="1088"/>
      <c r="E10" s="1088"/>
      <c r="F10" s="1088"/>
      <c r="G10" s="1088"/>
      <c r="H10" s="1088"/>
      <c r="I10" s="1088"/>
      <c r="J10" s="1088"/>
      <c r="K10" s="1088"/>
      <c r="L10" s="1088"/>
    </row>
    <row r="11" spans="1:15" ht="15.75" customHeight="1">
      <c r="A11" s="1085" t="s">
        <v>20</v>
      </c>
      <c r="B11" s="1086" t="s">
        <v>1</v>
      </c>
      <c r="C11" s="1086"/>
      <c r="D11" s="1085" t="s">
        <v>0</v>
      </c>
      <c r="E11" s="1085" t="s">
        <v>204</v>
      </c>
      <c r="F11" s="1086" t="s">
        <v>328</v>
      </c>
      <c r="G11" s="1086"/>
      <c r="H11" s="1086"/>
      <c r="I11" s="1086"/>
      <c r="J11" s="1086"/>
      <c r="K11" s="1086"/>
      <c r="L11" s="1086"/>
    </row>
    <row r="12" spans="1:15" ht="15.75" customHeight="1" thickBot="1">
      <c r="A12" s="1085"/>
      <c r="B12" s="1087" t="s">
        <v>15</v>
      </c>
      <c r="C12" s="1087" t="s">
        <v>32</v>
      </c>
      <c r="D12" s="1085"/>
      <c r="E12" s="1085"/>
      <c r="F12" s="1087" t="s">
        <v>311</v>
      </c>
      <c r="G12" s="1087" t="s">
        <v>312</v>
      </c>
      <c r="H12" s="1087"/>
      <c r="I12" s="1087"/>
      <c r="J12" s="1087"/>
      <c r="K12" s="1087"/>
      <c r="L12" s="1087"/>
    </row>
    <row r="13" spans="1:15" ht="29.25" customHeight="1" thickBot="1">
      <c r="A13" s="1085"/>
      <c r="B13" s="1087"/>
      <c r="C13" s="1087"/>
      <c r="D13" s="1085"/>
      <c r="E13" s="1085"/>
      <c r="F13" s="1087"/>
      <c r="G13" s="619" t="s">
        <v>47</v>
      </c>
      <c r="H13" s="619" t="s">
        <v>24</v>
      </c>
      <c r="I13" s="619"/>
      <c r="J13" s="619"/>
      <c r="K13" s="619"/>
      <c r="L13" s="619"/>
      <c r="N13" s="621" t="s">
        <v>332</v>
      </c>
    </row>
    <row r="14" spans="1:15">
      <c r="A14" s="673" t="s">
        <v>2</v>
      </c>
      <c r="B14" s="673" t="s">
        <v>3</v>
      </c>
      <c r="C14" s="673" t="s">
        <v>4</v>
      </c>
      <c r="D14" s="673" t="s">
        <v>5</v>
      </c>
      <c r="E14" s="673" t="s">
        <v>6</v>
      </c>
      <c r="F14" s="673">
        <v>1</v>
      </c>
      <c r="G14" s="673">
        <v>2</v>
      </c>
      <c r="H14" s="673">
        <v>3</v>
      </c>
      <c r="I14" s="673">
        <v>4</v>
      </c>
      <c r="J14" s="673">
        <v>5</v>
      </c>
      <c r="K14" s="673">
        <v>6</v>
      </c>
      <c r="L14" s="673">
        <v>7</v>
      </c>
    </row>
    <row r="15" spans="1:15" ht="21.75" customHeight="1">
      <c r="A15" s="601"/>
      <c r="B15" s="601"/>
      <c r="C15" s="601"/>
      <c r="D15" s="602" t="s">
        <v>7</v>
      </c>
      <c r="E15" s="601"/>
      <c r="F15" s="603"/>
      <c r="G15" s="603"/>
      <c r="H15" s="603"/>
      <c r="I15" s="603"/>
      <c r="J15" s="603"/>
      <c r="K15" s="603"/>
      <c r="L15" s="603"/>
    </row>
    <row r="16" spans="1:15" ht="21.75" customHeight="1">
      <c r="A16" s="604" t="str">
        <f ca="1">IF(ROWS($1:1)&gt;COUNT(Dong13),"",OFFSET(TH!C$1,SMALL(Dong13,ROWS($1:1)),))</f>
        <v/>
      </c>
      <c r="B16" s="604" t="str">
        <f ca="1">IF(ROWS($1:1)&gt;COUNT(Dong13),"",OFFSET(TH!D$1,SMALL(Dong13,ROWS($1:1)),))</f>
        <v/>
      </c>
      <c r="C16" s="604" t="str">
        <f ca="1">IF(ROWS($1:1)&gt;COUNT(Dong13),"",OFFSET(TH!E$1,SMALL(Dong13,ROWS($1:1)),))</f>
        <v/>
      </c>
      <c r="D16" s="605" t="str">
        <f ca="1">IF(ROWS($1:1)&gt;COUNT(Dong13),"",OFFSET(TH!F$1,SMALL(Dong13,ROWS($1:1)),))</f>
        <v/>
      </c>
      <c r="E16" s="604" t="str">
        <f ca="1">IF(ROWS($1:1)&gt;COUNT(Dong13),"",OFFSET(TH!M$1,SMALL(Dong13,ROWS($1:1)),))</f>
        <v/>
      </c>
      <c r="F16" s="675" t="str">
        <f ca="1">IF(ROWS($1:1)&gt;COUNT(Dong13),"",OFFSET(TH!K$1,SMALL(Dong13,ROWS($1:1)),))</f>
        <v/>
      </c>
      <c r="G16" s="606">
        <f t="shared" ref="G16:J25" ca="1" si="0">IF($E16=G$13,$F16,0)</f>
        <v>0</v>
      </c>
      <c r="H16" s="606">
        <f t="shared" ca="1" si="0"/>
        <v>0</v>
      </c>
      <c r="I16" s="606" t="str">
        <f t="shared" ca="1" si="0"/>
        <v/>
      </c>
      <c r="J16" s="606" t="str">
        <f t="shared" ca="1" si="0"/>
        <v/>
      </c>
      <c r="K16" s="606" t="str">
        <f ca="1">IF(LEFT($E16,3)=K$13,$F16,0)</f>
        <v/>
      </c>
      <c r="L16" s="606" t="str">
        <f ca="1">IF(LEFT($E16,3)=L$13,$F16,0)</f>
        <v/>
      </c>
    </row>
    <row r="17" spans="1:12" ht="21.75" customHeight="1">
      <c r="A17" s="604" t="str">
        <f ca="1">IF(ROWS($1:2)&gt;COUNT(Dong13),"",OFFSET(TH!C$1,SMALL(Dong13,ROWS($1:2)),))</f>
        <v/>
      </c>
      <c r="B17" s="604" t="str">
        <f ca="1">IF(ROWS($1:2)&gt;COUNT(Dong13),"",OFFSET(TH!D$1,SMALL(Dong13,ROWS($1:2)),))</f>
        <v/>
      </c>
      <c r="C17" s="604" t="str">
        <f ca="1">IF(ROWS($1:2)&gt;COUNT(Dong13),"",OFFSET(TH!E$1,SMALL(Dong13,ROWS($1:2)),))</f>
        <v/>
      </c>
      <c r="D17" s="605" t="str">
        <f ca="1">IF(ROWS($1:2)&gt;COUNT(Dong13),"",OFFSET(TH!F$1,SMALL(Dong13,ROWS($1:2)),))</f>
        <v/>
      </c>
      <c r="E17" s="604" t="str">
        <f ca="1">IF(ROWS($1:2)&gt;COUNT(Dong13),"",OFFSET(TH!M$1,SMALL(Dong13,ROWS($1:2)),))</f>
        <v/>
      </c>
      <c r="F17" s="675" t="str">
        <f ca="1">IF(ROWS($1:2)&gt;COUNT(Dong13),"",OFFSET(TH!K$1,SMALL(Dong13,ROWS($1:2)),))</f>
        <v/>
      </c>
      <c r="G17" s="606">
        <f t="shared" ca="1" si="0"/>
        <v>0</v>
      </c>
      <c r="H17" s="606">
        <f t="shared" ca="1" si="0"/>
        <v>0</v>
      </c>
      <c r="I17" s="606" t="str">
        <f t="shared" ca="1" si="0"/>
        <v/>
      </c>
      <c r="J17" s="606" t="str">
        <f t="shared" ca="1" si="0"/>
        <v/>
      </c>
      <c r="K17" s="606" t="str">
        <f t="shared" ref="K17:L25" ca="1" si="1">IF(LEFT($E17,3)=K$13,$F17,0)</f>
        <v/>
      </c>
      <c r="L17" s="606" t="str">
        <f t="shared" ca="1" si="1"/>
        <v/>
      </c>
    </row>
    <row r="18" spans="1:12" ht="21.75" customHeight="1">
      <c r="A18" s="604" t="str">
        <f ca="1">IF(ROWS($1:3)&gt;COUNT(Dong13),"",OFFSET(TH!C$1,SMALL(Dong13,ROWS($1:3)),))</f>
        <v/>
      </c>
      <c r="B18" s="604" t="str">
        <f ca="1">IF(ROWS($1:3)&gt;COUNT(Dong13),"",OFFSET(TH!D$1,SMALL(Dong13,ROWS($1:3)),))</f>
        <v/>
      </c>
      <c r="C18" s="604" t="str">
        <f ca="1">IF(ROWS($1:3)&gt;COUNT(Dong13),"",OFFSET(TH!E$1,SMALL(Dong13,ROWS($1:3)),))</f>
        <v/>
      </c>
      <c r="D18" s="605" t="str">
        <f ca="1">IF(ROWS($1:3)&gt;COUNT(Dong13),"",OFFSET(TH!F$1,SMALL(Dong13,ROWS($1:3)),))</f>
        <v/>
      </c>
      <c r="E18" s="604" t="str">
        <f ca="1">IF(ROWS($1:3)&gt;COUNT(Dong13),"",OFFSET(TH!M$1,SMALL(Dong13,ROWS($1:3)),))</f>
        <v/>
      </c>
      <c r="F18" s="675" t="str">
        <f ca="1">IF(ROWS($1:3)&gt;COUNT(Dong13),"",OFFSET(TH!K$1,SMALL(Dong13,ROWS($1:3)),))</f>
        <v/>
      </c>
      <c r="G18" s="606">
        <f t="shared" ca="1" si="0"/>
        <v>0</v>
      </c>
      <c r="H18" s="606">
        <f t="shared" ca="1" si="0"/>
        <v>0</v>
      </c>
      <c r="I18" s="606" t="str">
        <f t="shared" ca="1" si="0"/>
        <v/>
      </c>
      <c r="J18" s="606" t="str">
        <f t="shared" ca="1" si="0"/>
        <v/>
      </c>
      <c r="K18" s="606" t="str">
        <f t="shared" ca="1" si="1"/>
        <v/>
      </c>
      <c r="L18" s="606" t="str">
        <f t="shared" ca="1" si="1"/>
        <v/>
      </c>
    </row>
    <row r="19" spans="1:12" ht="21.75" customHeight="1">
      <c r="A19" s="604" t="str">
        <f ca="1">IF(ROWS($1:4)&gt;COUNT(Dong13),"",OFFSET(TH!C$1,SMALL(Dong13,ROWS($1:4)),))</f>
        <v/>
      </c>
      <c r="B19" s="604" t="str">
        <f ca="1">IF(ROWS($1:4)&gt;COUNT(Dong13),"",OFFSET(TH!D$1,SMALL(Dong13,ROWS($1:4)),))</f>
        <v/>
      </c>
      <c r="C19" s="604" t="str">
        <f ca="1">IF(ROWS($1:4)&gt;COUNT(Dong13),"",OFFSET(TH!E$1,SMALL(Dong13,ROWS($1:4)),))</f>
        <v/>
      </c>
      <c r="D19" s="605" t="str">
        <f ca="1">IF(ROWS($1:4)&gt;COUNT(Dong13),"",OFFSET(TH!F$1,SMALL(Dong13,ROWS($1:4)),))</f>
        <v/>
      </c>
      <c r="E19" s="604" t="str">
        <f ca="1">IF(ROWS($1:4)&gt;COUNT(Dong13),"",OFFSET(TH!M$1,SMALL(Dong13,ROWS($1:4)),))</f>
        <v/>
      </c>
      <c r="F19" s="675" t="str">
        <f ca="1">IF(ROWS($1:4)&gt;COUNT(Dong13),"",OFFSET(TH!K$1,SMALL(Dong13,ROWS($1:4)),))</f>
        <v/>
      </c>
      <c r="G19" s="606">
        <f t="shared" ca="1" si="0"/>
        <v>0</v>
      </c>
      <c r="H19" s="606">
        <f t="shared" ca="1" si="0"/>
        <v>0</v>
      </c>
      <c r="I19" s="606" t="str">
        <f t="shared" ca="1" si="0"/>
        <v/>
      </c>
      <c r="J19" s="606" t="str">
        <f t="shared" ca="1" si="0"/>
        <v/>
      </c>
      <c r="K19" s="606" t="str">
        <f t="shared" ca="1" si="1"/>
        <v/>
      </c>
      <c r="L19" s="606" t="str">
        <f t="shared" ca="1" si="1"/>
        <v/>
      </c>
    </row>
    <row r="20" spans="1:12" ht="21.75" customHeight="1">
      <c r="A20" s="604" t="str">
        <f ca="1">IF(ROWS($1:5)&gt;COUNT(Dong13),"",OFFSET(TH!C$1,SMALL(Dong13,ROWS($1:5)),))</f>
        <v/>
      </c>
      <c r="B20" s="604" t="str">
        <f ca="1">IF(ROWS($1:5)&gt;COUNT(Dong13),"",OFFSET(TH!D$1,SMALL(Dong13,ROWS($1:5)),))</f>
        <v/>
      </c>
      <c r="C20" s="604" t="str">
        <f ca="1">IF(ROWS($1:5)&gt;COUNT(Dong13),"",OFFSET(TH!E$1,SMALL(Dong13,ROWS($1:5)),))</f>
        <v/>
      </c>
      <c r="D20" s="605" t="str">
        <f ca="1">IF(ROWS($1:5)&gt;COUNT(Dong13),"",OFFSET(TH!F$1,SMALL(Dong13,ROWS($1:5)),))</f>
        <v/>
      </c>
      <c r="E20" s="604" t="str">
        <f ca="1">IF(ROWS($1:5)&gt;COUNT(Dong13),"",OFFSET(TH!M$1,SMALL(Dong13,ROWS($1:5)),))</f>
        <v/>
      </c>
      <c r="F20" s="675" t="str">
        <f ca="1">IF(ROWS($1:5)&gt;COUNT(Dong13),"",OFFSET(TH!K$1,SMALL(Dong13,ROWS($1:5)),))</f>
        <v/>
      </c>
      <c r="G20" s="606">
        <f t="shared" ca="1" si="0"/>
        <v>0</v>
      </c>
      <c r="H20" s="606">
        <f t="shared" ca="1" si="0"/>
        <v>0</v>
      </c>
      <c r="I20" s="606" t="str">
        <f t="shared" ca="1" si="0"/>
        <v/>
      </c>
      <c r="J20" s="606" t="str">
        <f t="shared" ca="1" si="0"/>
        <v/>
      </c>
      <c r="K20" s="606" t="str">
        <f t="shared" ca="1" si="1"/>
        <v/>
      </c>
      <c r="L20" s="606" t="str">
        <f t="shared" ca="1" si="1"/>
        <v/>
      </c>
    </row>
    <row r="21" spans="1:12" ht="21.75" customHeight="1">
      <c r="A21" s="604" t="str">
        <f ca="1">IF(ROWS($1:6)&gt;COUNT(Dong13),"",OFFSET(TH!C$1,SMALL(Dong13,ROWS($1:6)),))</f>
        <v/>
      </c>
      <c r="B21" s="604" t="str">
        <f ca="1">IF(ROWS($1:6)&gt;COUNT(Dong13),"",OFFSET(TH!D$1,SMALL(Dong13,ROWS($1:6)),))</f>
        <v/>
      </c>
      <c r="C21" s="604" t="str">
        <f ca="1">IF(ROWS($1:6)&gt;COUNT(Dong13),"",OFFSET(TH!E$1,SMALL(Dong13,ROWS($1:6)),))</f>
        <v/>
      </c>
      <c r="D21" s="605" t="str">
        <f ca="1">IF(ROWS($1:6)&gt;COUNT(Dong13),"",OFFSET(TH!F$1,SMALL(Dong13,ROWS($1:6)),))</f>
        <v/>
      </c>
      <c r="E21" s="604" t="str">
        <f ca="1">IF(ROWS($1:6)&gt;COUNT(Dong13),"",OFFSET(TH!M$1,SMALL(Dong13,ROWS($1:6)),))</f>
        <v/>
      </c>
      <c r="F21" s="675" t="str">
        <f ca="1">IF(ROWS($1:6)&gt;COUNT(Dong13),"",OFFSET(TH!K$1,SMALL(Dong13,ROWS($1:6)),))</f>
        <v/>
      </c>
      <c r="G21" s="606">
        <f t="shared" ca="1" si="0"/>
        <v>0</v>
      </c>
      <c r="H21" s="606">
        <f t="shared" ca="1" si="0"/>
        <v>0</v>
      </c>
      <c r="I21" s="606" t="str">
        <f t="shared" ca="1" si="0"/>
        <v/>
      </c>
      <c r="J21" s="606" t="str">
        <f t="shared" ca="1" si="0"/>
        <v/>
      </c>
      <c r="K21" s="606" t="str">
        <f t="shared" ca="1" si="1"/>
        <v/>
      </c>
      <c r="L21" s="606" t="str">
        <f t="shared" ca="1" si="1"/>
        <v/>
      </c>
    </row>
    <row r="22" spans="1:12" ht="21.75" customHeight="1">
      <c r="A22" s="604" t="str">
        <f ca="1">IF(ROWS($1:7)&gt;COUNT(Dong13),"",OFFSET(TH!C$1,SMALL(Dong13,ROWS($1:7)),))</f>
        <v/>
      </c>
      <c r="B22" s="604" t="str">
        <f ca="1">IF(ROWS($1:7)&gt;COUNT(Dong13),"",OFFSET(TH!D$1,SMALL(Dong13,ROWS($1:7)),))</f>
        <v/>
      </c>
      <c r="C22" s="604" t="str">
        <f ca="1">IF(ROWS($1:7)&gt;COUNT(Dong13),"",OFFSET(TH!E$1,SMALL(Dong13,ROWS($1:7)),))</f>
        <v/>
      </c>
      <c r="D22" s="605" t="str">
        <f ca="1">IF(ROWS($1:7)&gt;COUNT(Dong13),"",OFFSET(TH!F$1,SMALL(Dong13,ROWS($1:7)),))</f>
        <v/>
      </c>
      <c r="E22" s="604" t="str">
        <f ca="1">IF(ROWS($1:7)&gt;COUNT(Dong13),"",OFFSET(TH!M$1,SMALL(Dong13,ROWS($1:7)),))</f>
        <v/>
      </c>
      <c r="F22" s="675" t="str">
        <f ca="1">IF(ROWS($1:7)&gt;COUNT(Dong13),"",OFFSET(TH!K$1,SMALL(Dong13,ROWS($1:7)),))</f>
        <v/>
      </c>
      <c r="G22" s="606">
        <f t="shared" ca="1" si="0"/>
        <v>0</v>
      </c>
      <c r="H22" s="606">
        <f t="shared" ca="1" si="0"/>
        <v>0</v>
      </c>
      <c r="I22" s="606" t="str">
        <f t="shared" ca="1" si="0"/>
        <v/>
      </c>
      <c r="J22" s="606" t="str">
        <f t="shared" ca="1" si="0"/>
        <v/>
      </c>
      <c r="K22" s="606" t="str">
        <f t="shared" ca="1" si="1"/>
        <v/>
      </c>
      <c r="L22" s="606" t="str">
        <f t="shared" ca="1" si="1"/>
        <v/>
      </c>
    </row>
    <row r="23" spans="1:12" ht="21.75" customHeight="1">
      <c r="A23" s="604" t="str">
        <f ca="1">IF(ROWS($1:8)&gt;COUNT(Dong13),"",OFFSET(TH!C$1,SMALL(Dong13,ROWS($1:8)),))</f>
        <v/>
      </c>
      <c r="B23" s="604" t="str">
        <f ca="1">IF(ROWS($1:8)&gt;COUNT(Dong13),"",OFFSET(TH!D$1,SMALL(Dong13,ROWS($1:8)),))</f>
        <v/>
      </c>
      <c r="C23" s="604" t="str">
        <f ca="1">IF(ROWS($1:8)&gt;COUNT(Dong13),"",OFFSET(TH!E$1,SMALL(Dong13,ROWS($1:8)),))</f>
        <v/>
      </c>
      <c r="D23" s="605" t="str">
        <f ca="1">IF(ROWS($1:8)&gt;COUNT(Dong13),"",OFFSET(TH!F$1,SMALL(Dong13,ROWS($1:8)),))</f>
        <v/>
      </c>
      <c r="E23" s="604" t="str">
        <f ca="1">IF(ROWS($1:8)&gt;COUNT(Dong13),"",OFFSET(TH!M$1,SMALL(Dong13,ROWS($1:8)),))</f>
        <v/>
      </c>
      <c r="F23" s="675" t="str">
        <f ca="1">IF(ROWS($1:8)&gt;COUNT(Dong13),"",OFFSET(TH!K$1,SMALL(Dong13,ROWS($1:8)),))</f>
        <v/>
      </c>
      <c r="G23" s="606">
        <f t="shared" ca="1" si="0"/>
        <v>0</v>
      </c>
      <c r="H23" s="606">
        <f t="shared" ca="1" si="0"/>
        <v>0</v>
      </c>
      <c r="I23" s="606" t="str">
        <f t="shared" ca="1" si="0"/>
        <v/>
      </c>
      <c r="J23" s="606" t="str">
        <f t="shared" ca="1" si="0"/>
        <v/>
      </c>
      <c r="K23" s="606" t="str">
        <f t="shared" ca="1" si="1"/>
        <v/>
      </c>
      <c r="L23" s="606" t="str">
        <f t="shared" ca="1" si="1"/>
        <v/>
      </c>
    </row>
    <row r="24" spans="1:12" ht="21.75" customHeight="1">
      <c r="A24" s="604" t="str">
        <f ca="1">IF(ROWS($1:9)&gt;COUNT(Dong13),"",OFFSET(TH!C$1,SMALL(Dong13,ROWS($1:9)),))</f>
        <v/>
      </c>
      <c r="B24" s="604" t="str">
        <f ca="1">IF(ROWS($1:9)&gt;COUNT(Dong13),"",OFFSET(TH!D$1,SMALL(Dong13,ROWS($1:9)),))</f>
        <v/>
      </c>
      <c r="C24" s="604" t="str">
        <f ca="1">IF(ROWS($1:9)&gt;COUNT(Dong13),"",OFFSET(TH!E$1,SMALL(Dong13,ROWS($1:9)),))</f>
        <v/>
      </c>
      <c r="D24" s="605" t="str">
        <f ca="1">IF(ROWS($1:9)&gt;COUNT(Dong13),"",OFFSET(TH!F$1,SMALL(Dong13,ROWS($1:9)),))</f>
        <v/>
      </c>
      <c r="E24" s="604" t="str">
        <f ca="1">IF(ROWS($1:9)&gt;COUNT(Dong13),"",OFFSET(TH!M$1,SMALL(Dong13,ROWS($1:9)),))</f>
        <v/>
      </c>
      <c r="F24" s="675" t="str">
        <f ca="1">IF(ROWS($1:9)&gt;COUNT(Dong13),"",OFFSET(TH!K$1,SMALL(Dong13,ROWS($1:9)),))</f>
        <v/>
      </c>
      <c r="G24" s="606">
        <f t="shared" ca="1" si="0"/>
        <v>0</v>
      </c>
      <c r="H24" s="606">
        <f t="shared" ca="1" si="0"/>
        <v>0</v>
      </c>
      <c r="I24" s="606" t="str">
        <f t="shared" ca="1" si="0"/>
        <v/>
      </c>
      <c r="J24" s="606" t="str">
        <f t="shared" ca="1" si="0"/>
        <v/>
      </c>
      <c r="K24" s="606" t="str">
        <f t="shared" ca="1" si="1"/>
        <v/>
      </c>
      <c r="L24" s="606" t="str">
        <f t="shared" ca="1" si="1"/>
        <v/>
      </c>
    </row>
    <row r="25" spans="1:12" ht="21.75" customHeight="1">
      <c r="A25" s="604" t="str">
        <f ca="1">IF(ROWS($1:10)&gt;COUNT(Dong13),"",OFFSET(TH!C$1,SMALL(Dong13,ROWS($1:10)),))</f>
        <v/>
      </c>
      <c r="B25" s="604" t="str">
        <f ca="1">IF(ROWS($1:10)&gt;COUNT(Dong13),"",OFFSET(TH!D$1,SMALL(Dong13,ROWS($1:10)),))</f>
        <v/>
      </c>
      <c r="C25" s="604" t="str">
        <f ca="1">IF(ROWS($1:10)&gt;COUNT(Dong13),"",OFFSET(TH!E$1,SMALL(Dong13,ROWS($1:10)),))</f>
        <v/>
      </c>
      <c r="D25" s="605" t="str">
        <f ca="1">IF(ROWS($1:10)&gt;COUNT(Dong13),"",OFFSET(TH!F$1,SMALL(Dong13,ROWS($1:10)),))</f>
        <v/>
      </c>
      <c r="E25" s="604" t="str">
        <f ca="1">IF(ROWS($1:10)&gt;COUNT(Dong13),"",OFFSET(TH!M$1,SMALL(Dong13,ROWS($1:10)),))</f>
        <v/>
      </c>
      <c r="F25" s="675" t="str">
        <f ca="1">IF(ROWS($1:10)&gt;COUNT(Dong13),"",OFFSET(TH!K$1,SMALL(Dong13,ROWS($1:10)),))</f>
        <v/>
      </c>
      <c r="G25" s="606">
        <f t="shared" ca="1" si="0"/>
        <v>0</v>
      </c>
      <c r="H25" s="606">
        <f t="shared" ca="1" si="0"/>
        <v>0</v>
      </c>
      <c r="I25" s="606" t="str">
        <f t="shared" ca="1" si="0"/>
        <v/>
      </c>
      <c r="J25" s="606" t="str">
        <f t="shared" ca="1" si="0"/>
        <v/>
      </c>
      <c r="K25" s="606" t="str">
        <f t="shared" ca="1" si="1"/>
        <v/>
      </c>
      <c r="L25" s="606" t="str">
        <f t="shared" ca="1" si="1"/>
        <v/>
      </c>
    </row>
    <row r="26" spans="1:12" ht="21.75" customHeight="1">
      <c r="A26" s="604"/>
      <c r="B26" s="607"/>
      <c r="C26" s="604"/>
      <c r="D26" s="608"/>
      <c r="E26" s="609"/>
      <c r="F26" s="610"/>
      <c r="G26" s="610"/>
      <c r="H26" s="610"/>
      <c r="I26" s="610"/>
      <c r="J26" s="610"/>
      <c r="K26" s="610"/>
      <c r="L26" s="610"/>
    </row>
    <row r="27" spans="1:12" ht="21.75" customHeight="1">
      <c r="A27" s="604"/>
      <c r="B27" s="607"/>
      <c r="C27" s="604"/>
      <c r="D27" s="602" t="s">
        <v>133</v>
      </c>
      <c r="E27" s="601" t="s">
        <v>19</v>
      </c>
      <c r="F27" s="603">
        <f t="shared" ref="F27:L27" ca="1" si="2">SUM(F15:F26)</f>
        <v>0</v>
      </c>
      <c r="G27" s="603">
        <f t="shared" ca="1" si="2"/>
        <v>0</v>
      </c>
      <c r="H27" s="603">
        <f t="shared" ca="1" si="2"/>
        <v>0</v>
      </c>
      <c r="I27" s="603">
        <f t="shared" ca="1" si="2"/>
        <v>0</v>
      </c>
      <c r="J27" s="603">
        <f t="shared" ca="1" si="2"/>
        <v>0</v>
      </c>
      <c r="K27" s="603">
        <f t="shared" ca="1" si="2"/>
        <v>0</v>
      </c>
      <c r="L27" s="603">
        <f t="shared" ca="1" si="2"/>
        <v>0</v>
      </c>
    </row>
    <row r="28" spans="1:12" ht="21.75" customHeight="1">
      <c r="A28" s="611"/>
      <c r="B28" s="609"/>
      <c r="C28" s="611"/>
      <c r="D28" s="612" t="s">
        <v>330</v>
      </c>
      <c r="E28" s="607"/>
      <c r="F28" s="603">
        <f ca="1">SUM(G28:L28)</f>
        <v>0</v>
      </c>
      <c r="G28" s="613">
        <f t="shared" ref="G28:L28" ca="1" si="3">G27</f>
        <v>0</v>
      </c>
      <c r="H28" s="613">
        <f t="shared" ca="1" si="3"/>
        <v>0</v>
      </c>
      <c r="I28" s="613">
        <f t="shared" ca="1" si="3"/>
        <v>0</v>
      </c>
      <c r="J28" s="613">
        <f t="shared" ca="1" si="3"/>
        <v>0</v>
      </c>
      <c r="K28" s="613">
        <f t="shared" ca="1" si="3"/>
        <v>0</v>
      </c>
      <c r="L28" s="613">
        <f t="shared" ca="1" si="3"/>
        <v>0</v>
      </c>
    </row>
    <row r="29" spans="1:12" ht="21.75" customHeight="1">
      <c r="A29" s="614"/>
      <c r="B29" s="614"/>
      <c r="C29" s="614"/>
      <c r="D29" s="615" t="s">
        <v>10</v>
      </c>
      <c r="E29" s="614" t="s">
        <v>19</v>
      </c>
      <c r="F29" s="616">
        <f t="shared" ref="F29:L29" ca="1" si="4">F15+F27-F28</f>
        <v>0</v>
      </c>
      <c r="G29" s="616">
        <f t="shared" ca="1" si="4"/>
        <v>0</v>
      </c>
      <c r="H29" s="616">
        <f t="shared" ca="1" si="4"/>
        <v>0</v>
      </c>
      <c r="I29" s="616">
        <f t="shared" ca="1" si="4"/>
        <v>0</v>
      </c>
      <c r="J29" s="616">
        <f t="shared" ca="1" si="4"/>
        <v>0</v>
      </c>
      <c r="K29" s="616">
        <f t="shared" ca="1" si="4"/>
        <v>0</v>
      </c>
      <c r="L29" s="616">
        <f t="shared" ca="1" si="4"/>
        <v>0</v>
      </c>
    </row>
    <row r="31" spans="1:12">
      <c r="B31" s="617"/>
      <c r="C31" s="597" t="s">
        <v>317</v>
      </c>
    </row>
    <row r="32" spans="1:12">
      <c r="C32" s="597" t="e">
        <f ca="1">"- Ngày mở sổ: "&amp;"01/"&amp;MONTH(A16)&amp;"/"&amp;YEAR(A16)</f>
        <v>#VALUE!</v>
      </c>
    </row>
    <row r="33" spans="2:12">
      <c r="E33" s="596"/>
      <c r="F33" s="596"/>
      <c r="G33" s="596"/>
      <c r="H33" s="596"/>
      <c r="I33" s="596"/>
      <c r="J33" s="1077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077"/>
      <c r="L33" s="1077"/>
    </row>
    <row r="34" spans="2:12">
      <c r="B34" s="596"/>
      <c r="C34" s="672" t="s">
        <v>11</v>
      </c>
      <c r="D34" s="596"/>
      <c r="E34" s="596"/>
      <c r="F34" s="596"/>
      <c r="G34" s="596"/>
      <c r="H34" s="596"/>
      <c r="I34" s="596"/>
      <c r="J34" s="1077" t="s">
        <v>12</v>
      </c>
      <c r="K34" s="1077"/>
      <c r="L34" s="1077"/>
    </row>
    <row r="35" spans="2:12">
      <c r="B35" s="596"/>
      <c r="C35" s="672" t="s">
        <v>13</v>
      </c>
      <c r="D35" s="596"/>
      <c r="E35" s="596"/>
      <c r="F35" s="596"/>
      <c r="G35" s="596"/>
      <c r="H35" s="596"/>
      <c r="I35" s="596"/>
      <c r="J35" s="1091" t="s">
        <v>13</v>
      </c>
      <c r="K35" s="1091"/>
      <c r="L35" s="1091"/>
    </row>
  </sheetData>
  <mergeCells count="17"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9"/>
  <sheetViews>
    <sheetView topLeftCell="A8" workbookViewId="0">
      <pane ySplit="3" topLeftCell="A11" activePane="bottomLeft" state="frozen"/>
      <selection activeCell="K28" sqref="K28"/>
      <selection pane="bottomLeft" activeCell="E19" sqref="E19"/>
    </sheetView>
  </sheetViews>
  <sheetFormatPr defaultRowHeight="12.75"/>
  <cols>
    <col min="1" max="1" width="5.5703125" style="730" customWidth="1"/>
    <col min="2" max="2" width="9.7109375" style="730" customWidth="1"/>
    <col min="3" max="3" width="25.140625" style="730" customWidth="1"/>
    <col min="4" max="4" width="11.42578125" style="730" customWidth="1"/>
    <col min="5" max="5" width="10.85546875" style="416" customWidth="1"/>
    <col min="6" max="6" width="10.85546875" style="731" hidden="1" customWidth="1"/>
    <col min="7" max="8" width="9.7109375" style="731" customWidth="1"/>
    <col min="9" max="9" width="10.5703125" style="730" customWidth="1"/>
    <col min="10" max="21" width="10.5703125" style="730" hidden="1" customWidth="1"/>
    <col min="22" max="22" width="10.5703125" style="730" customWidth="1"/>
    <col min="23" max="23" width="10.85546875" style="416" customWidth="1"/>
    <col min="24" max="24" width="13.28515625" style="416" customWidth="1"/>
    <col min="25" max="26" width="11.85546875" style="416" customWidth="1"/>
    <col min="27" max="16384" width="9.140625" style="730"/>
  </cols>
  <sheetData>
    <row r="1" spans="1:26" ht="15">
      <c r="A1" s="729" t="s">
        <v>606</v>
      </c>
    </row>
    <row r="2" spans="1:26" ht="15">
      <c r="A2" s="729" t="s">
        <v>607</v>
      </c>
    </row>
    <row r="3" spans="1:26" ht="15">
      <c r="A3" s="729"/>
    </row>
    <row r="4" spans="1:26">
      <c r="A4" s="732"/>
      <c r="B4" s="732"/>
    </row>
    <row r="5" spans="1:26" ht="23.25" customHeight="1">
      <c r="A5" s="1098" t="s">
        <v>608</v>
      </c>
      <c r="B5" s="1098"/>
      <c r="C5" s="1098"/>
      <c r="D5" s="1098"/>
      <c r="E5" s="1098"/>
      <c r="F5" s="1098"/>
      <c r="G5" s="1098"/>
      <c r="H5" s="1098"/>
      <c r="I5" s="1098"/>
      <c r="J5" s="1098"/>
      <c r="K5" s="1098"/>
      <c r="L5" s="1098"/>
      <c r="M5" s="1098"/>
      <c r="N5" s="1098"/>
      <c r="O5" s="1098"/>
      <c r="P5" s="1098"/>
      <c r="Q5" s="1098"/>
      <c r="R5" s="1098"/>
      <c r="S5" s="1098"/>
      <c r="T5" s="1098"/>
      <c r="U5" s="1098"/>
      <c r="V5" s="1098"/>
      <c r="W5" s="1098"/>
      <c r="X5" s="1098"/>
    </row>
    <row r="6" spans="1:26" ht="23.25" customHeight="1">
      <c r="A6" s="1099" t="str">
        <f>"Tháng "&amp;'CC -9'!C4&amp;" năm 2011"</f>
        <v>Tháng  năm 2011</v>
      </c>
      <c r="B6" s="1099"/>
      <c r="C6" s="1099"/>
      <c r="D6" s="1099"/>
      <c r="E6" s="1099"/>
      <c r="F6" s="1099"/>
      <c r="G6" s="1099"/>
      <c r="H6" s="1099"/>
      <c r="I6" s="1099"/>
      <c r="J6" s="1099"/>
      <c r="K6" s="1099"/>
      <c r="L6" s="1099"/>
      <c r="M6" s="1099"/>
      <c r="N6" s="1099"/>
      <c r="O6" s="1099"/>
      <c r="P6" s="1099"/>
      <c r="Q6" s="1099"/>
      <c r="R6" s="1099"/>
      <c r="S6" s="1099"/>
      <c r="T6" s="1099"/>
      <c r="U6" s="1099"/>
      <c r="V6" s="1099"/>
      <c r="W6" s="1099"/>
      <c r="X6" s="1099"/>
    </row>
    <row r="7" spans="1:26" s="735" customFormat="1" ht="19.5" customHeight="1">
      <c r="A7" s="733"/>
      <c r="B7" s="733"/>
      <c r="C7" s="733"/>
      <c r="D7" s="733"/>
      <c r="E7" s="733"/>
      <c r="F7" s="733"/>
      <c r="G7" s="733"/>
      <c r="H7" s="733"/>
      <c r="I7" s="733"/>
      <c r="J7" s="733"/>
      <c r="K7" s="733"/>
      <c r="L7" s="733"/>
      <c r="M7" s="733"/>
      <c r="N7" s="733"/>
      <c r="O7" s="733"/>
      <c r="P7" s="733"/>
      <c r="Q7" s="733"/>
      <c r="R7" s="733"/>
      <c r="S7" s="733"/>
      <c r="T7" s="733"/>
      <c r="U7" s="733"/>
      <c r="V7" s="733"/>
      <c r="W7" s="733"/>
      <c r="X7" s="733"/>
      <c r="Y7" s="734"/>
      <c r="Z7" s="734"/>
    </row>
    <row r="8" spans="1:26" s="729" customFormat="1" ht="20.25" customHeight="1">
      <c r="A8" s="1100" t="s">
        <v>35</v>
      </c>
      <c r="B8" s="1100" t="s">
        <v>609</v>
      </c>
      <c r="C8" s="1100" t="s">
        <v>610</v>
      </c>
      <c r="D8" s="1100" t="s">
        <v>611</v>
      </c>
      <c r="E8" s="1094" t="s">
        <v>612</v>
      </c>
      <c r="F8" s="1095"/>
      <c r="G8" s="1101" t="s">
        <v>613</v>
      </c>
      <c r="H8" s="1101"/>
      <c r="I8" s="1101" t="s">
        <v>614</v>
      </c>
      <c r="J8" s="1101" t="s">
        <v>615</v>
      </c>
      <c r="K8" s="1101"/>
      <c r="L8" s="1101"/>
      <c r="M8" s="1101"/>
      <c r="N8" s="1101"/>
      <c r="O8" s="1101"/>
      <c r="P8" s="1101"/>
      <c r="Q8" s="1101"/>
      <c r="R8" s="1101"/>
      <c r="S8" s="1101"/>
      <c r="T8" s="1101"/>
      <c r="U8" s="1101"/>
      <c r="V8" s="1102" t="s">
        <v>616</v>
      </c>
      <c r="W8" s="1102" t="s">
        <v>617</v>
      </c>
      <c r="X8" s="1102" t="s">
        <v>618</v>
      </c>
      <c r="Y8" s="333"/>
      <c r="Z8" s="333"/>
    </row>
    <row r="9" spans="1:26" s="729" customFormat="1" ht="20.25" customHeight="1">
      <c r="A9" s="1100"/>
      <c r="B9" s="1100"/>
      <c r="C9" s="1100"/>
      <c r="D9" s="1100"/>
      <c r="E9" s="1096"/>
      <c r="F9" s="1097"/>
      <c r="G9" s="736" t="s">
        <v>619</v>
      </c>
      <c r="H9" s="736" t="s">
        <v>620</v>
      </c>
      <c r="I9" s="1101"/>
      <c r="J9" s="736" t="s">
        <v>290</v>
      </c>
      <c r="K9" s="736" t="s">
        <v>291</v>
      </c>
      <c r="L9" s="736" t="s">
        <v>292</v>
      </c>
      <c r="M9" s="736" t="s">
        <v>492</v>
      </c>
      <c r="N9" s="736" t="s">
        <v>498</v>
      </c>
      <c r="O9" s="736" t="s">
        <v>585</v>
      </c>
      <c r="P9" s="736" t="s">
        <v>586</v>
      </c>
      <c r="Q9" s="736" t="s">
        <v>587</v>
      </c>
      <c r="R9" s="736" t="s">
        <v>588</v>
      </c>
      <c r="S9" s="736" t="s">
        <v>589</v>
      </c>
      <c r="T9" s="736" t="s">
        <v>590</v>
      </c>
      <c r="U9" s="736" t="s">
        <v>591</v>
      </c>
      <c r="V9" s="1103"/>
      <c r="W9" s="1103"/>
      <c r="X9" s="1103"/>
      <c r="Y9" s="333"/>
      <c r="Z9" s="333"/>
    </row>
    <row r="10" spans="1:26" ht="14.25" customHeight="1">
      <c r="A10" s="737">
        <v>1</v>
      </c>
      <c r="B10" s="737">
        <v>1</v>
      </c>
      <c r="C10" s="737">
        <v>2</v>
      </c>
      <c r="D10" s="737">
        <v>3</v>
      </c>
      <c r="E10" s="737">
        <v>4</v>
      </c>
      <c r="F10" s="737">
        <v>5</v>
      </c>
      <c r="G10" s="737">
        <v>6</v>
      </c>
      <c r="H10" s="737">
        <v>7</v>
      </c>
      <c r="I10" s="737">
        <v>8</v>
      </c>
      <c r="J10" s="737">
        <v>9</v>
      </c>
      <c r="K10" s="737">
        <v>10</v>
      </c>
      <c r="L10" s="737">
        <v>11</v>
      </c>
      <c r="M10" s="737">
        <v>12</v>
      </c>
      <c r="N10" s="737">
        <v>13</v>
      </c>
      <c r="O10" s="737">
        <v>14</v>
      </c>
      <c r="P10" s="737">
        <v>15</v>
      </c>
      <c r="Q10" s="737">
        <v>16</v>
      </c>
      <c r="R10" s="737">
        <v>17</v>
      </c>
      <c r="S10" s="737">
        <v>18</v>
      </c>
      <c r="T10" s="737">
        <v>19</v>
      </c>
      <c r="U10" s="737">
        <v>20</v>
      </c>
      <c r="V10" s="737">
        <v>21</v>
      </c>
      <c r="W10" s="737">
        <v>22</v>
      </c>
      <c r="X10" s="737">
        <v>23</v>
      </c>
    </row>
    <row r="11" spans="1:26" s="744" customFormat="1" ht="21.75" customHeight="1">
      <c r="A11" s="738">
        <f>IF(B11&lt;&gt;"",ROW()-10,"")</f>
        <v>1</v>
      </c>
      <c r="B11" s="738" t="s">
        <v>621</v>
      </c>
      <c r="C11" s="739" t="s">
        <v>604</v>
      </c>
      <c r="D11" s="738" t="s">
        <v>282</v>
      </c>
      <c r="E11" s="740">
        <v>2877500</v>
      </c>
      <c r="F11" s="741"/>
      <c r="G11" s="741">
        <v>260000</v>
      </c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  <c r="X11" s="741"/>
      <c r="Y11" s="742"/>
      <c r="Z11" s="743"/>
    </row>
    <row r="12" spans="1:26" s="744" customFormat="1" ht="21.75" customHeight="1">
      <c r="A12" s="738">
        <f t="shared" ref="A12:A20" si="0">IF(B12&lt;&gt;"",ROW()-10,"")</f>
        <v>2</v>
      </c>
      <c r="B12" s="738" t="s">
        <v>622</v>
      </c>
      <c r="C12" s="739" t="s">
        <v>761</v>
      </c>
      <c r="D12" s="738" t="s">
        <v>623</v>
      </c>
      <c r="E12" s="740">
        <v>2877500</v>
      </c>
      <c r="F12" s="741"/>
      <c r="G12" s="741">
        <v>260000</v>
      </c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  <c r="X12" s="741"/>
      <c r="Y12" s="742"/>
      <c r="Z12" s="743"/>
    </row>
    <row r="13" spans="1:26" s="744" customFormat="1" ht="21.75" customHeight="1">
      <c r="A13" s="738">
        <f t="shared" si="0"/>
        <v>3</v>
      </c>
      <c r="B13" s="738" t="s">
        <v>624</v>
      </c>
      <c r="C13" s="739" t="s">
        <v>762</v>
      </c>
      <c r="D13" s="738" t="s">
        <v>625</v>
      </c>
      <c r="E13" s="740">
        <v>1565000</v>
      </c>
      <c r="F13" s="741"/>
      <c r="G13" s="741">
        <v>260000</v>
      </c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  <c r="X13" s="741"/>
      <c r="Y13" s="742"/>
      <c r="Z13" s="743"/>
    </row>
    <row r="14" spans="1:26" s="751" customFormat="1" ht="21.75" customHeight="1">
      <c r="A14" s="745">
        <f t="shared" si="0"/>
        <v>4</v>
      </c>
      <c r="B14" s="738" t="s">
        <v>765</v>
      </c>
      <c r="C14" s="920" t="s">
        <v>763</v>
      </c>
      <c r="D14" s="738" t="s">
        <v>764</v>
      </c>
      <c r="E14" s="740">
        <v>1240000</v>
      </c>
      <c r="F14" s="748"/>
      <c r="G14" s="741">
        <v>260000</v>
      </c>
      <c r="H14" s="748"/>
      <c r="I14" s="748"/>
      <c r="J14" s="748"/>
      <c r="K14" s="748"/>
      <c r="L14" s="748"/>
      <c r="M14" s="748"/>
      <c r="N14" s="748"/>
      <c r="O14" s="748"/>
      <c r="P14" s="748"/>
      <c r="Q14" s="748"/>
      <c r="R14" s="748"/>
      <c r="S14" s="748"/>
      <c r="T14" s="748"/>
      <c r="U14" s="748"/>
      <c r="V14" s="748"/>
      <c r="W14" s="748"/>
      <c r="X14" s="748"/>
      <c r="Y14" s="749"/>
      <c r="Z14" s="750"/>
    </row>
    <row r="15" spans="1:26" s="751" customFormat="1" ht="21.75" customHeight="1">
      <c r="A15" s="745">
        <f t="shared" si="0"/>
        <v>5</v>
      </c>
      <c r="B15" s="746" t="s">
        <v>626</v>
      </c>
      <c r="C15" s="747" t="s">
        <v>766</v>
      </c>
      <c r="D15" s="745" t="s">
        <v>629</v>
      </c>
      <c r="E15" s="748">
        <v>1365000</v>
      </c>
      <c r="F15" s="748"/>
      <c r="G15" s="748">
        <v>260000</v>
      </c>
      <c r="H15" s="748"/>
      <c r="I15" s="748"/>
      <c r="J15" s="748"/>
      <c r="K15" s="748"/>
      <c r="L15" s="748"/>
      <c r="M15" s="748"/>
      <c r="N15" s="748"/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9"/>
      <c r="Z15" s="750"/>
    </row>
    <row r="16" spans="1:26" s="751" customFormat="1" ht="21.75" customHeight="1">
      <c r="A16" s="745">
        <f t="shared" si="0"/>
        <v>6</v>
      </c>
      <c r="B16" s="746" t="s">
        <v>627</v>
      </c>
      <c r="C16" s="747" t="s">
        <v>767</v>
      </c>
      <c r="D16" s="745" t="s">
        <v>629</v>
      </c>
      <c r="E16" s="748">
        <v>1275000</v>
      </c>
      <c r="F16" s="748"/>
      <c r="G16" s="748">
        <v>260000</v>
      </c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9"/>
      <c r="Z16" s="750"/>
    </row>
    <row r="17" spans="1:26" s="751" customFormat="1" ht="21.75" customHeight="1">
      <c r="A17" s="745">
        <f t="shared" si="0"/>
        <v>7</v>
      </c>
      <c r="B17" s="746" t="s">
        <v>628</v>
      </c>
      <c r="C17" s="747" t="s">
        <v>768</v>
      </c>
      <c r="D17" s="745" t="s">
        <v>629</v>
      </c>
      <c r="E17" s="748">
        <v>990000</v>
      </c>
      <c r="F17" s="748"/>
      <c r="G17" s="748">
        <v>260000</v>
      </c>
      <c r="H17" s="748"/>
      <c r="I17" s="748"/>
      <c r="J17" s="748"/>
      <c r="K17" s="748"/>
      <c r="L17" s="748"/>
      <c r="M17" s="748"/>
      <c r="N17" s="748"/>
      <c r="O17" s="748"/>
      <c r="P17" s="748"/>
      <c r="Q17" s="748"/>
      <c r="R17" s="748"/>
      <c r="S17" s="748"/>
      <c r="T17" s="748"/>
      <c r="U17" s="748"/>
      <c r="V17" s="748"/>
      <c r="W17" s="748"/>
      <c r="X17" s="748"/>
      <c r="Y17" s="749"/>
      <c r="Z17" s="750"/>
    </row>
    <row r="18" spans="1:26" s="751" customFormat="1" ht="21.75" customHeight="1">
      <c r="A18" s="745">
        <f t="shared" si="0"/>
        <v>8</v>
      </c>
      <c r="B18" s="746" t="s">
        <v>630</v>
      </c>
      <c r="C18" s="747" t="s">
        <v>769</v>
      </c>
      <c r="D18" s="745" t="s">
        <v>629</v>
      </c>
      <c r="E18" s="748">
        <v>1015000</v>
      </c>
      <c r="F18" s="748"/>
      <c r="G18" s="748">
        <v>260000</v>
      </c>
      <c r="H18" s="748"/>
      <c r="I18" s="748"/>
      <c r="J18" s="748"/>
      <c r="K18" s="748"/>
      <c r="L18" s="748"/>
      <c r="M18" s="748"/>
      <c r="N18" s="748"/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9"/>
      <c r="Z18" s="750"/>
    </row>
    <row r="19" spans="1:26" ht="21.75" customHeight="1">
      <c r="A19" s="738" t="str">
        <f t="shared" si="0"/>
        <v/>
      </c>
      <c r="B19" s="752"/>
      <c r="C19" s="753"/>
      <c r="D19" s="754"/>
      <c r="E19" s="755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333"/>
    </row>
    <row r="20" spans="1:26" ht="21.75" customHeight="1">
      <c r="A20" s="738" t="str">
        <f t="shared" si="0"/>
        <v/>
      </c>
      <c r="B20" s="756"/>
      <c r="C20" s="757"/>
      <c r="D20" s="758"/>
      <c r="E20" s="759"/>
      <c r="F20" s="759"/>
      <c r="G20" s="759"/>
      <c r="H20" s="759"/>
      <c r="I20" s="759"/>
      <c r="J20" s="759"/>
      <c r="K20" s="759"/>
      <c r="L20" s="759"/>
      <c r="M20" s="759"/>
      <c r="N20" s="759"/>
      <c r="O20" s="759"/>
      <c r="P20" s="759"/>
      <c r="Q20" s="759"/>
      <c r="R20" s="759"/>
      <c r="S20" s="759"/>
      <c r="T20" s="759"/>
      <c r="U20" s="759"/>
      <c r="V20" s="759"/>
      <c r="W20" s="759"/>
      <c r="X20" s="759"/>
      <c r="Y20" s="333"/>
    </row>
    <row r="21" spans="1:26" ht="21.75" customHeight="1">
      <c r="A21" s="1104" t="s">
        <v>39</v>
      </c>
      <c r="B21" s="1105"/>
      <c r="C21" s="1105"/>
      <c r="D21" s="760" t="s">
        <v>631</v>
      </c>
      <c r="E21" s="761">
        <f>SUM(E11:E20)</f>
        <v>13205000</v>
      </c>
      <c r="F21" s="761">
        <f>SUM(F11:F20)</f>
        <v>0</v>
      </c>
      <c r="G21" s="761">
        <f>SUM(G11:G20)</f>
        <v>2080000</v>
      </c>
      <c r="H21" s="761">
        <f>SUM(H11:H20)</f>
        <v>0</v>
      </c>
      <c r="I21" s="761"/>
      <c r="J21" s="761">
        <f t="shared" ref="J21:U21" si="1">SUMIF(J$11:J$20,"x",$E$11:$E$20)</f>
        <v>0</v>
      </c>
      <c r="K21" s="761">
        <f t="shared" si="1"/>
        <v>0</v>
      </c>
      <c r="L21" s="761">
        <f t="shared" si="1"/>
        <v>0</v>
      </c>
      <c r="M21" s="761">
        <f t="shared" si="1"/>
        <v>0</v>
      </c>
      <c r="N21" s="761">
        <f t="shared" si="1"/>
        <v>0</v>
      </c>
      <c r="O21" s="761">
        <f t="shared" si="1"/>
        <v>0</v>
      </c>
      <c r="P21" s="761">
        <f t="shared" si="1"/>
        <v>0</v>
      </c>
      <c r="Q21" s="761">
        <f t="shared" si="1"/>
        <v>0</v>
      </c>
      <c r="R21" s="761">
        <f t="shared" si="1"/>
        <v>0</v>
      </c>
      <c r="S21" s="761">
        <f t="shared" si="1"/>
        <v>0</v>
      </c>
      <c r="T21" s="761">
        <f t="shared" si="1"/>
        <v>0</v>
      </c>
      <c r="U21" s="761">
        <f t="shared" si="1"/>
        <v>0</v>
      </c>
      <c r="V21" s="761"/>
      <c r="W21" s="761"/>
      <c r="X21" s="761"/>
      <c r="Y21" s="333"/>
    </row>
    <row r="22" spans="1:26" ht="21.75" customHeight="1">
      <c r="A22" s="1106"/>
      <c r="B22" s="1107"/>
      <c r="C22" s="1107"/>
      <c r="D22" s="760" t="s">
        <v>632</v>
      </c>
      <c r="E22" s="761"/>
      <c r="F22" s="761"/>
      <c r="G22" s="761"/>
      <c r="H22" s="761"/>
      <c r="I22" s="761"/>
      <c r="J22" s="761">
        <f t="array" ref="J22">SUM((J$11:J$20="x")*1)</f>
        <v>0</v>
      </c>
      <c r="K22" s="761">
        <f t="array" ref="K22">SUM((K$11:K$20="x")*1)</f>
        <v>0</v>
      </c>
      <c r="L22" s="761">
        <f t="array" ref="L22">SUM((L$11:L$20="x")*1)</f>
        <v>0</v>
      </c>
      <c r="M22" s="761">
        <f t="array" ref="M22">SUM((M$11:M$20="x")*1)</f>
        <v>0</v>
      </c>
      <c r="N22" s="761">
        <f t="array" ref="N22">SUM((N$11:N$20="x")*1)</f>
        <v>0</v>
      </c>
      <c r="O22" s="761">
        <f t="array" ref="O22">SUM((O$11:O$20="x")*1)</f>
        <v>0</v>
      </c>
      <c r="P22" s="761">
        <f t="array" ref="P22">SUM((P$11:P$20="x")*1)</f>
        <v>0</v>
      </c>
      <c r="Q22" s="761">
        <f t="array" ref="Q22">SUM((Q$11:Q$20="x")*1)</f>
        <v>0</v>
      </c>
      <c r="R22" s="761">
        <f t="array" ref="R22">SUM((R$11:R$20="x")*1)</f>
        <v>0</v>
      </c>
      <c r="S22" s="761">
        <f t="array" ref="S22">SUM((S$11:S$20="x")*1)</f>
        <v>0</v>
      </c>
      <c r="T22" s="761">
        <f t="array" ref="T22">SUM((T$11:T$20="x")*1)</f>
        <v>0</v>
      </c>
      <c r="U22" s="761">
        <f t="array" ref="U22">SUM((U$11:U$20="x")*1)</f>
        <v>0</v>
      </c>
      <c r="V22" s="761"/>
      <c r="W22" s="761"/>
      <c r="X22" s="761"/>
      <c r="Y22" s="333"/>
    </row>
    <row r="23" spans="1:26" ht="21.75" customHeight="1">
      <c r="A23" s="1108"/>
      <c r="B23" s="1109"/>
      <c r="C23" s="1109"/>
      <c r="D23" s="760" t="s">
        <v>633</v>
      </c>
      <c r="E23" s="761"/>
      <c r="F23" s="761"/>
      <c r="G23" s="761"/>
      <c r="H23" s="761"/>
      <c r="I23" s="761"/>
      <c r="J23" s="761"/>
      <c r="K23" s="761"/>
      <c r="L23" s="761"/>
      <c r="M23" s="761"/>
      <c r="N23" s="761"/>
      <c r="O23" s="761"/>
      <c r="P23" s="761"/>
      <c r="Q23" s="761"/>
      <c r="R23" s="761"/>
      <c r="S23" s="761"/>
      <c r="T23" s="761"/>
      <c r="U23" s="761"/>
      <c r="V23" s="761"/>
      <c r="W23" s="761"/>
      <c r="X23" s="761"/>
      <c r="Y23" s="333"/>
    </row>
    <row r="24" spans="1:26" ht="11.25" customHeight="1">
      <c r="A24" s="762"/>
      <c r="B24" s="762"/>
      <c r="C24" s="763"/>
      <c r="D24" s="763"/>
      <c r="E24" s="763"/>
      <c r="F24" s="763"/>
      <c r="G24" s="763"/>
      <c r="H24" s="763"/>
      <c r="I24" s="763"/>
      <c r="J24" s="763"/>
      <c r="K24" s="763"/>
      <c r="L24" s="763"/>
      <c r="M24" s="763"/>
      <c r="N24" s="763"/>
      <c r="O24" s="763"/>
      <c r="P24" s="763"/>
      <c r="Q24" s="763"/>
      <c r="R24" s="763"/>
      <c r="S24" s="763"/>
      <c r="T24" s="763"/>
      <c r="U24" s="763"/>
      <c r="V24" s="763"/>
      <c r="W24" s="763"/>
      <c r="X24" s="763"/>
    </row>
    <row r="25" spans="1:26" ht="11.25" customHeight="1">
      <c r="A25" s="762"/>
      <c r="B25" s="762"/>
      <c r="C25" s="763"/>
      <c r="D25" s="763"/>
      <c r="E25" s="763"/>
      <c r="F25" s="763"/>
      <c r="G25" s="763"/>
      <c r="H25" s="763"/>
      <c r="I25" s="763"/>
      <c r="J25" s="763"/>
      <c r="K25" s="763"/>
      <c r="L25" s="763"/>
      <c r="M25" s="763"/>
      <c r="N25" s="763"/>
      <c r="O25" s="763"/>
      <c r="P25" s="763"/>
      <c r="Q25" s="763"/>
      <c r="R25" s="763"/>
      <c r="S25" s="763"/>
      <c r="T25" s="763"/>
      <c r="U25" s="763"/>
      <c r="V25" s="763"/>
      <c r="W25" s="764" t="s">
        <v>634</v>
      </c>
      <c r="X25" s="763"/>
    </row>
    <row r="26" spans="1:26" ht="16.5" customHeight="1">
      <c r="A26" s="762"/>
      <c r="B26" s="762"/>
      <c r="C26" s="765" t="s">
        <v>635</v>
      </c>
      <c r="D26" s="766"/>
      <c r="E26" s="639"/>
      <c r="F26" s="767"/>
      <c r="G26" s="767"/>
      <c r="H26" s="767"/>
      <c r="I26" s="768"/>
      <c r="J26" s="768">
        <v>8278</v>
      </c>
      <c r="K26" s="769">
        <f>E13/27/8</f>
        <v>7245.3703703703704</v>
      </c>
      <c r="L26" s="768"/>
      <c r="M26" s="768"/>
      <c r="N26" s="768"/>
      <c r="O26" s="768"/>
      <c r="P26" s="768"/>
      <c r="Q26" s="768"/>
      <c r="R26" s="768"/>
      <c r="S26" s="768"/>
      <c r="T26" s="768"/>
      <c r="U26" s="768"/>
      <c r="V26" s="768"/>
      <c r="W26" s="638" t="s">
        <v>109</v>
      </c>
      <c r="X26" s="638"/>
    </row>
    <row r="27" spans="1:26" ht="11.25" customHeight="1">
      <c r="A27" s="762"/>
      <c r="B27" s="762"/>
      <c r="C27" s="765"/>
      <c r="D27" s="766"/>
      <c r="E27" s="639"/>
      <c r="F27" s="767"/>
      <c r="G27" s="767"/>
      <c r="H27" s="767"/>
      <c r="I27" s="768"/>
      <c r="J27" s="768"/>
      <c r="K27" s="768">
        <f>J26/K26</f>
        <v>1.1425226837060702</v>
      </c>
      <c r="L27" s="768"/>
      <c r="M27" s="768"/>
      <c r="N27" s="768"/>
      <c r="O27" s="768"/>
      <c r="P27" s="768"/>
      <c r="Q27" s="768"/>
      <c r="R27" s="768"/>
      <c r="S27" s="768"/>
      <c r="T27" s="768"/>
      <c r="U27" s="768"/>
      <c r="V27" s="768"/>
      <c r="W27" s="638"/>
      <c r="X27" s="638"/>
    </row>
    <row r="28" spans="1:26" ht="11.25" customHeight="1">
      <c r="A28" s="762"/>
      <c r="B28" s="762"/>
      <c r="C28" s="765"/>
      <c r="D28" s="766"/>
      <c r="E28" s="639"/>
      <c r="F28" s="767"/>
      <c r="G28" s="767"/>
      <c r="H28" s="767"/>
      <c r="I28" s="768"/>
      <c r="J28" s="768"/>
      <c r="K28" s="768"/>
      <c r="L28" s="768"/>
      <c r="M28" s="768"/>
      <c r="N28" s="768"/>
      <c r="O28" s="768"/>
      <c r="P28" s="768"/>
      <c r="Q28" s="768"/>
      <c r="R28" s="768"/>
      <c r="S28" s="768"/>
      <c r="T28" s="768"/>
      <c r="U28" s="768"/>
      <c r="V28" s="768"/>
      <c r="W28" s="638"/>
      <c r="X28" s="638"/>
    </row>
    <row r="29" spans="1:26" ht="11.25" customHeight="1">
      <c r="A29" s="762"/>
      <c r="B29" s="762"/>
      <c r="C29" s="765"/>
      <c r="D29" s="766"/>
      <c r="E29" s="639"/>
      <c r="F29" s="767"/>
      <c r="G29" s="767"/>
      <c r="H29" s="767"/>
      <c r="I29" s="768"/>
      <c r="J29" s="768"/>
      <c r="K29" s="768"/>
      <c r="L29" s="768"/>
      <c r="M29" s="768"/>
      <c r="N29" s="768"/>
      <c r="O29" s="768"/>
      <c r="P29" s="768"/>
      <c r="Q29" s="768"/>
      <c r="R29" s="768"/>
      <c r="S29" s="768"/>
      <c r="T29" s="768"/>
      <c r="U29" s="768"/>
      <c r="V29" s="768"/>
      <c r="W29" s="638"/>
      <c r="X29" s="638"/>
    </row>
    <row r="30" spans="1:26" ht="11.25" customHeight="1">
      <c r="A30" s="762"/>
      <c r="B30" s="762"/>
      <c r="C30" s="765"/>
      <c r="D30" s="766"/>
      <c r="E30" s="639"/>
      <c r="F30" s="767"/>
      <c r="G30" s="767"/>
      <c r="H30" s="767"/>
      <c r="I30" s="768"/>
      <c r="J30" s="768"/>
      <c r="K30" s="768"/>
      <c r="L30" s="768"/>
      <c r="M30" s="768"/>
      <c r="N30" s="768"/>
      <c r="O30" s="768"/>
      <c r="P30" s="768"/>
      <c r="Q30" s="768"/>
      <c r="R30" s="768"/>
      <c r="S30" s="768"/>
      <c r="T30" s="768"/>
      <c r="U30" s="768"/>
      <c r="V30" s="768"/>
      <c r="W30" s="638"/>
      <c r="X30" s="638"/>
    </row>
    <row r="31" spans="1:26" ht="11.25" customHeight="1">
      <c r="A31" s="762"/>
      <c r="B31" s="762"/>
      <c r="C31" s="765"/>
      <c r="D31" s="766"/>
      <c r="E31" s="639"/>
      <c r="F31" s="767"/>
      <c r="G31" s="767"/>
      <c r="H31" s="767"/>
      <c r="I31" s="768"/>
      <c r="J31" s="768"/>
      <c r="K31" s="768"/>
      <c r="L31" s="768"/>
      <c r="M31" s="768"/>
      <c r="N31" s="768"/>
      <c r="O31" s="768"/>
      <c r="P31" s="768"/>
      <c r="Q31" s="768"/>
      <c r="R31" s="768"/>
      <c r="S31" s="768"/>
      <c r="T31" s="768"/>
      <c r="U31" s="768"/>
      <c r="V31" s="768"/>
      <c r="W31" s="638"/>
      <c r="X31" s="638"/>
    </row>
    <row r="32" spans="1:26" s="416" customFormat="1">
      <c r="A32" s="770"/>
      <c r="B32" s="770"/>
      <c r="C32" s="771" t="s">
        <v>636</v>
      </c>
      <c r="D32" s="766"/>
      <c r="E32" s="639"/>
      <c r="F32" s="767"/>
      <c r="G32" s="767"/>
      <c r="H32" s="767"/>
      <c r="I32" s="768"/>
      <c r="J32" s="772"/>
      <c r="K32" s="772"/>
      <c r="L32" s="772"/>
      <c r="M32" s="772"/>
      <c r="N32" s="772"/>
      <c r="O32" s="772"/>
      <c r="P32" s="772"/>
      <c r="Q32" s="772"/>
      <c r="R32" s="772"/>
      <c r="S32" s="772"/>
      <c r="T32" s="772"/>
      <c r="U32" s="772"/>
      <c r="V32" s="772"/>
      <c r="W32" s="773"/>
      <c r="X32" s="774"/>
    </row>
    <row r="33" spans="1:24" s="416" customFormat="1" ht="9" customHeight="1">
      <c r="A33" s="730"/>
      <c r="B33" s="730"/>
      <c r="C33" s="775"/>
      <c r="D33" s="775"/>
      <c r="E33" s="639"/>
      <c r="F33" s="776"/>
      <c r="G33" s="776"/>
      <c r="H33" s="776"/>
      <c r="I33" s="775"/>
      <c r="J33" s="775"/>
      <c r="K33" s="775"/>
      <c r="L33" s="775"/>
      <c r="M33" s="775"/>
      <c r="N33" s="775"/>
      <c r="O33" s="775"/>
      <c r="P33" s="775"/>
      <c r="Q33" s="775"/>
      <c r="R33" s="775"/>
      <c r="S33" s="775"/>
      <c r="T33" s="775"/>
      <c r="U33" s="775"/>
      <c r="V33" s="775"/>
      <c r="W33" s="777"/>
      <c r="X33" s="777"/>
    </row>
    <row r="34" spans="1:24" s="416" customFormat="1">
      <c r="A34" s="730"/>
      <c r="B34" s="730"/>
      <c r="C34" s="730"/>
      <c r="D34" s="730"/>
      <c r="E34" s="639"/>
      <c r="F34" s="731"/>
      <c r="G34" s="731"/>
      <c r="H34" s="731"/>
      <c r="I34" s="730"/>
      <c r="J34" s="730"/>
      <c r="K34" s="730"/>
      <c r="L34" s="730"/>
      <c r="M34" s="730"/>
      <c r="N34" s="730"/>
      <c r="O34" s="730"/>
      <c r="P34" s="730"/>
      <c r="Q34" s="730"/>
      <c r="R34" s="730"/>
      <c r="S34" s="730"/>
      <c r="T34" s="730"/>
      <c r="U34" s="730"/>
      <c r="V34" s="730"/>
    </row>
    <row r="35" spans="1:24" s="416" customFormat="1">
      <c r="A35" s="730"/>
      <c r="B35" s="730"/>
      <c r="C35" s="730"/>
      <c r="D35" s="730"/>
      <c r="E35" s="639"/>
      <c r="F35" s="731"/>
      <c r="G35" s="731"/>
      <c r="H35" s="731"/>
      <c r="I35" s="730"/>
      <c r="J35" s="730"/>
      <c r="K35" s="730"/>
      <c r="L35" s="730"/>
      <c r="M35" s="730"/>
      <c r="N35" s="730"/>
      <c r="O35" s="730"/>
      <c r="P35" s="730"/>
      <c r="Q35" s="730"/>
      <c r="R35" s="730"/>
      <c r="S35" s="730"/>
      <c r="T35" s="730"/>
      <c r="U35" s="730"/>
      <c r="V35" s="730"/>
    </row>
    <row r="48" spans="1:24">
      <c r="C48" s="778"/>
      <c r="G48" s="747" t="s">
        <v>637</v>
      </c>
      <c r="J48" s="730" t="s">
        <v>638</v>
      </c>
      <c r="K48" s="730" t="s">
        <v>637</v>
      </c>
      <c r="M48" s="730" t="str">
        <f>VLOOKUP(K48,$G$48:$J$107,4,0)</f>
        <v>ALTP001</v>
      </c>
      <c r="N48" s="1093" t="str">
        <f>M48</f>
        <v>ALTP001</v>
      </c>
    </row>
    <row r="49" spans="3:14">
      <c r="C49" s="778"/>
      <c r="G49" s="747" t="s">
        <v>639</v>
      </c>
      <c r="J49" s="730" t="s">
        <v>640</v>
      </c>
      <c r="K49" s="730" t="s">
        <v>639</v>
      </c>
      <c r="M49" s="730" t="str">
        <f t="shared" ref="M49:M78" si="2">VLOOKUP(K49,$G$48:$J$107,4,0)</f>
        <v>ALTP002</v>
      </c>
      <c r="N49" s="1093"/>
    </row>
    <row r="50" spans="3:14">
      <c r="C50" s="778"/>
      <c r="G50" s="747" t="s">
        <v>641</v>
      </c>
      <c r="J50" s="730" t="s">
        <v>642</v>
      </c>
      <c r="K50" s="730" t="s">
        <v>641</v>
      </c>
      <c r="M50" s="730" t="str">
        <f t="shared" si="2"/>
        <v>ALTP003</v>
      </c>
      <c r="N50" s="1093" t="str">
        <f>M49</f>
        <v>ALTP002</v>
      </c>
    </row>
    <row r="51" spans="3:14">
      <c r="C51" s="778"/>
      <c r="G51" s="747" t="s">
        <v>643</v>
      </c>
      <c r="J51" s="730" t="s">
        <v>644</v>
      </c>
      <c r="K51" s="730" t="s">
        <v>643</v>
      </c>
      <c r="M51" s="730" t="str">
        <f t="shared" si="2"/>
        <v>ALTP004</v>
      </c>
      <c r="N51" s="1093"/>
    </row>
    <row r="52" spans="3:14">
      <c r="C52" s="778"/>
      <c r="G52" s="747" t="s">
        <v>645</v>
      </c>
      <c r="J52" s="730" t="s">
        <v>646</v>
      </c>
      <c r="K52" s="730" t="s">
        <v>645</v>
      </c>
      <c r="M52" s="730" t="str">
        <f t="shared" si="2"/>
        <v>ALTP005</v>
      </c>
      <c r="N52" s="1093" t="str">
        <f>M50</f>
        <v>ALTP003</v>
      </c>
    </row>
    <row r="53" spans="3:14">
      <c r="C53" s="778"/>
      <c r="G53" s="747" t="s">
        <v>647</v>
      </c>
      <c r="J53" s="730" t="s">
        <v>648</v>
      </c>
      <c r="K53" s="730" t="s">
        <v>647</v>
      </c>
      <c r="M53" s="730" t="str">
        <f t="shared" si="2"/>
        <v>ALTP006</v>
      </c>
      <c r="N53" s="1093"/>
    </row>
    <row r="54" spans="3:14">
      <c r="C54" s="778"/>
      <c r="G54" s="747" t="s">
        <v>649</v>
      </c>
      <c r="J54" s="730" t="s">
        <v>650</v>
      </c>
      <c r="K54" s="730" t="s">
        <v>649</v>
      </c>
      <c r="M54" s="730" t="str">
        <f t="shared" si="2"/>
        <v>ALTP007</v>
      </c>
      <c r="N54" s="1093" t="str">
        <f>M51</f>
        <v>ALTP004</v>
      </c>
    </row>
    <row r="55" spans="3:14">
      <c r="C55" s="778"/>
      <c r="G55" s="747" t="s">
        <v>651</v>
      </c>
      <c r="J55" s="730" t="s">
        <v>652</v>
      </c>
      <c r="K55" s="730" t="s">
        <v>651</v>
      </c>
      <c r="M55" s="730" t="str">
        <f t="shared" si="2"/>
        <v>ALTP008</v>
      </c>
      <c r="N55" s="1093"/>
    </row>
    <row r="56" spans="3:14">
      <c r="C56" s="778"/>
      <c r="G56" s="747" t="s">
        <v>653</v>
      </c>
      <c r="J56" s="730" t="s">
        <v>654</v>
      </c>
      <c r="K56" s="730" t="s">
        <v>653</v>
      </c>
      <c r="M56" s="730" t="str">
        <f t="shared" si="2"/>
        <v>ALTP009</v>
      </c>
      <c r="N56" s="1093" t="str">
        <f>M52</f>
        <v>ALTP005</v>
      </c>
    </row>
    <row r="57" spans="3:14">
      <c r="C57" s="778"/>
      <c r="G57" s="747" t="s">
        <v>655</v>
      </c>
      <c r="J57" s="730" t="s">
        <v>656</v>
      </c>
      <c r="K57" s="730" t="s">
        <v>655</v>
      </c>
      <c r="M57" s="730" t="str">
        <f t="shared" si="2"/>
        <v>ALTP010</v>
      </c>
      <c r="N57" s="1093"/>
    </row>
    <row r="58" spans="3:14">
      <c r="C58" s="778"/>
      <c r="G58" s="747" t="s">
        <v>657</v>
      </c>
      <c r="J58" s="730" t="s">
        <v>658</v>
      </c>
      <c r="K58" s="730" t="s">
        <v>657</v>
      </c>
      <c r="M58" s="730" t="str">
        <f t="shared" si="2"/>
        <v>ALTP011</v>
      </c>
      <c r="N58" s="1093" t="str">
        <f>M53</f>
        <v>ALTP006</v>
      </c>
    </row>
    <row r="59" spans="3:14">
      <c r="C59" s="778"/>
      <c r="G59" s="747" t="s">
        <v>659</v>
      </c>
      <c r="J59" s="730" t="s">
        <v>660</v>
      </c>
      <c r="K59" s="730" t="s">
        <v>661</v>
      </c>
      <c r="M59" s="730" t="str">
        <f t="shared" si="2"/>
        <v>ALTP013</v>
      </c>
      <c r="N59" s="1093"/>
    </row>
    <row r="60" spans="3:14">
      <c r="C60" s="778"/>
      <c r="G60" s="747" t="s">
        <v>661</v>
      </c>
      <c r="J60" s="730" t="s">
        <v>662</v>
      </c>
      <c r="K60" s="730" t="s">
        <v>663</v>
      </c>
      <c r="M60" s="730" t="str">
        <f t="shared" si="2"/>
        <v>ALTP014</v>
      </c>
      <c r="N60" s="1093" t="str">
        <f>M54</f>
        <v>ALTP007</v>
      </c>
    </row>
    <row r="61" spans="3:14">
      <c r="C61" s="778"/>
      <c r="G61" s="747" t="s">
        <v>663</v>
      </c>
      <c r="J61" s="730" t="s">
        <v>664</v>
      </c>
      <c r="K61" s="730" t="s">
        <v>665</v>
      </c>
      <c r="M61" s="730" t="str">
        <f t="shared" si="2"/>
        <v>ALTP015</v>
      </c>
      <c r="N61" s="1093"/>
    </row>
    <row r="62" spans="3:14">
      <c r="C62" s="778"/>
      <c r="G62" s="747" t="s">
        <v>665</v>
      </c>
      <c r="J62" s="730" t="s">
        <v>666</v>
      </c>
      <c r="K62" s="730" t="s">
        <v>667</v>
      </c>
      <c r="M62" s="730" t="str">
        <f t="shared" si="2"/>
        <v>ALTP016</v>
      </c>
      <c r="N62" s="1093" t="str">
        <f>M55</f>
        <v>ALTP008</v>
      </c>
    </row>
    <row r="63" spans="3:14">
      <c r="C63" s="778"/>
      <c r="G63" s="747" t="s">
        <v>667</v>
      </c>
      <c r="J63" s="730" t="s">
        <v>668</v>
      </c>
      <c r="K63" s="730" t="s">
        <v>669</v>
      </c>
      <c r="M63" s="730" t="str">
        <f t="shared" si="2"/>
        <v>ALTP017</v>
      </c>
      <c r="N63" s="1093"/>
    </row>
    <row r="64" spans="3:14">
      <c r="C64" s="778"/>
      <c r="G64" s="747" t="s">
        <v>669</v>
      </c>
      <c r="J64" s="730" t="s">
        <v>670</v>
      </c>
      <c r="K64" s="730" t="s">
        <v>671</v>
      </c>
      <c r="M64" s="730" t="str">
        <f t="shared" si="2"/>
        <v>ALTP018</v>
      </c>
      <c r="N64" s="1093" t="str">
        <f>M56</f>
        <v>ALTP009</v>
      </c>
    </row>
    <row r="65" spans="3:14">
      <c r="C65" s="778"/>
      <c r="G65" s="747" t="s">
        <v>671</v>
      </c>
      <c r="J65" s="730" t="s">
        <v>672</v>
      </c>
      <c r="K65" s="730" t="s">
        <v>673</v>
      </c>
      <c r="M65" s="730" t="str">
        <f t="shared" si="2"/>
        <v>ALTP019</v>
      </c>
      <c r="N65" s="1093"/>
    </row>
    <row r="66" spans="3:14">
      <c r="C66" s="778"/>
      <c r="G66" s="747" t="s">
        <v>673</v>
      </c>
      <c r="J66" s="730" t="s">
        <v>674</v>
      </c>
      <c r="K66" s="730" t="s">
        <v>675</v>
      </c>
      <c r="M66" s="730" t="str">
        <f t="shared" si="2"/>
        <v>ALTP020</v>
      </c>
      <c r="N66" s="1093" t="str">
        <f>M57</f>
        <v>ALTP010</v>
      </c>
    </row>
    <row r="67" spans="3:14">
      <c r="C67" s="778"/>
      <c r="G67" s="747" t="s">
        <v>675</v>
      </c>
      <c r="J67" s="730" t="s">
        <v>676</v>
      </c>
      <c r="K67" s="730" t="s">
        <v>677</v>
      </c>
      <c r="M67" s="730" t="str">
        <f t="shared" si="2"/>
        <v>ALTP025</v>
      </c>
      <c r="N67" s="1093"/>
    </row>
    <row r="68" spans="3:14">
      <c r="C68" s="778"/>
      <c r="G68" s="747" t="s">
        <v>678</v>
      </c>
      <c r="J68" s="730" t="s">
        <v>679</v>
      </c>
      <c r="K68" s="730" t="s">
        <v>680</v>
      </c>
      <c r="M68" s="730" t="str">
        <f t="shared" si="2"/>
        <v>ALTP027</v>
      </c>
      <c r="N68" s="1093" t="str">
        <f>M58</f>
        <v>ALTP011</v>
      </c>
    </row>
    <row r="69" spans="3:14">
      <c r="C69" s="778"/>
      <c r="G69" s="747" t="s">
        <v>681</v>
      </c>
      <c r="J69" s="730" t="s">
        <v>682</v>
      </c>
      <c r="K69" s="730" t="s">
        <v>683</v>
      </c>
      <c r="M69" s="730" t="str">
        <f t="shared" si="2"/>
        <v>ALTN001</v>
      </c>
      <c r="N69" s="1093"/>
    </row>
    <row r="70" spans="3:14">
      <c r="C70" s="778"/>
      <c r="G70" s="747" t="s">
        <v>680</v>
      </c>
      <c r="J70" s="730" t="s">
        <v>684</v>
      </c>
      <c r="K70" s="730" t="s">
        <v>685</v>
      </c>
      <c r="M70" s="730" t="str">
        <f t="shared" si="2"/>
        <v>ALTN002</v>
      </c>
      <c r="N70" s="1093" t="str">
        <f>M59</f>
        <v>ALTP013</v>
      </c>
    </row>
    <row r="71" spans="3:14">
      <c r="C71" s="778"/>
      <c r="G71" s="730" t="s">
        <v>686</v>
      </c>
      <c r="J71" s="730" t="s">
        <v>687</v>
      </c>
      <c r="K71" s="730" t="s">
        <v>688</v>
      </c>
      <c r="M71" s="730" t="str">
        <f t="shared" si="2"/>
        <v>ALTN003</v>
      </c>
      <c r="N71" s="1093"/>
    </row>
    <row r="72" spans="3:14">
      <c r="C72" s="778"/>
      <c r="G72" s="730" t="s">
        <v>689</v>
      </c>
      <c r="J72" s="730" t="s">
        <v>690</v>
      </c>
      <c r="K72" s="730" t="s">
        <v>691</v>
      </c>
      <c r="M72" s="730" t="str">
        <f t="shared" si="2"/>
        <v>ALTN004</v>
      </c>
      <c r="N72" s="1093" t="str">
        <f>M60</f>
        <v>ALTP014</v>
      </c>
    </row>
    <row r="73" spans="3:14">
      <c r="C73" s="778"/>
      <c r="G73" s="730" t="s">
        <v>677</v>
      </c>
      <c r="J73" s="730" t="s">
        <v>692</v>
      </c>
      <c r="K73" s="730" t="s">
        <v>693</v>
      </c>
      <c r="M73" s="730" t="str">
        <f t="shared" si="2"/>
        <v>ALTN006</v>
      </c>
      <c r="N73" s="1093"/>
    </row>
    <row r="74" spans="3:14">
      <c r="C74" s="778"/>
      <c r="G74" s="730" t="s">
        <v>694</v>
      </c>
      <c r="J74" s="730" t="s">
        <v>695</v>
      </c>
      <c r="K74" s="730" t="s">
        <v>696</v>
      </c>
      <c r="M74" s="730" t="str">
        <f t="shared" si="2"/>
        <v>ALTN007</v>
      </c>
      <c r="N74" s="1093" t="str">
        <f>M61</f>
        <v>ALTP015</v>
      </c>
    </row>
    <row r="75" spans="3:14">
      <c r="C75" s="778"/>
      <c r="G75" s="730" t="s">
        <v>683</v>
      </c>
      <c r="J75" s="730" t="s">
        <v>697</v>
      </c>
      <c r="K75" s="730" t="s">
        <v>698</v>
      </c>
      <c r="M75" s="730" t="str">
        <f t="shared" si="2"/>
        <v>ALTN008</v>
      </c>
      <c r="N75" s="1093"/>
    </row>
    <row r="76" spans="3:14">
      <c r="C76" s="778"/>
      <c r="G76" s="730" t="s">
        <v>685</v>
      </c>
      <c r="J76" s="730" t="s">
        <v>699</v>
      </c>
      <c r="K76" s="730" t="s">
        <v>700</v>
      </c>
      <c r="M76" s="730" t="str">
        <f t="shared" si="2"/>
        <v>ALTN009</v>
      </c>
      <c r="N76" s="1093" t="str">
        <f>M62</f>
        <v>ALTP016</v>
      </c>
    </row>
    <row r="77" spans="3:14">
      <c r="C77" s="778"/>
      <c r="G77" s="730" t="s">
        <v>688</v>
      </c>
      <c r="J77" s="730" t="s">
        <v>701</v>
      </c>
      <c r="K77" s="730" t="s">
        <v>702</v>
      </c>
      <c r="M77" s="730" t="str">
        <f t="shared" si="2"/>
        <v>ALTN010</v>
      </c>
      <c r="N77" s="1093"/>
    </row>
    <row r="78" spans="3:14">
      <c r="C78" s="778"/>
      <c r="G78" s="730" t="s">
        <v>691</v>
      </c>
      <c r="J78" s="730" t="s">
        <v>703</v>
      </c>
      <c r="K78" s="730" t="s">
        <v>704</v>
      </c>
      <c r="M78" s="730" t="str">
        <f t="shared" si="2"/>
        <v>ALTN011</v>
      </c>
      <c r="N78" s="1093" t="str">
        <f>M63</f>
        <v>ALTP017</v>
      </c>
    </row>
    <row r="79" spans="3:14">
      <c r="C79" s="778"/>
      <c r="G79" s="730" t="s">
        <v>705</v>
      </c>
      <c r="J79" s="730" t="s">
        <v>706</v>
      </c>
      <c r="N79" s="1093"/>
    </row>
    <row r="80" spans="3:14">
      <c r="C80" s="778"/>
      <c r="G80" s="731" t="s">
        <v>693</v>
      </c>
      <c r="J80" s="730" t="s">
        <v>707</v>
      </c>
      <c r="N80" s="1093" t="str">
        <f>M64</f>
        <v>ALTP018</v>
      </c>
    </row>
    <row r="81" spans="3:14">
      <c r="C81" s="778"/>
      <c r="G81" s="731" t="s">
        <v>696</v>
      </c>
      <c r="J81" s="730" t="s">
        <v>708</v>
      </c>
      <c r="N81" s="1093"/>
    </row>
    <row r="82" spans="3:14">
      <c r="C82" s="778"/>
      <c r="G82" s="731" t="s">
        <v>698</v>
      </c>
      <c r="J82" s="730" t="s">
        <v>709</v>
      </c>
      <c r="N82" s="1093" t="str">
        <f>M65</f>
        <v>ALTP019</v>
      </c>
    </row>
    <row r="83" spans="3:14">
      <c r="C83" s="778"/>
      <c r="G83" s="731" t="s">
        <v>700</v>
      </c>
      <c r="J83" s="730" t="s">
        <v>710</v>
      </c>
      <c r="N83" s="1093"/>
    </row>
    <row r="84" spans="3:14">
      <c r="C84" s="778"/>
      <c r="G84" s="731" t="s">
        <v>702</v>
      </c>
      <c r="J84" s="730" t="s">
        <v>711</v>
      </c>
      <c r="N84" s="1093" t="str">
        <f>M66</f>
        <v>ALTP020</v>
      </c>
    </row>
    <row r="85" spans="3:14">
      <c r="C85" s="778"/>
      <c r="G85" s="731" t="s">
        <v>704</v>
      </c>
      <c r="J85" s="730" t="s">
        <v>712</v>
      </c>
      <c r="N85" s="1093"/>
    </row>
    <row r="86" spans="3:14">
      <c r="C86" s="778"/>
      <c r="N86" s="1093" t="str">
        <f>M67</f>
        <v>ALTP025</v>
      </c>
    </row>
    <row r="87" spans="3:14">
      <c r="C87" s="778"/>
      <c r="N87" s="1093"/>
    </row>
    <row r="88" spans="3:14">
      <c r="C88" s="778"/>
      <c r="N88" s="1093" t="str">
        <f>M68</f>
        <v>ALTP027</v>
      </c>
    </row>
    <row r="89" spans="3:14">
      <c r="C89" s="778"/>
      <c r="N89" s="1093"/>
    </row>
    <row r="90" spans="3:14">
      <c r="C90" s="778"/>
      <c r="N90" s="1093" t="str">
        <f>M69</f>
        <v>ALTN001</v>
      </c>
    </row>
    <row r="91" spans="3:14">
      <c r="C91" s="778"/>
      <c r="N91" s="1093"/>
    </row>
    <row r="92" spans="3:14">
      <c r="C92" s="778"/>
      <c r="N92" s="1093" t="str">
        <f>M70</f>
        <v>ALTN002</v>
      </c>
    </row>
    <row r="93" spans="3:14">
      <c r="C93" s="778"/>
      <c r="N93" s="1093"/>
    </row>
    <row r="94" spans="3:14">
      <c r="C94" s="778"/>
      <c r="N94" s="1093" t="str">
        <f>M71</f>
        <v>ALTN003</v>
      </c>
    </row>
    <row r="95" spans="3:14">
      <c r="C95" s="778"/>
      <c r="N95" s="1093"/>
    </row>
    <row r="96" spans="3:14">
      <c r="C96" s="778"/>
      <c r="N96" s="1093" t="str">
        <f>M72</f>
        <v>ALTN004</v>
      </c>
    </row>
    <row r="97" spans="3:14">
      <c r="C97" s="778"/>
      <c r="N97" s="1093"/>
    </row>
    <row r="98" spans="3:14">
      <c r="C98" s="778"/>
      <c r="N98" s="1093" t="str">
        <f>M73</f>
        <v>ALTN006</v>
      </c>
    </row>
    <row r="99" spans="3:14">
      <c r="C99" s="778"/>
      <c r="N99" s="1093"/>
    </row>
    <row r="100" spans="3:14">
      <c r="C100" s="778"/>
      <c r="N100" s="1093" t="str">
        <f>M74</f>
        <v>ALTN007</v>
      </c>
    </row>
    <row r="101" spans="3:14">
      <c r="C101" s="778"/>
      <c r="N101" s="1093"/>
    </row>
    <row r="102" spans="3:14">
      <c r="C102" s="778"/>
      <c r="N102" s="1093" t="str">
        <f>M75</f>
        <v>ALTN008</v>
      </c>
    </row>
    <row r="103" spans="3:14">
      <c r="C103" s="778"/>
      <c r="N103" s="1093"/>
    </row>
    <row r="104" spans="3:14">
      <c r="C104" s="778"/>
      <c r="N104" s="1093" t="str">
        <f>M76</f>
        <v>ALTN009</v>
      </c>
    </row>
    <row r="105" spans="3:14">
      <c r="C105" s="778"/>
      <c r="N105" s="1093"/>
    </row>
    <row r="106" spans="3:14">
      <c r="C106" s="778"/>
      <c r="N106" s="1093" t="str">
        <f>M77</f>
        <v>ALTN010</v>
      </c>
    </row>
    <row r="107" spans="3:14">
      <c r="C107" s="778"/>
      <c r="N107" s="1093"/>
    </row>
    <row r="108" spans="3:14">
      <c r="C108" s="778"/>
      <c r="N108" s="1093" t="str">
        <f>M78</f>
        <v>ALTN011</v>
      </c>
    </row>
    <row r="109" spans="3:14">
      <c r="C109" s="778"/>
      <c r="N109" s="1093"/>
    </row>
  </sheetData>
  <protectedRanges>
    <protectedRange password="CC78" sqref="E36:E65337 C33:D65337 W8:W9 B24:B65337 C19:D23 F33:JG47 F99:M99 Y8:JG12 F48 H48:J48 L48:JG48 L49:L75 F86:L98 N49:JG99 M49:M78 F100:JG65337 K76:L85 F49:J69 F71:J85 F70 H70:J70 F8:H8 J19:JG23 J11:X12 J13:JG13 V14:JG18 A8:A65337 B8:D9 B10:X10 E11:H23" name="Range1_12"/>
    <protectedRange password="CC78" sqref="C26:C31 E33:E35 W26:JG31 D26:H32" name="Range1_1_1"/>
    <protectedRange password="CC78" sqref="C32 W32:JG32" name="Range1_3_1"/>
    <protectedRange password="CC78" sqref="A5:JG7" name="Range1_2_1"/>
    <protectedRange password="CC78" sqref="I8:V9 I11:I23" name="Range1_3_2"/>
    <protectedRange password="CC78" sqref="B19:B23" name="Range1_1_2"/>
    <protectedRange password="CC78" sqref="E8:E9 F9" name="Range1_4_1"/>
    <protectedRange password="CC78" sqref="B15:B18" name="Range1_6_1"/>
    <protectedRange password="CC78" sqref="D14:D18" name="Range1_7_1"/>
    <protectedRange password="CC78" sqref="J11:U18" name="Range1_11_1"/>
  </protectedRanges>
  <autoFilter ref="A10:Z18"/>
  <mergeCells count="45">
    <mergeCell ref="N100:N101"/>
    <mergeCell ref="N102:N103"/>
    <mergeCell ref="N104:N105"/>
    <mergeCell ref="N106:N107"/>
    <mergeCell ref="N108:N109"/>
    <mergeCell ref="N74:N75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62:N63"/>
    <mergeCell ref="N96:N97"/>
    <mergeCell ref="N98:N99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50:N51"/>
    <mergeCell ref="E8:F9"/>
    <mergeCell ref="A5:X5"/>
    <mergeCell ref="A6:X6"/>
    <mergeCell ref="A8:A9"/>
    <mergeCell ref="B8:B9"/>
    <mergeCell ref="C8:C9"/>
    <mergeCell ref="D8:D9"/>
    <mergeCell ref="G8:H8"/>
    <mergeCell ref="I8:I9"/>
    <mergeCell ref="J8:U8"/>
    <mergeCell ref="V8:V9"/>
    <mergeCell ref="W8:W9"/>
    <mergeCell ref="X8:X9"/>
    <mergeCell ref="A21:C23"/>
    <mergeCell ref="N48:N49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12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5" width="3.42578125" style="839" customWidth="1"/>
    <col min="36" max="36" width="3.42578125" style="839" hidden="1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09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10" t="s">
        <v>713</v>
      </c>
      <c r="AN1" s="1111"/>
      <c r="AO1" s="1111"/>
      <c r="AP1" s="1111"/>
      <c r="AQ1" s="1111"/>
      <c r="AR1" s="1111"/>
      <c r="AS1" s="1112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41153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800">
        <f>+E4</f>
        <v>41153</v>
      </c>
      <c r="G5" s="800">
        <f t="shared" ref="G5:AJ5" si="0">F5+1</f>
        <v>41154</v>
      </c>
      <c r="H5" s="800">
        <f t="shared" si="0"/>
        <v>41155</v>
      </c>
      <c r="I5" s="800">
        <f t="shared" si="0"/>
        <v>41156</v>
      </c>
      <c r="J5" s="800">
        <f t="shared" si="0"/>
        <v>41157</v>
      </c>
      <c r="K5" s="800">
        <f t="shared" si="0"/>
        <v>41158</v>
      </c>
      <c r="L5" s="800">
        <f t="shared" si="0"/>
        <v>41159</v>
      </c>
      <c r="M5" s="800">
        <f t="shared" si="0"/>
        <v>41160</v>
      </c>
      <c r="N5" s="800">
        <f t="shared" si="0"/>
        <v>41161</v>
      </c>
      <c r="O5" s="800">
        <f t="shared" si="0"/>
        <v>41162</v>
      </c>
      <c r="P5" s="800">
        <f t="shared" si="0"/>
        <v>41163</v>
      </c>
      <c r="Q5" s="800">
        <f t="shared" si="0"/>
        <v>41164</v>
      </c>
      <c r="R5" s="800">
        <f t="shared" si="0"/>
        <v>41165</v>
      </c>
      <c r="S5" s="800">
        <f t="shared" si="0"/>
        <v>41166</v>
      </c>
      <c r="T5" s="800">
        <f t="shared" si="0"/>
        <v>41167</v>
      </c>
      <c r="U5" s="800">
        <f t="shared" si="0"/>
        <v>41168</v>
      </c>
      <c r="V5" s="800">
        <f t="shared" si="0"/>
        <v>41169</v>
      </c>
      <c r="W5" s="800">
        <f t="shared" si="0"/>
        <v>41170</v>
      </c>
      <c r="X5" s="800">
        <f t="shared" si="0"/>
        <v>41171</v>
      </c>
      <c r="Y5" s="800">
        <f t="shared" si="0"/>
        <v>41172</v>
      </c>
      <c r="Z5" s="800">
        <f t="shared" si="0"/>
        <v>41173</v>
      </c>
      <c r="AA5" s="800">
        <f t="shared" si="0"/>
        <v>41174</v>
      </c>
      <c r="AB5" s="800">
        <f t="shared" si="0"/>
        <v>41175</v>
      </c>
      <c r="AC5" s="800">
        <f t="shared" si="0"/>
        <v>41176</v>
      </c>
      <c r="AD5" s="800">
        <f t="shared" si="0"/>
        <v>41177</v>
      </c>
      <c r="AE5" s="800">
        <f t="shared" si="0"/>
        <v>41178</v>
      </c>
      <c r="AF5" s="800">
        <f t="shared" si="0"/>
        <v>41179</v>
      </c>
      <c r="AG5" s="800">
        <f t="shared" si="0"/>
        <v>41180</v>
      </c>
      <c r="AH5" s="800">
        <f>AG5+1</f>
        <v>41181</v>
      </c>
      <c r="AI5" s="800">
        <f t="shared" si="0"/>
        <v>41182</v>
      </c>
      <c r="AJ5" s="800">
        <f t="shared" si="0"/>
        <v>41183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14"/>
      <c r="B6" s="1114"/>
      <c r="C6" s="1114"/>
      <c r="D6" s="1114"/>
      <c r="E6" s="1114"/>
      <c r="F6" s="802" t="str">
        <f>CHOOSE(WEEKDAY(F5),"C.Nhật","T.Hai","T.Ba","T.Tư","T.Năm","T.Sáu","T.Bảy")</f>
        <v>T.Bảy</v>
      </c>
      <c r="G6" s="802" t="str">
        <f t="shared" ref="G6:AJ6" si="1">CHOOSE(WEEKDAY(G5),"C.Nhật","T.Hai","T.Ba","T.Tư","T.Năm","T.Sáu","T.Bảy")</f>
        <v>C.Nhật</v>
      </c>
      <c r="H6" s="802" t="str">
        <f t="shared" si="1"/>
        <v>T.Hai</v>
      </c>
      <c r="I6" s="802" t="str">
        <f t="shared" si="1"/>
        <v>T.Ba</v>
      </c>
      <c r="J6" s="802" t="str">
        <f t="shared" si="1"/>
        <v>T.Tư</v>
      </c>
      <c r="K6" s="802" t="str">
        <f t="shared" si="1"/>
        <v>T.Năm</v>
      </c>
      <c r="L6" s="802" t="str">
        <f t="shared" si="1"/>
        <v>T.Sáu</v>
      </c>
      <c r="M6" s="802" t="str">
        <f t="shared" si="1"/>
        <v>T.Bảy</v>
      </c>
      <c r="N6" s="802" t="str">
        <f t="shared" si="1"/>
        <v>C.Nhật</v>
      </c>
      <c r="O6" s="802" t="str">
        <f t="shared" si="1"/>
        <v>T.Hai</v>
      </c>
      <c r="P6" s="802" t="str">
        <f t="shared" si="1"/>
        <v>T.Ba</v>
      </c>
      <c r="Q6" s="802" t="str">
        <f t="shared" si="1"/>
        <v>T.Tư</v>
      </c>
      <c r="R6" s="802" t="str">
        <f t="shared" si="1"/>
        <v>T.Năm</v>
      </c>
      <c r="S6" s="802" t="str">
        <f t="shared" si="1"/>
        <v>T.Sáu</v>
      </c>
      <c r="T6" s="802" t="str">
        <f t="shared" si="1"/>
        <v>T.Bảy</v>
      </c>
      <c r="U6" s="802" t="str">
        <f t="shared" si="1"/>
        <v>C.Nhật</v>
      </c>
      <c r="V6" s="802" t="str">
        <f t="shared" si="1"/>
        <v>T.Hai</v>
      </c>
      <c r="W6" s="802" t="str">
        <f t="shared" si="1"/>
        <v>T.Ba</v>
      </c>
      <c r="X6" s="802" t="str">
        <f t="shared" si="1"/>
        <v>T.Tư</v>
      </c>
      <c r="Y6" s="802" t="str">
        <f t="shared" si="1"/>
        <v>T.Năm</v>
      </c>
      <c r="Z6" s="802" t="str">
        <f t="shared" si="1"/>
        <v>T.Sáu</v>
      </c>
      <c r="AA6" s="802" t="str">
        <f t="shared" si="1"/>
        <v>T.Bảy</v>
      </c>
      <c r="AB6" s="802" t="str">
        <f t="shared" si="1"/>
        <v>C.Nhật</v>
      </c>
      <c r="AC6" s="802" t="str">
        <f t="shared" si="1"/>
        <v>T.Hai</v>
      </c>
      <c r="AD6" s="802" t="str">
        <f t="shared" si="1"/>
        <v>T.Ba</v>
      </c>
      <c r="AE6" s="802" t="str">
        <f t="shared" si="1"/>
        <v>T.Tư</v>
      </c>
      <c r="AF6" s="802" t="str">
        <f t="shared" si="1"/>
        <v>T.Năm</v>
      </c>
      <c r="AG6" s="802" t="str">
        <f t="shared" si="1"/>
        <v>T.Sáu</v>
      </c>
      <c r="AH6" s="802" t="str">
        <f t="shared" si="1"/>
        <v>T.Bảy</v>
      </c>
      <c r="AI6" s="802" t="str">
        <f t="shared" si="1"/>
        <v>C.Nhật</v>
      </c>
      <c r="AJ6" s="802" t="str">
        <f t="shared" si="1"/>
        <v>T.Hai</v>
      </c>
      <c r="AK6" s="803" t="s">
        <v>723</v>
      </c>
      <c r="AL6" s="803" t="s">
        <v>724</v>
      </c>
      <c r="AM6" s="804" t="s">
        <v>725</v>
      </c>
      <c r="AN6" s="1120"/>
      <c r="AO6" s="1120"/>
      <c r="AP6" s="1120"/>
      <c r="AQ6" s="1120"/>
      <c r="AR6" s="1120"/>
      <c r="AS6" s="1114"/>
      <c r="AT6" s="1121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3" t="s">
        <v>728</v>
      </c>
      <c r="F9" s="814"/>
      <c r="G9" s="814"/>
      <c r="H9" s="814">
        <v>8</v>
      </c>
      <c r="I9" s="814">
        <v>8</v>
      </c>
      <c r="J9" s="814">
        <v>8</v>
      </c>
      <c r="K9" s="814">
        <v>8</v>
      </c>
      <c r="L9" s="814">
        <v>8</v>
      </c>
      <c r="M9" s="814">
        <v>8</v>
      </c>
      <c r="N9" s="814"/>
      <c r="O9" s="814">
        <v>8</v>
      </c>
      <c r="P9" s="814">
        <v>8</v>
      </c>
      <c r="Q9" s="814">
        <v>8</v>
      </c>
      <c r="R9" s="814">
        <v>8</v>
      </c>
      <c r="S9" s="814">
        <v>8</v>
      </c>
      <c r="T9" s="814">
        <v>8</v>
      </c>
      <c r="U9" s="814"/>
      <c r="V9" s="814">
        <v>8</v>
      </c>
      <c r="W9" s="814">
        <v>8</v>
      </c>
      <c r="X9" s="814">
        <v>8</v>
      </c>
      <c r="Y9" s="814">
        <v>8</v>
      </c>
      <c r="Z9" s="814">
        <v>8</v>
      </c>
      <c r="AA9" s="814">
        <v>8</v>
      </c>
      <c r="AB9" s="814"/>
      <c r="AC9" s="814">
        <v>8</v>
      </c>
      <c r="AD9" s="814">
        <v>8</v>
      </c>
      <c r="AE9" s="814">
        <v>8</v>
      </c>
      <c r="AF9" s="814">
        <v>8</v>
      </c>
      <c r="AG9" s="814">
        <v>8</v>
      </c>
      <c r="AH9" s="814">
        <v>8</v>
      </c>
      <c r="AI9" s="814"/>
      <c r="AJ9" s="814"/>
      <c r="AK9" s="1128">
        <f>((SUM(F9:AJ9))/8)-(SUMIF($F$6:$AJ$6,"C.Nhật",F9:AJ9)/8)</f>
        <v>24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24</v>
      </c>
      <c r="AO9" s="1136">
        <v>0</v>
      </c>
      <c r="AP9" s="1130"/>
      <c r="AQ9" s="1130"/>
      <c r="AR9" s="1130"/>
      <c r="AS9" s="113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23"/>
      <c r="B10" s="1123"/>
      <c r="C10" s="1125"/>
      <c r="D10" s="1127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3" t="s">
        <v>728</v>
      </c>
      <c r="F11" s="814"/>
      <c r="G11" s="814"/>
      <c r="H11" s="814">
        <v>8</v>
      </c>
      <c r="I11" s="814">
        <v>8</v>
      </c>
      <c r="J11" s="814">
        <v>8</v>
      </c>
      <c r="K11" s="814">
        <v>8</v>
      </c>
      <c r="L11" s="814">
        <v>8</v>
      </c>
      <c r="M11" s="814">
        <v>8</v>
      </c>
      <c r="N11" s="814"/>
      <c r="O11" s="814">
        <v>8</v>
      </c>
      <c r="P11" s="814">
        <v>8</v>
      </c>
      <c r="Q11" s="814">
        <v>8</v>
      </c>
      <c r="R11" s="814">
        <v>8</v>
      </c>
      <c r="S11" s="814">
        <v>8</v>
      </c>
      <c r="T11" s="814">
        <v>8</v>
      </c>
      <c r="U11" s="814"/>
      <c r="V11" s="814">
        <v>8</v>
      </c>
      <c r="W11" s="814">
        <v>8</v>
      </c>
      <c r="X11" s="814">
        <v>8</v>
      </c>
      <c r="Y11" s="814">
        <v>8</v>
      </c>
      <c r="Z11" s="814">
        <v>8</v>
      </c>
      <c r="AA11" s="814">
        <v>8</v>
      </c>
      <c r="AB11" s="814"/>
      <c r="AC11" s="814">
        <v>8</v>
      </c>
      <c r="AD11" s="814">
        <v>8</v>
      </c>
      <c r="AE11" s="814">
        <v>8</v>
      </c>
      <c r="AF11" s="814">
        <v>8</v>
      </c>
      <c r="AG11" s="814">
        <v>8</v>
      </c>
      <c r="AH11" s="814">
        <v>8</v>
      </c>
      <c r="AI11" s="814"/>
      <c r="AJ11" s="814"/>
      <c r="AK11" s="1128">
        <f t="shared" ref="AK11" si="2">((SUM(F11:AJ11))/8)-(SUMIF($F$6:$AJ$6,"C.Nhật",F11:AJ11)/8)</f>
        <v>24</v>
      </c>
      <c r="AL11" s="1128">
        <f t="shared" ref="AL11" si="3">SUM(F12:AJ12)/8*1.5</f>
        <v>0</v>
      </c>
      <c r="AM11" s="1134">
        <f t="shared" ref="AM11:AM13" si="4">SUMIF($F$6:$AJ$6,"C.Nhật",$F11:$AJ12)/8*2</f>
        <v>0</v>
      </c>
      <c r="AN11" s="1130">
        <f t="shared" ref="AN11" si="5">SUM(AK11:AM12)</f>
        <v>24</v>
      </c>
      <c r="AO11" s="1136">
        <v>0</v>
      </c>
      <c r="AP11" s="1130"/>
      <c r="AQ11" s="1130"/>
      <c r="AR11" s="1130"/>
      <c r="AS11" s="113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23"/>
      <c r="B12" s="1123"/>
      <c r="C12" s="1125"/>
      <c r="D12" s="1127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3" t="s">
        <v>728</v>
      </c>
      <c r="F13" s="814"/>
      <c r="G13" s="814"/>
      <c r="H13" s="814">
        <v>8</v>
      </c>
      <c r="I13" s="814">
        <v>8</v>
      </c>
      <c r="J13" s="814">
        <v>8</v>
      </c>
      <c r="K13" s="814">
        <v>8</v>
      </c>
      <c r="L13" s="814">
        <v>8</v>
      </c>
      <c r="M13" s="814">
        <v>8</v>
      </c>
      <c r="N13" s="814"/>
      <c r="O13" s="814">
        <v>8</v>
      </c>
      <c r="P13" s="814">
        <v>8</v>
      </c>
      <c r="Q13" s="814">
        <v>8</v>
      </c>
      <c r="R13" s="814">
        <v>8</v>
      </c>
      <c r="S13" s="814">
        <v>8</v>
      </c>
      <c r="T13" s="814">
        <v>8</v>
      </c>
      <c r="U13" s="814"/>
      <c r="V13" s="814">
        <v>8</v>
      </c>
      <c r="W13" s="814">
        <v>8</v>
      </c>
      <c r="X13" s="814">
        <v>8</v>
      </c>
      <c r="Y13" s="814">
        <v>8</v>
      </c>
      <c r="Z13" s="814">
        <v>8</v>
      </c>
      <c r="AA13" s="814">
        <v>8</v>
      </c>
      <c r="AB13" s="814"/>
      <c r="AC13" s="814">
        <v>8</v>
      </c>
      <c r="AD13" s="814">
        <v>8</v>
      </c>
      <c r="AE13" s="814">
        <v>8</v>
      </c>
      <c r="AF13" s="814">
        <v>8</v>
      </c>
      <c r="AG13" s="814">
        <v>8</v>
      </c>
      <c r="AH13" s="814">
        <v>8</v>
      </c>
      <c r="AI13" s="814"/>
      <c r="AJ13" s="814"/>
      <c r="AK13" s="1128">
        <f t="shared" ref="AK13" si="6">((SUM(F13:AJ13))/8)-(SUMIF($F$6:$AJ$6,"C.Nhật",F13:AJ13)/8)</f>
        <v>24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24</v>
      </c>
      <c r="AO13" s="1136">
        <v>0</v>
      </c>
      <c r="AP13" s="1130"/>
      <c r="AQ13" s="1130"/>
      <c r="AR13" s="1130"/>
      <c r="AS13" s="113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23"/>
      <c r="B14" s="1123"/>
      <c r="C14" s="1125"/>
      <c r="D14" s="1127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12" customFormat="1" ht="21" customHeight="1">
      <c r="A15" s="807" t="s">
        <v>729</v>
      </c>
      <c r="B15" s="808" t="s">
        <v>730</v>
      </c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09"/>
      <c r="N15" s="809"/>
      <c r="O15" s="809"/>
      <c r="P15" s="809"/>
      <c r="Q15" s="809"/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10"/>
      <c r="AT15" s="811"/>
    </row>
    <row r="16" spans="1:91" s="801" customFormat="1" ht="18" customHeight="1">
      <c r="A16" s="1122">
        <v>1</v>
      </c>
      <c r="B16" s="1122" t="s">
        <v>626</v>
      </c>
      <c r="C16" s="1124" t="str">
        <f>VLOOKUP(B16,DS,2,0)</f>
        <v>Nguyễn Thị Thanh Thúy</v>
      </c>
      <c r="D16" s="1126" t="str">
        <f>VLOOKUP(B16,DS,3,0)</f>
        <v>Công nhân</v>
      </c>
      <c r="E16" s="813" t="s">
        <v>728</v>
      </c>
      <c r="F16" s="814"/>
      <c r="G16" s="814"/>
      <c r="H16" s="814">
        <v>8</v>
      </c>
      <c r="I16" s="814">
        <v>8</v>
      </c>
      <c r="J16" s="814">
        <v>8</v>
      </c>
      <c r="K16" s="814">
        <v>8</v>
      </c>
      <c r="L16" s="814">
        <v>8</v>
      </c>
      <c r="M16" s="814">
        <v>8</v>
      </c>
      <c r="N16" s="814"/>
      <c r="O16" s="814">
        <v>8</v>
      </c>
      <c r="P16" s="814">
        <v>8</v>
      </c>
      <c r="Q16" s="814">
        <v>8</v>
      </c>
      <c r="R16" s="814">
        <v>8</v>
      </c>
      <c r="S16" s="814">
        <v>8</v>
      </c>
      <c r="T16" s="814">
        <v>8</v>
      </c>
      <c r="U16" s="814"/>
      <c r="V16" s="814">
        <v>8</v>
      </c>
      <c r="W16" s="814">
        <v>8</v>
      </c>
      <c r="X16" s="814">
        <v>8</v>
      </c>
      <c r="Y16" s="814">
        <v>8</v>
      </c>
      <c r="Z16" s="814">
        <v>8</v>
      </c>
      <c r="AA16" s="814">
        <v>8</v>
      </c>
      <c r="AB16" s="814"/>
      <c r="AC16" s="814">
        <v>8</v>
      </c>
      <c r="AD16" s="814">
        <v>8</v>
      </c>
      <c r="AE16" s="814">
        <v>8</v>
      </c>
      <c r="AF16" s="814">
        <v>8</v>
      </c>
      <c r="AG16" s="814">
        <v>8</v>
      </c>
      <c r="AH16" s="814">
        <v>8</v>
      </c>
      <c r="AI16" s="814"/>
      <c r="AJ16" s="814"/>
      <c r="AK16" s="1128">
        <f t="shared" ref="AK16" si="9">((SUM(F16:AJ16))/8)-(SUMIF($F$6:$AJ$6,"C.Nhật",F16:AJ16)/8)</f>
        <v>24</v>
      </c>
      <c r="AL16" s="1128">
        <f t="shared" ref="AL16" si="10">SUM(F17:AJ17)/8*1.5</f>
        <v>0</v>
      </c>
      <c r="AM16" s="1134">
        <f>SUMIF($F$6:$AJ$6,"C.Nhật",$F16:$AJ17)/8*2</f>
        <v>0</v>
      </c>
      <c r="AN16" s="1130">
        <f>SUM(AK16:AM17)</f>
        <v>24</v>
      </c>
      <c r="AO16" s="1136">
        <v>0</v>
      </c>
      <c r="AP16" s="1130"/>
      <c r="AQ16" s="1130"/>
      <c r="AR16" s="1130"/>
      <c r="AS16" s="1132"/>
      <c r="AT16" s="806"/>
      <c r="AU16" s="730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</row>
    <row r="17" spans="1:90" s="801" customFormat="1" ht="18" customHeight="1">
      <c r="A17" s="1123"/>
      <c r="B17" s="1123"/>
      <c r="C17" s="1125"/>
      <c r="D17" s="1127"/>
      <c r="E17" s="815" t="s">
        <v>724</v>
      </c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816"/>
      <c r="Q17" s="816"/>
      <c r="R17" s="816"/>
      <c r="S17" s="816"/>
      <c r="T17" s="816"/>
      <c r="U17" s="816"/>
      <c r="V17" s="816"/>
      <c r="W17" s="816"/>
      <c r="X17" s="816"/>
      <c r="Y17" s="816"/>
      <c r="Z17" s="816"/>
      <c r="AA17" s="816"/>
      <c r="AB17" s="816"/>
      <c r="AC17" s="816"/>
      <c r="AD17" s="816"/>
      <c r="AE17" s="816"/>
      <c r="AF17" s="816"/>
      <c r="AG17" s="816"/>
      <c r="AH17" s="816"/>
      <c r="AI17" s="816"/>
      <c r="AJ17" s="816"/>
      <c r="AK17" s="1129"/>
      <c r="AL17" s="1129"/>
      <c r="AM17" s="1135"/>
      <c r="AN17" s="1131"/>
      <c r="AO17" s="1137"/>
      <c r="AP17" s="1131"/>
      <c r="AQ17" s="1131"/>
      <c r="AR17" s="1131"/>
      <c r="AS17" s="1133"/>
      <c r="AT17" s="806"/>
      <c r="AU17" s="730"/>
      <c r="AV17" s="730"/>
      <c r="AW17" s="730"/>
      <c r="AX17" s="730"/>
      <c r="AY17" s="730"/>
      <c r="AZ17" s="730"/>
      <c r="BA17" s="730"/>
      <c r="BB17" s="730"/>
      <c r="BC17" s="730"/>
      <c r="BD17" s="730"/>
      <c r="BE17" s="730"/>
      <c r="BF17" s="730"/>
      <c r="BG17" s="730"/>
      <c r="BH17" s="730"/>
      <c r="BI17" s="730"/>
      <c r="BJ17" s="730"/>
      <c r="BK17" s="730"/>
      <c r="BL17" s="730"/>
      <c r="BM17" s="730"/>
      <c r="BN17" s="730"/>
      <c r="BO17" s="730"/>
      <c r="BP17" s="730"/>
      <c r="BQ17" s="730"/>
      <c r="BR17" s="730"/>
      <c r="BS17" s="730"/>
      <c r="BT17" s="730"/>
      <c r="BU17" s="730"/>
      <c r="BV17" s="730"/>
      <c r="BW17" s="730"/>
      <c r="BX17" s="730"/>
      <c r="BY17" s="730"/>
      <c r="BZ17" s="730"/>
      <c r="CA17" s="730"/>
      <c r="CB17" s="730"/>
      <c r="CC17" s="730"/>
      <c r="CD17" s="730"/>
      <c r="CE17" s="730"/>
      <c r="CF17" s="730"/>
      <c r="CG17" s="730"/>
      <c r="CH17" s="730"/>
      <c r="CI17" s="730"/>
      <c r="CJ17" s="730"/>
      <c r="CK17" s="730"/>
      <c r="CL17" s="730"/>
    </row>
    <row r="18" spans="1:90" s="801" customFormat="1" ht="18" customHeight="1">
      <c r="A18" s="1122">
        <f>A16+1</f>
        <v>2</v>
      </c>
      <c r="B18" s="1122" t="s">
        <v>627</v>
      </c>
      <c r="C18" s="1124" t="str">
        <f>VLOOKUP(B18,DS,2,0)</f>
        <v>Huỳnh Đoàn Viết Thanh</v>
      </c>
      <c r="D18" s="1126" t="str">
        <f>VLOOKUP(B18,DS,3,0)</f>
        <v>Công nhân</v>
      </c>
      <c r="E18" s="813" t="s">
        <v>728</v>
      </c>
      <c r="F18" s="814"/>
      <c r="G18" s="814"/>
      <c r="H18" s="814">
        <v>8</v>
      </c>
      <c r="I18" s="814">
        <v>8</v>
      </c>
      <c r="J18" s="814">
        <v>8</v>
      </c>
      <c r="K18" s="814">
        <v>8</v>
      </c>
      <c r="L18" s="814">
        <v>8</v>
      </c>
      <c r="M18" s="814">
        <v>8</v>
      </c>
      <c r="N18" s="814"/>
      <c r="O18" s="814">
        <v>8</v>
      </c>
      <c r="P18" s="814">
        <v>8</v>
      </c>
      <c r="Q18" s="814">
        <v>8</v>
      </c>
      <c r="R18" s="814">
        <v>8</v>
      </c>
      <c r="S18" s="814">
        <v>8</v>
      </c>
      <c r="T18" s="814">
        <v>8</v>
      </c>
      <c r="U18" s="814"/>
      <c r="V18" s="814">
        <v>8</v>
      </c>
      <c r="W18" s="814">
        <v>8</v>
      </c>
      <c r="X18" s="814">
        <v>8</v>
      </c>
      <c r="Y18" s="814">
        <v>8</v>
      </c>
      <c r="Z18" s="814">
        <v>8</v>
      </c>
      <c r="AA18" s="814">
        <v>8</v>
      </c>
      <c r="AB18" s="814"/>
      <c r="AC18" s="814">
        <v>8</v>
      </c>
      <c r="AD18" s="814">
        <v>8</v>
      </c>
      <c r="AE18" s="814">
        <v>8</v>
      </c>
      <c r="AF18" s="814">
        <v>8</v>
      </c>
      <c r="AG18" s="814">
        <v>8</v>
      </c>
      <c r="AH18" s="814">
        <v>8</v>
      </c>
      <c r="AI18" s="814"/>
      <c r="AJ18" s="814"/>
      <c r="AK18" s="1128">
        <f t="shared" ref="AK18" si="11">((SUM(F18:AJ18))/8)-(SUMIF($F$6:$AJ$6,"C.Nhật",F18:AJ18)/8)</f>
        <v>24</v>
      </c>
      <c r="AL18" s="1128">
        <f t="shared" ref="AL18" si="12">SUM(F19:AJ19)/8*1.5</f>
        <v>0</v>
      </c>
      <c r="AM18" s="1134">
        <f>SUMIF($F$6:$AJ$6,"C.Nhật",$F18:$AJ19)/8*2</f>
        <v>0</v>
      </c>
      <c r="AN18" s="1130">
        <f t="shared" ref="AN18" si="13">SUM(AK18:AM19)</f>
        <v>24</v>
      </c>
      <c r="AO18" s="1136">
        <v>0</v>
      </c>
      <c r="AP18" s="1130"/>
      <c r="AQ18" s="1130"/>
      <c r="AR18" s="1130"/>
      <c r="AS18" s="113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23"/>
      <c r="B19" s="1123"/>
      <c r="C19" s="1125"/>
      <c r="D19" s="1127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22">
        <f t="shared" ref="A20" si="14">A18+1</f>
        <v>3</v>
      </c>
      <c r="B20" s="1122" t="s">
        <v>628</v>
      </c>
      <c r="C20" s="1124" t="str">
        <f>VLOOKUP(B20,DS,2,0)</f>
        <v>Trần Ngọc Thoại</v>
      </c>
      <c r="D20" s="1126" t="str">
        <f>VLOOKUP(B20,DS,3,0)</f>
        <v>Công nhân</v>
      </c>
      <c r="E20" s="813" t="s">
        <v>728</v>
      </c>
      <c r="F20" s="814"/>
      <c r="G20" s="814"/>
      <c r="H20" s="814">
        <v>8</v>
      </c>
      <c r="I20" s="814">
        <v>8</v>
      </c>
      <c r="J20" s="814">
        <v>8</v>
      </c>
      <c r="K20" s="814">
        <v>8</v>
      </c>
      <c r="L20" s="814">
        <v>8</v>
      </c>
      <c r="M20" s="814">
        <v>8</v>
      </c>
      <c r="N20" s="814"/>
      <c r="O20" s="814">
        <v>8</v>
      </c>
      <c r="P20" s="814">
        <v>8</v>
      </c>
      <c r="Q20" s="814">
        <v>8</v>
      </c>
      <c r="R20" s="814">
        <v>8</v>
      </c>
      <c r="S20" s="814">
        <v>8</v>
      </c>
      <c r="T20" s="814">
        <v>8</v>
      </c>
      <c r="U20" s="814"/>
      <c r="V20" s="814">
        <v>8</v>
      </c>
      <c r="W20" s="814">
        <v>8</v>
      </c>
      <c r="X20" s="814">
        <v>8</v>
      </c>
      <c r="Y20" s="814">
        <v>8</v>
      </c>
      <c r="Z20" s="814">
        <v>8</v>
      </c>
      <c r="AA20" s="814">
        <v>8</v>
      </c>
      <c r="AB20" s="814"/>
      <c r="AC20" s="814">
        <v>8</v>
      </c>
      <c r="AD20" s="814">
        <v>8</v>
      </c>
      <c r="AE20" s="814">
        <v>8</v>
      </c>
      <c r="AF20" s="814">
        <v>8</v>
      </c>
      <c r="AG20" s="814">
        <v>8</v>
      </c>
      <c r="AH20" s="814">
        <v>8</v>
      </c>
      <c r="AI20" s="814"/>
      <c r="AJ20" s="814"/>
      <c r="AK20" s="1128">
        <f t="shared" ref="AK20" si="15">((SUM(F20:AJ20))/8)-(SUMIF($F$6:$AJ$6,"C.Nhật",F20:AJ20)/8)</f>
        <v>24</v>
      </c>
      <c r="AL20" s="1128">
        <f t="shared" ref="AL20" si="16">SUM(F21:AJ21)/8*1.5</f>
        <v>0</v>
      </c>
      <c r="AM20" s="1134">
        <f>SUMIF($F$6:$AJ$6,"C.Nhật",$F20:$AJ21)/8*2</f>
        <v>0</v>
      </c>
      <c r="AN20" s="1130">
        <f t="shared" ref="AN20" si="17">SUM(AK20:AM21)</f>
        <v>24</v>
      </c>
      <c r="AO20" s="1136">
        <v>0</v>
      </c>
      <c r="AP20" s="1130"/>
      <c r="AQ20" s="1130"/>
      <c r="AR20" s="1130"/>
      <c r="AS20" s="113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23"/>
      <c r="B21" s="1123"/>
      <c r="C21" s="1125"/>
      <c r="D21" s="1127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22">
        <f t="shared" ref="A22" si="18">A20+1</f>
        <v>4</v>
      </c>
      <c r="B22" s="1122" t="s">
        <v>630</v>
      </c>
      <c r="C22" s="1124" t="str">
        <f>VLOOKUP(B22,DS,2,0)</f>
        <v>Nguyễn Đức Huy</v>
      </c>
      <c r="D22" s="1126" t="str">
        <f>VLOOKUP(B22,DS,3,0)</f>
        <v>Công nhân</v>
      </c>
      <c r="E22" s="813" t="s">
        <v>728</v>
      </c>
      <c r="F22" s="814"/>
      <c r="G22" s="814"/>
      <c r="H22" s="814">
        <v>8</v>
      </c>
      <c r="I22" s="814">
        <v>8</v>
      </c>
      <c r="J22" s="814">
        <v>8</v>
      </c>
      <c r="K22" s="814">
        <v>8</v>
      </c>
      <c r="L22" s="814">
        <v>8</v>
      </c>
      <c r="M22" s="814">
        <v>8</v>
      </c>
      <c r="N22" s="814"/>
      <c r="O22" s="814">
        <v>8</v>
      </c>
      <c r="P22" s="814">
        <v>8</v>
      </c>
      <c r="Q22" s="814">
        <v>8</v>
      </c>
      <c r="R22" s="814">
        <v>8</v>
      </c>
      <c r="S22" s="814">
        <v>8</v>
      </c>
      <c r="T22" s="814">
        <v>8</v>
      </c>
      <c r="U22" s="814"/>
      <c r="V22" s="814">
        <v>8</v>
      </c>
      <c r="W22" s="814">
        <v>8</v>
      </c>
      <c r="X22" s="814">
        <v>8</v>
      </c>
      <c r="Y22" s="814">
        <v>8</v>
      </c>
      <c r="Z22" s="814">
        <v>8</v>
      </c>
      <c r="AA22" s="814">
        <v>8</v>
      </c>
      <c r="AB22" s="814"/>
      <c r="AC22" s="814">
        <v>8</v>
      </c>
      <c r="AD22" s="814">
        <v>8</v>
      </c>
      <c r="AE22" s="814">
        <v>8</v>
      </c>
      <c r="AF22" s="814">
        <v>8</v>
      </c>
      <c r="AG22" s="814">
        <v>8</v>
      </c>
      <c r="AH22" s="814">
        <v>8</v>
      </c>
      <c r="AI22" s="814"/>
      <c r="AJ22" s="814"/>
      <c r="AK22" s="1128">
        <f t="shared" ref="AK22" si="19">((SUM(F22:AJ22))/8)-(SUMIF($F$6:$AJ$6,"C.Nhật",F22:AJ22)/8)</f>
        <v>24</v>
      </c>
      <c r="AL22" s="1128">
        <f t="shared" ref="AL22" si="20">SUM(F23:AJ23)/8*1.5</f>
        <v>0</v>
      </c>
      <c r="AM22" s="1134">
        <f>SUMIF($F$6:$AJ$6,"C.Nhật",$F22:$AJ23)/8*2</f>
        <v>0</v>
      </c>
      <c r="AN22" s="1130">
        <f t="shared" ref="AN22" si="21">SUM(AK22:AM23)</f>
        <v>24</v>
      </c>
      <c r="AO22" s="1136">
        <v>0</v>
      </c>
      <c r="AP22" s="1130"/>
      <c r="AQ22" s="1130"/>
      <c r="AR22" s="1130"/>
      <c r="AS22" s="113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23"/>
      <c r="B23" s="1123"/>
      <c r="C23" s="1125"/>
      <c r="D23" s="1127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27" customFormat="1" ht="12.75">
      <c r="A24" s="817"/>
      <c r="B24" s="818"/>
      <c r="C24" s="819"/>
      <c r="D24" s="820"/>
      <c r="E24" s="819"/>
      <c r="F24" s="821"/>
      <c r="G24" s="821"/>
      <c r="H24" s="822"/>
      <c r="I24" s="822"/>
      <c r="J24" s="823"/>
      <c r="K24" s="821"/>
      <c r="L24" s="822"/>
      <c r="M24" s="821"/>
      <c r="N24" s="821"/>
      <c r="O24" s="821"/>
      <c r="P24" s="821"/>
      <c r="Q24" s="822"/>
      <c r="R24" s="821"/>
      <c r="S24" s="821"/>
      <c r="T24" s="823"/>
      <c r="U24" s="821"/>
      <c r="V24" s="821"/>
      <c r="W24" s="821"/>
      <c r="X24" s="818"/>
      <c r="Y24" s="821"/>
      <c r="Z24" s="821"/>
      <c r="AA24" s="821"/>
      <c r="AB24" s="821"/>
      <c r="AC24" s="821"/>
      <c r="AD24" s="822"/>
      <c r="AE24" s="821"/>
      <c r="AF24" s="821"/>
      <c r="AG24" s="821"/>
      <c r="AH24" s="821"/>
      <c r="AI24" s="821"/>
      <c r="AJ24" s="821"/>
      <c r="AK24" s="819"/>
      <c r="AL24" s="819"/>
      <c r="AM24" s="824"/>
      <c r="AN24" s="825"/>
      <c r="AO24" s="825"/>
      <c r="AP24" s="825"/>
      <c r="AQ24" s="825"/>
      <c r="AR24" s="825"/>
      <c r="AS24" s="819"/>
      <c r="AT24" s="826"/>
    </row>
    <row r="25" spans="1:90" s="827" customFormat="1" ht="12.75">
      <c r="A25" s="817"/>
      <c r="B25" s="818"/>
      <c r="C25" s="817" t="s">
        <v>635</v>
      </c>
      <c r="D25" s="820"/>
      <c r="E25" s="819"/>
      <c r="F25" s="821"/>
      <c r="G25" s="821"/>
      <c r="H25" s="822"/>
      <c r="I25" s="822"/>
      <c r="J25" s="823"/>
      <c r="K25" s="821"/>
      <c r="L25" s="822"/>
      <c r="M25" s="821"/>
      <c r="N25" s="821"/>
      <c r="O25" s="821"/>
      <c r="P25" s="821"/>
      <c r="Q25" s="822"/>
      <c r="R25" s="821"/>
      <c r="S25" s="821"/>
      <c r="T25" s="823"/>
      <c r="U25" s="821"/>
      <c r="V25" s="821"/>
      <c r="W25" s="821"/>
      <c r="X25" s="818"/>
      <c r="Y25" s="821"/>
      <c r="Z25" s="821"/>
      <c r="AA25" s="821"/>
      <c r="AB25" s="821"/>
      <c r="AC25" s="821"/>
      <c r="AD25" s="822"/>
      <c r="AE25" s="821"/>
      <c r="AF25" s="821"/>
      <c r="AG25" s="821"/>
      <c r="AH25" s="821"/>
      <c r="AI25" s="821"/>
      <c r="AJ25" s="821"/>
      <c r="AK25" s="819"/>
      <c r="AL25" s="819"/>
      <c r="AM25" s="824"/>
      <c r="AN25" s="825"/>
      <c r="AO25" s="825"/>
      <c r="AP25" s="825"/>
      <c r="AQ25" s="825"/>
      <c r="AR25" s="825"/>
      <c r="AS25" s="819"/>
      <c r="AT25" s="826"/>
    </row>
    <row r="26" spans="1:90" s="827" customFormat="1" ht="12.75">
      <c r="A26" s="828"/>
      <c r="B26" s="828"/>
      <c r="C26" s="819"/>
      <c r="D26" s="820"/>
      <c r="E26" s="819"/>
      <c r="F26" s="821"/>
      <c r="G26" s="821"/>
      <c r="H26" s="829"/>
      <c r="I26" s="829"/>
      <c r="J26" s="829"/>
      <c r="K26" s="821"/>
      <c r="L26" s="829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  <c r="Y26" s="821"/>
      <c r="Z26" s="821"/>
      <c r="AA26" s="821"/>
      <c r="AB26" s="821"/>
      <c r="AC26" s="821"/>
      <c r="AD26" s="829"/>
      <c r="AE26" s="821"/>
      <c r="AF26" s="821"/>
      <c r="AG26" s="821"/>
      <c r="AH26" s="821"/>
      <c r="AI26" s="821"/>
      <c r="AJ26" s="821"/>
      <c r="AK26" s="819"/>
      <c r="AL26" s="819"/>
      <c r="AM26" s="824"/>
      <c r="AN26" s="830"/>
      <c r="AO26" s="830"/>
      <c r="AP26" s="830"/>
      <c r="AQ26" s="830"/>
      <c r="AR26" s="830"/>
      <c r="AS26" s="819"/>
      <c r="AT26" s="826"/>
    </row>
    <row r="27" spans="1:90" s="831" customFormat="1" ht="15" customHeight="1">
      <c r="A27" s="828"/>
      <c r="B27" s="828"/>
      <c r="C27" s="819"/>
      <c r="D27" s="820"/>
      <c r="E27" s="819"/>
      <c r="F27" s="821"/>
      <c r="G27" s="821"/>
      <c r="H27" s="829"/>
      <c r="I27" s="829"/>
      <c r="J27" s="829"/>
      <c r="K27" s="821"/>
      <c r="L27" s="829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  <c r="Y27" s="821"/>
      <c r="Z27" s="821"/>
      <c r="AA27" s="821"/>
      <c r="AB27" s="821"/>
      <c r="AC27" s="821"/>
      <c r="AD27" s="829"/>
      <c r="AE27" s="821"/>
      <c r="AF27" s="821"/>
      <c r="AG27" s="821"/>
      <c r="AH27" s="821"/>
      <c r="AI27" s="821"/>
      <c r="AJ27" s="821"/>
      <c r="AK27" s="819"/>
      <c r="AL27" s="819"/>
      <c r="AM27" s="824"/>
      <c r="AN27" s="830"/>
      <c r="AO27" s="830"/>
      <c r="AP27" s="830"/>
      <c r="AQ27" s="830"/>
      <c r="AR27" s="830"/>
      <c r="AS27" s="819"/>
      <c r="AT27" s="819"/>
    </row>
    <row r="28" spans="1:90" s="831" customFormat="1" ht="11.2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19"/>
    </row>
    <row r="29" spans="1:90" s="831" customFormat="1" ht="11.25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32"/>
      <c r="B30" s="832"/>
      <c r="C30" s="817"/>
      <c r="D30" s="833"/>
      <c r="E30" s="834"/>
      <c r="F30" s="823"/>
      <c r="G30" s="835"/>
      <c r="H30" s="822"/>
      <c r="I30" s="822"/>
      <c r="J30" s="822"/>
      <c r="K30" s="835"/>
      <c r="L30" s="822"/>
      <c r="M30" s="835"/>
      <c r="N30" s="835"/>
      <c r="O30" s="835"/>
      <c r="P30" s="835"/>
      <c r="Q30" s="822"/>
      <c r="R30" s="823"/>
      <c r="S30" s="835"/>
      <c r="T30" s="835"/>
      <c r="U30" s="822"/>
      <c r="V30" s="835"/>
      <c r="W30" s="835"/>
      <c r="X30" s="822"/>
      <c r="Y30" s="835"/>
      <c r="Z30" s="835"/>
      <c r="AA30" s="835"/>
      <c r="AB30" s="835"/>
      <c r="AC30" s="835"/>
      <c r="AD30" s="822"/>
      <c r="AE30" s="835"/>
      <c r="AF30" s="835"/>
      <c r="AG30" s="835"/>
      <c r="AH30" s="835"/>
      <c r="AI30" s="835"/>
      <c r="AJ30" s="835"/>
      <c r="AK30" s="834"/>
      <c r="AM30" s="836"/>
      <c r="AN30" s="832"/>
      <c r="AO30" s="832"/>
      <c r="AP30" s="832"/>
      <c r="AQ30" s="832"/>
      <c r="AR30" s="832"/>
      <c r="AS30" s="817"/>
      <c r="AT30" s="819"/>
    </row>
    <row r="31" spans="1:90" s="831" customFormat="1" ht="12.75">
      <c r="A31" s="730"/>
      <c r="B31" s="730" t="s">
        <v>127</v>
      </c>
      <c r="C31" s="730"/>
      <c r="D31" s="837"/>
      <c r="E31" s="730"/>
      <c r="F31" s="838"/>
      <c r="G31" s="838"/>
      <c r="H31" s="838"/>
      <c r="I31" s="838"/>
      <c r="J31" s="838"/>
      <c r="K31" s="838"/>
      <c r="L31" s="838"/>
      <c r="M31" s="838"/>
      <c r="N31" s="838"/>
      <c r="O31" s="838"/>
      <c r="P31" s="838"/>
      <c r="Q31" s="838"/>
      <c r="R31" s="838"/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9"/>
      <c r="AI31" s="839"/>
      <c r="AJ31" s="839"/>
      <c r="AK31" s="730"/>
      <c r="AL31" s="730"/>
      <c r="AM31" s="840"/>
      <c r="AN31" s="730"/>
      <c r="AO31" s="730"/>
      <c r="AP31" s="730"/>
      <c r="AQ31" s="730"/>
      <c r="AR31" s="730"/>
      <c r="AS31" s="730"/>
      <c r="AT31" s="819"/>
    </row>
    <row r="32" spans="1:90" s="831" customFormat="1" ht="12.75">
      <c r="A32" s="730"/>
      <c r="B32" s="730"/>
      <c r="C32" s="730" t="s">
        <v>731</v>
      </c>
      <c r="D32" s="837"/>
      <c r="E32" s="730"/>
      <c r="F32" s="838"/>
      <c r="G32" s="838"/>
      <c r="H32" s="838"/>
      <c r="I32" s="838"/>
      <c r="J32" s="838"/>
      <c r="K32" s="838"/>
      <c r="L32" s="838"/>
      <c r="M32" s="838"/>
      <c r="N32" s="838"/>
      <c r="O32" s="838"/>
      <c r="P32" s="838"/>
      <c r="Q32" s="838"/>
      <c r="R32" s="838"/>
      <c r="S32" s="838"/>
      <c r="T32" s="838"/>
      <c r="U32" s="838"/>
      <c r="V32" s="838"/>
      <c r="W32" s="838"/>
      <c r="X32" s="838"/>
      <c r="Y32" s="838"/>
      <c r="Z32" s="838"/>
      <c r="AA32" s="838"/>
      <c r="AB32" s="838"/>
      <c r="AC32" s="838"/>
      <c r="AD32" s="838"/>
      <c r="AE32" s="838"/>
      <c r="AF32" s="838"/>
      <c r="AG32" s="838"/>
      <c r="AH32" s="839"/>
      <c r="AI32" s="839"/>
      <c r="AJ32" s="839"/>
      <c r="AK32" s="730"/>
      <c r="AL32" s="730"/>
      <c r="AM32" s="840"/>
      <c r="AN32" s="730"/>
      <c r="AO32" s="730"/>
      <c r="AP32" s="730"/>
      <c r="AQ32" s="730"/>
      <c r="AR32" s="730"/>
      <c r="AS32" s="730"/>
      <c r="AT32" s="817"/>
    </row>
    <row r="33" spans="1:91" ht="15" customHeight="1">
      <c r="C33" s="730" t="s">
        <v>732</v>
      </c>
    </row>
    <row r="34" spans="1:91" ht="15" customHeight="1">
      <c r="C34" s="730" t="s">
        <v>733</v>
      </c>
    </row>
    <row r="35" spans="1:91" s="837" customFormat="1" ht="15" customHeight="1">
      <c r="A35" s="730"/>
      <c r="B35" s="730"/>
      <c r="C35" s="730" t="s">
        <v>734</v>
      </c>
      <c r="E35" s="730"/>
      <c r="F35" s="838"/>
      <c r="G35" s="838"/>
      <c r="H35" s="838"/>
      <c r="I35" s="838"/>
      <c r="J35" s="838"/>
      <c r="K35" s="838"/>
      <c r="L35" s="838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9"/>
      <c r="AI35" s="839"/>
      <c r="AJ35" s="839"/>
      <c r="AK35" s="730"/>
      <c r="AL35" s="730"/>
      <c r="AM35" s="840"/>
      <c r="AN35" s="730"/>
      <c r="AO35" s="730"/>
      <c r="AP35" s="730"/>
      <c r="AQ35" s="730"/>
      <c r="AR35" s="730"/>
      <c r="AS35" s="730"/>
      <c r="AT35" s="730"/>
      <c r="AU35" s="730"/>
      <c r="AV35" s="730"/>
      <c r="AW35" s="730"/>
      <c r="AX35" s="730"/>
      <c r="AY35" s="730"/>
      <c r="AZ35" s="730"/>
      <c r="BA35" s="730"/>
      <c r="BB35" s="730"/>
      <c r="BC35" s="730"/>
      <c r="BD35" s="730"/>
      <c r="BE35" s="730"/>
      <c r="BF35" s="730"/>
      <c r="BG35" s="730"/>
      <c r="BH35" s="730"/>
      <c r="BI35" s="730"/>
      <c r="BJ35" s="730"/>
      <c r="BK35" s="730"/>
      <c r="BL35" s="730"/>
      <c r="BM35" s="730"/>
      <c r="BN35" s="730"/>
      <c r="BO35" s="730"/>
      <c r="BP35" s="730"/>
      <c r="BQ35" s="730"/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</row>
    <row r="36" spans="1:91" s="837" customFormat="1" ht="15" customHeight="1">
      <c r="A36" s="730"/>
      <c r="B36" s="730"/>
      <c r="C36" s="730" t="s">
        <v>735</v>
      </c>
      <c r="E36" s="730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38"/>
      <c r="Q36" s="838"/>
      <c r="R36" s="838"/>
      <c r="S36" s="838"/>
      <c r="T36" s="838"/>
      <c r="U36" s="838"/>
      <c r="V36" s="838"/>
      <c r="W36" s="838"/>
      <c r="X36" s="838"/>
      <c r="Y36" s="838"/>
      <c r="Z36" s="838"/>
      <c r="AA36" s="838"/>
      <c r="AB36" s="838"/>
      <c r="AC36" s="838"/>
      <c r="AD36" s="838"/>
      <c r="AE36" s="838"/>
      <c r="AF36" s="838"/>
      <c r="AG36" s="838"/>
      <c r="AH36" s="839"/>
      <c r="AI36" s="839"/>
      <c r="AJ36" s="839"/>
      <c r="AK36" s="730"/>
      <c r="AL36" s="730"/>
      <c r="AM36" s="840"/>
      <c r="AN36" s="730"/>
      <c r="AO36" s="730"/>
      <c r="AP36" s="730"/>
      <c r="AQ36" s="730"/>
      <c r="AR36" s="730"/>
      <c r="AS36" s="730"/>
      <c r="AT36" s="730"/>
      <c r="AU36" s="730"/>
      <c r="AV36" s="730"/>
      <c r="AW36" s="730"/>
      <c r="AX36" s="730"/>
      <c r="AY36" s="730"/>
      <c r="AZ36" s="730"/>
      <c r="BA36" s="730"/>
      <c r="BB36" s="730"/>
      <c r="BC36" s="730"/>
      <c r="BD36" s="730"/>
      <c r="BE36" s="730"/>
      <c r="BF36" s="730"/>
      <c r="BG36" s="730"/>
      <c r="BH36" s="730"/>
      <c r="BI36" s="730"/>
      <c r="BJ36" s="730"/>
      <c r="BK36" s="730"/>
      <c r="BL36" s="730"/>
      <c r="BM36" s="730"/>
      <c r="BN36" s="730"/>
      <c r="BO36" s="730"/>
      <c r="BP36" s="730"/>
      <c r="BQ36" s="730"/>
      <c r="BR36" s="730"/>
      <c r="BS36" s="730"/>
      <c r="BT36" s="730"/>
      <c r="BU36" s="730"/>
      <c r="BV36" s="730"/>
      <c r="BW36" s="730"/>
      <c r="BX36" s="730"/>
      <c r="BY36" s="730"/>
      <c r="BZ36" s="730"/>
      <c r="CA36" s="730"/>
      <c r="CB36" s="730"/>
      <c r="CC36" s="730"/>
      <c r="CD36" s="730"/>
      <c r="CE36" s="730"/>
      <c r="CF36" s="730"/>
      <c r="CG36" s="730"/>
      <c r="CH36" s="730"/>
      <c r="CI36" s="730"/>
      <c r="CJ36" s="730"/>
      <c r="CK36" s="730"/>
      <c r="CL36" s="730"/>
      <c r="CM36" s="730"/>
    </row>
    <row r="37" spans="1:91" s="837" customFormat="1" ht="15" customHeight="1">
      <c r="A37" s="730"/>
      <c r="B37" s="730"/>
      <c r="C37" s="730" t="s">
        <v>736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737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738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739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P20:AP21"/>
    <mergeCell ref="AQ20:AQ21"/>
    <mergeCell ref="AR20:AR21"/>
    <mergeCell ref="AS20:AS21"/>
    <mergeCell ref="AS13:AS14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3:AM14"/>
    <mergeCell ref="AN13:AN14"/>
    <mergeCell ref="AO13:AO14"/>
    <mergeCell ref="AP13:AP14"/>
    <mergeCell ref="AQ13:AQ14"/>
    <mergeCell ref="AR13:AR14"/>
    <mergeCell ref="AQ18:AQ19"/>
    <mergeCell ref="AR18:AR19"/>
    <mergeCell ref="AP16:AP17"/>
    <mergeCell ref="AQ16:AQ17"/>
    <mergeCell ref="AP22:AP23"/>
    <mergeCell ref="AQ22:AQ23"/>
    <mergeCell ref="AR22:AR23"/>
    <mergeCell ref="AS22:AS23"/>
    <mergeCell ref="A13:A14"/>
    <mergeCell ref="B13:B14"/>
    <mergeCell ref="C13:C14"/>
    <mergeCell ref="D13:D14"/>
    <mergeCell ref="AK13:AK14"/>
    <mergeCell ref="AL13:AL14"/>
    <mergeCell ref="AS18:AS19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18:AM19"/>
    <mergeCell ref="AN18:AN19"/>
    <mergeCell ref="AO18:AO19"/>
    <mergeCell ref="AP18:AP19"/>
    <mergeCell ref="AP9:AP10"/>
    <mergeCell ref="AQ9:AQ10"/>
    <mergeCell ref="AR9:AR10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T5:AT6"/>
    <mergeCell ref="A9:A10"/>
    <mergeCell ref="B9:B10"/>
    <mergeCell ref="C9:C10"/>
    <mergeCell ref="D9:D10"/>
    <mergeCell ref="AK9:AK10"/>
    <mergeCell ref="AL9:AL10"/>
    <mergeCell ref="AP11:AP12"/>
    <mergeCell ref="AQ11:AQ12"/>
    <mergeCell ref="AR11:AR12"/>
    <mergeCell ref="AS11:AS12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1:AJ12 F9:AJ10 F11:AI14">
    <cfRule type="expression" dxfId="21" priority="15" stopIfTrue="1">
      <formula>IF(WEEKDAY(F$5)=1,TRUE,FALSE)</formula>
    </cfRule>
  </conditionalFormatting>
  <conditionalFormatting sqref="AJ11:AJ12 F9:AJ10 F11:AI14">
    <cfRule type="expression" dxfId="20" priority="14" stopIfTrue="1">
      <formula>IF(WEEKDAY(F$5)=1,TRUE,FALSE)</formula>
    </cfRule>
  </conditionalFormatting>
  <conditionalFormatting sqref="AJ22:AJ23 AJ16:AJ19">
    <cfRule type="expression" dxfId="19" priority="10" stopIfTrue="1">
      <formula>IF(WEEKDAY(AJ$5)=1,TRUE,FALSE)</formula>
    </cfRule>
  </conditionalFormatting>
  <conditionalFormatting sqref="AJ22:AJ23 AJ16:AJ19">
    <cfRule type="expression" dxfId="18" priority="9" stopIfTrue="1">
      <formula>IF(WEEKDAY(AJ$5)=1,TRUE,FALSE)</formula>
    </cfRule>
  </conditionalFormatting>
  <conditionalFormatting sqref="AJ13:AJ14">
    <cfRule type="expression" dxfId="17" priority="8" stopIfTrue="1">
      <formula>IF(WEEKDAY(AJ$5)=1,TRUE,FALSE)</formula>
    </cfRule>
  </conditionalFormatting>
  <conditionalFormatting sqref="AJ13:AJ14">
    <cfRule type="expression" dxfId="16" priority="7" stopIfTrue="1">
      <formula>IF(WEEKDAY(AJ$5)=1,TRUE,FALSE)</formula>
    </cfRule>
  </conditionalFormatting>
  <conditionalFormatting sqref="AJ20:AJ21">
    <cfRule type="expression" dxfId="15" priority="4" stopIfTrue="1">
      <formula>IF(WEEKDAY(AJ$5)=1,TRUE,FALSE)</formula>
    </cfRule>
  </conditionalFormatting>
  <conditionalFormatting sqref="AJ20:AJ21">
    <cfRule type="expression" dxfId="14" priority="3" stopIfTrue="1">
      <formula>IF(WEEKDAY(AJ$5)=1,TRUE,FALSE)</formula>
    </cfRule>
  </conditionalFormatting>
  <conditionalFormatting sqref="F16:AI23">
    <cfRule type="expression" dxfId="13" priority="2" stopIfTrue="1">
      <formula>IF(WEEKDAY(F$5)=1,TRUE,FALSE)</formula>
    </cfRule>
  </conditionalFormatting>
  <conditionalFormatting sqref="F16:AI23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I25"/>
      <selection pane="topRight" activeCell="F18" sqref="F18:AI25"/>
      <selection pane="bottomLeft" activeCell="F18" sqref="F18:AI25"/>
      <selection pane="bottomRight" activeCell="S21" activeCellId="1" sqref="S14 S21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38" t="str">
        <f>"BẢNG THANH TOÁN LƯƠNG THÁNG"&amp;" "&amp;TEXT($E$4,"mm")&amp;" / "&amp;TEXT($E$4,"yyyy")</f>
        <v>BẢNG THANH TOÁN LƯƠNG THÁNG 09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-9'!$AK$9:$AK$23)</f>
        <v>24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-9'!$E$4</f>
        <v>41153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44"/>
      <c r="B7" s="1144"/>
      <c r="C7" s="1145"/>
      <c r="D7" s="1145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" si="0">VLOOKUP(B10,DS,2,0)</f>
        <v>Nguyễn Đức Hải</v>
      </c>
      <c r="D10" s="869" t="str">
        <f t="shared" ref="D10" si="1">VLOOKUP(B10,DS,3,0)</f>
        <v>Giám Đốc</v>
      </c>
      <c r="E10" s="243">
        <f>VLOOKUP(B10,DS,4,0)</f>
        <v>2877500</v>
      </c>
      <c r="F10" s="870">
        <f>VLOOKUP(B10,'CC -9'!$B$8:$AS$23,36,0)</f>
        <v>24</v>
      </c>
      <c r="G10" s="871">
        <f t="shared" ref="G10:G11" si="2">ROUND(E10/$U$2*F10,0)</f>
        <v>2877500</v>
      </c>
      <c r="H10" s="870">
        <f>(VLOOKUP(B10,'CC -9'!$B$8:$AS$23,37,0)+VLOOKUP(B10,'CC -9'!$B$8:$AS$23,38,0))</f>
        <v>0</v>
      </c>
      <c r="I10" s="871">
        <f t="shared" ref="I10:I11" si="3">ROUND(E10/$U$2*H10,0)</f>
        <v>0</v>
      </c>
      <c r="J10" s="872">
        <f t="shared" ref="J10:K11" si="4">F10+H10</f>
        <v>24</v>
      </c>
      <c r="K10" s="873">
        <f>G10+I10</f>
        <v>2877500</v>
      </c>
      <c r="L10" s="243">
        <f>VLOOKUP(B10,DS,6,0)</f>
        <v>260000</v>
      </c>
      <c r="M10" s="874">
        <f t="shared" ref="M10:M11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1" si="6">M10-SUM(N10:P10)</f>
        <v>3137500</v>
      </c>
      <c r="R10" s="873">
        <f>VLOOKUP(B10,DS,23,0)</f>
        <v>0</v>
      </c>
      <c r="S10" s="875">
        <f t="shared" ref="S10:S11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ref="C11" si="8">VLOOKUP(B11,DS,2,0)</f>
        <v>Huỳnh Hoàng Đạo</v>
      </c>
      <c r="D11" s="869" t="str">
        <f t="shared" ref="D11" si="9">VLOOKUP(B11,DS,3,0)</f>
        <v>Quản Đốc</v>
      </c>
      <c r="E11" s="243">
        <f t="shared" ref="E11" si="10">VLOOKUP(B11,DS,4,0)</f>
        <v>2877500</v>
      </c>
      <c r="F11" s="870">
        <f>VLOOKUP(B11,'CC -9'!$B$8:$AS$23,36,0)</f>
        <v>24</v>
      </c>
      <c r="G11" s="871">
        <f t="shared" si="2"/>
        <v>2877500</v>
      </c>
      <c r="H11" s="870">
        <f>(VLOOKUP(B11,'CC -9'!$B$8:$AS$23,37,0)+VLOOKUP(B11,'CC -9'!$B$8:$AS$23,38,0))</f>
        <v>0</v>
      </c>
      <c r="I11" s="871">
        <f t="shared" si="3"/>
        <v>0</v>
      </c>
      <c r="J11" s="872">
        <f t="shared" si="4"/>
        <v>24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ref="C12" si="11">VLOOKUP(B12,DS,2,0)</f>
        <v>Võ Ngọc Thùy Lan</v>
      </c>
      <c r="D12" s="869" t="str">
        <f t="shared" ref="D12" si="12">VLOOKUP(B12,DS,3,0)</f>
        <v>Kinh Doanh</v>
      </c>
      <c r="E12" s="243">
        <f t="shared" ref="E12" si="13">VLOOKUP(B12,DS,4,0)</f>
        <v>1565000</v>
      </c>
      <c r="F12" s="870">
        <f>VLOOKUP(B12,'CC -9'!$B$8:$AS$23,36,0)</f>
        <v>24</v>
      </c>
      <c r="G12" s="871">
        <f t="shared" ref="G12" si="14">ROUND(E12/$U$2*F12,0)</f>
        <v>1565000</v>
      </c>
      <c r="H12" s="870">
        <f>(VLOOKUP(B12,'CC -9'!$B$8:$AS$23,37,0)+VLOOKUP(B12,'CC -9'!$B$8:$AS$23,38,0))</f>
        <v>0</v>
      </c>
      <c r="I12" s="871">
        <f t="shared" ref="I12" si="15">ROUND(E12/$U$2*H12,0)</f>
        <v>0</v>
      </c>
      <c r="J12" s="872">
        <f t="shared" ref="J12" si="16">F12+H12</f>
        <v>24</v>
      </c>
      <c r="K12" s="873">
        <f t="shared" ref="K12" si="17">G12+I12</f>
        <v>1565000</v>
      </c>
      <c r="L12" s="243">
        <f>VLOOKUP(B12,DS,6,0)</f>
        <v>260000</v>
      </c>
      <c r="M12" s="874">
        <f t="shared" ref="M12" si="18">K12+L12</f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ref="Q12" si="19">M12-SUM(N12:P12)</f>
        <v>1825000</v>
      </c>
      <c r="R12" s="873">
        <f>VLOOKUP(B12,DS,23,0)</f>
        <v>0</v>
      </c>
      <c r="S12" s="875">
        <f t="shared" ref="S12" si="20">Q12-R12</f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78"/>
      <c r="B13" s="879"/>
      <c r="C13" s="880"/>
      <c r="D13" s="881"/>
      <c r="E13" s="882"/>
      <c r="F13" s="883"/>
      <c r="G13" s="884"/>
      <c r="H13" s="883"/>
      <c r="I13" s="884"/>
      <c r="J13" s="885"/>
      <c r="K13" s="886"/>
      <c r="L13" s="882"/>
      <c r="M13" s="887"/>
      <c r="N13" s="887"/>
      <c r="O13" s="887"/>
      <c r="P13" s="887"/>
      <c r="Q13" s="886"/>
      <c r="R13" s="886"/>
      <c r="S13" s="888"/>
      <c r="T13" s="886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92" customFormat="1" ht="21" customHeight="1">
      <c r="A14" s="1151" t="s">
        <v>39</v>
      </c>
      <c r="B14" s="1151"/>
      <c r="C14" s="1151"/>
      <c r="D14" s="1151"/>
      <c r="E14" s="889">
        <f>SUM(E9:E12)</f>
        <v>7320000</v>
      </c>
      <c r="F14" s="889"/>
      <c r="G14" s="889">
        <f>SUM(G9:G12)</f>
        <v>7320000</v>
      </c>
      <c r="H14" s="889"/>
      <c r="I14" s="889">
        <f>SUM(I9:I12)</f>
        <v>0</v>
      </c>
      <c r="J14" s="889"/>
      <c r="K14" s="889">
        <f t="shared" ref="K14:S14" si="21">SUM(K9:K12)</f>
        <v>7320000</v>
      </c>
      <c r="L14" s="889">
        <f t="shared" si="21"/>
        <v>780000</v>
      </c>
      <c r="M14" s="889">
        <f t="shared" si="21"/>
        <v>8100000</v>
      </c>
      <c r="N14" s="889">
        <f t="shared" si="21"/>
        <v>0</v>
      </c>
      <c r="O14" s="889">
        <f t="shared" si="21"/>
        <v>0</v>
      </c>
      <c r="P14" s="889">
        <f t="shared" si="21"/>
        <v>0</v>
      </c>
      <c r="Q14" s="889">
        <f t="shared" si="21"/>
        <v>8100000</v>
      </c>
      <c r="R14" s="889">
        <f t="shared" si="21"/>
        <v>0</v>
      </c>
      <c r="S14" s="889">
        <f t="shared" si="21"/>
        <v>8100000</v>
      </c>
      <c r="T14" s="890"/>
      <c r="U14" s="826"/>
      <c r="V14" s="891"/>
      <c r="W14" s="891"/>
      <c r="X14" s="891"/>
      <c r="Y14" s="891"/>
    </row>
    <row r="15" spans="1:30" s="863" customFormat="1" ht="24" customHeight="1">
      <c r="A15" s="864" t="s">
        <v>729</v>
      </c>
      <c r="B15" s="865" t="s">
        <v>759</v>
      </c>
      <c r="C15" s="866"/>
      <c r="D15" s="866"/>
      <c r="E15" s="866"/>
      <c r="F15" s="866"/>
      <c r="G15" s="866"/>
      <c r="H15" s="866"/>
      <c r="I15" s="866"/>
      <c r="J15" s="866"/>
      <c r="K15" s="866"/>
      <c r="L15" s="866"/>
      <c r="M15" s="866"/>
      <c r="N15" s="866"/>
      <c r="O15" s="866"/>
      <c r="P15" s="866"/>
      <c r="Q15" s="866"/>
      <c r="R15" s="866"/>
      <c r="S15" s="866"/>
      <c r="T15" s="866"/>
      <c r="U15" s="826"/>
      <c r="V15" s="860"/>
      <c r="W15" s="861"/>
      <c r="X15" s="861"/>
      <c r="Y15" s="861"/>
      <c r="Z15" s="862"/>
      <c r="AA15" s="862"/>
      <c r="AB15" s="862"/>
      <c r="AC15" s="862"/>
      <c r="AD15" s="862"/>
    </row>
    <row r="16" spans="1:30" s="877" customFormat="1" ht="24" customHeight="1">
      <c r="A16" s="867">
        <v>1</v>
      </c>
      <c r="B16" s="754" t="s">
        <v>626</v>
      </c>
      <c r="C16" s="868" t="str">
        <f t="shared" ref="C16" si="22">VLOOKUP(B16,DS,2,0)</f>
        <v>Nguyễn Thị Thanh Thúy</v>
      </c>
      <c r="D16" s="869" t="str">
        <f t="shared" ref="D16" si="23">VLOOKUP(B16,DS,3,0)</f>
        <v>Công nhân</v>
      </c>
      <c r="E16" s="243">
        <f t="shared" ref="E16" si="24">VLOOKUP(B16,DS,4,0)</f>
        <v>1365000</v>
      </c>
      <c r="F16" s="870">
        <f>VLOOKUP(B16,'CC -9'!$B$8:$AS$23,36,0)</f>
        <v>24</v>
      </c>
      <c r="G16" s="871">
        <f t="shared" ref="G16:G17" si="25">ROUND(E16/$U$2*F16,0)</f>
        <v>1365000</v>
      </c>
      <c r="H16" s="870">
        <f>(VLOOKUP(B16,'CC -9'!$B$8:$AS$23,37,0)+VLOOKUP(B16,'CC -9'!$B$8:$AS$23,38,0))</f>
        <v>0</v>
      </c>
      <c r="I16" s="871">
        <f t="shared" ref="I16:I17" si="26">ROUND(E16/$U$2*H16,0)</f>
        <v>0</v>
      </c>
      <c r="J16" s="893">
        <f t="shared" ref="J16:K17" si="27">F16+H16</f>
        <v>24</v>
      </c>
      <c r="K16" s="873">
        <f t="shared" si="27"/>
        <v>1365000</v>
      </c>
      <c r="L16" s="243">
        <f>VLOOKUP(B16,DS,6,0)</f>
        <v>260000</v>
      </c>
      <c r="M16" s="874">
        <f t="shared" ref="M16:M17" si="28">K16+L16</f>
        <v>1625000</v>
      </c>
      <c r="N16" s="874">
        <f>IF(VLOOKUP(B16,DS,9,0)="x",'L - 9'!E16*$N$4,0)</f>
        <v>0</v>
      </c>
      <c r="O16" s="874">
        <f t="shared" ref="O16" si="29">IF(VLOOKUP(B16,DS,9,0)="x",E16*0.015,0)</f>
        <v>0</v>
      </c>
      <c r="P16" s="874">
        <f t="shared" ref="P16" si="30">IF(VLOOKUP(B16,DS,9,0)="x",E16*0.01,0)</f>
        <v>0</v>
      </c>
      <c r="Q16" s="873">
        <f>M16-SUM(N16:P16)</f>
        <v>1625000</v>
      </c>
      <c r="R16" s="873">
        <f t="shared" ref="R16" si="31">VLOOKUP(B16,DS,23,0)</f>
        <v>0</v>
      </c>
      <c r="S16" s="875">
        <f>Q16-R16</f>
        <v>1625000</v>
      </c>
      <c r="T16" s="873"/>
      <c r="U16" s="826"/>
      <c r="V16" s="854"/>
      <c r="W16" s="844"/>
      <c r="X16" s="844"/>
      <c r="Y16" s="844"/>
      <c r="Z16" s="819"/>
      <c r="AA16" s="819"/>
      <c r="AB16" s="819"/>
      <c r="AC16" s="819"/>
      <c r="AD16" s="819"/>
    </row>
    <row r="17" spans="1:30" s="877" customFormat="1" ht="24" customHeight="1">
      <c r="A17" s="867">
        <v>2</v>
      </c>
      <c r="B17" s="754" t="s">
        <v>627</v>
      </c>
      <c r="C17" s="868" t="str">
        <f t="shared" ref="C17" si="32">VLOOKUP(B17,DS,2,0)</f>
        <v>Huỳnh Đoàn Viết Thanh</v>
      </c>
      <c r="D17" s="869" t="str">
        <f t="shared" ref="D17" si="33">VLOOKUP(B17,DS,3,0)</f>
        <v>Công nhân</v>
      </c>
      <c r="E17" s="243">
        <f t="shared" ref="E17" si="34">VLOOKUP(B17,DS,4,0)</f>
        <v>1275000</v>
      </c>
      <c r="F17" s="870">
        <f>VLOOKUP(B17,'CC -9'!$B$8:$AS$23,36,0)</f>
        <v>24</v>
      </c>
      <c r="G17" s="871">
        <f t="shared" si="25"/>
        <v>1275000</v>
      </c>
      <c r="H17" s="870">
        <f>(VLOOKUP(B17,'CC -9'!$B$8:$AS$23,37,0)+VLOOKUP(B17,'CC -9'!$B$8:$AS$23,38,0))</f>
        <v>0</v>
      </c>
      <c r="I17" s="871">
        <f t="shared" si="26"/>
        <v>0</v>
      </c>
      <c r="J17" s="893">
        <f t="shared" si="27"/>
        <v>24</v>
      </c>
      <c r="K17" s="873">
        <f t="shared" si="27"/>
        <v>1275000</v>
      </c>
      <c r="L17" s="243">
        <f>VLOOKUP(B17,DS,6,0)</f>
        <v>260000</v>
      </c>
      <c r="M17" s="874">
        <f t="shared" si="28"/>
        <v>1535000</v>
      </c>
      <c r="N17" s="874">
        <f>IF(VLOOKUP(B17,DS,9,0)="x",'L - 9'!E17*$N$4,0)</f>
        <v>0</v>
      </c>
      <c r="O17" s="874">
        <f t="shared" ref="O17" si="35">IF(VLOOKUP(B17,DS,9,0)="x",E17*0.015,0)</f>
        <v>0</v>
      </c>
      <c r="P17" s="874">
        <f t="shared" ref="P17" si="36">IF(VLOOKUP(B17,DS,9,0)="x",E17*0.01,0)</f>
        <v>0</v>
      </c>
      <c r="Q17" s="873">
        <f t="shared" ref="Q17" si="37">M17-SUM(N17:P17)</f>
        <v>1535000</v>
      </c>
      <c r="R17" s="873">
        <f t="shared" ref="R17" si="38">VLOOKUP(B17,DS,23,0)</f>
        <v>0</v>
      </c>
      <c r="S17" s="875">
        <f t="shared" ref="S17" si="39">Q17-R17</f>
        <v>1535000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3</v>
      </c>
      <c r="B18" s="754" t="s">
        <v>628</v>
      </c>
      <c r="C18" s="868" t="str">
        <f t="shared" ref="C18:C19" si="40">VLOOKUP(B18,DS,2,0)</f>
        <v>Trần Ngọc Thoại</v>
      </c>
      <c r="D18" s="869" t="str">
        <f t="shared" ref="D18:D19" si="41">VLOOKUP(B18,DS,3,0)</f>
        <v>Công nhân</v>
      </c>
      <c r="E18" s="243">
        <f t="shared" ref="E18:E19" si="42">VLOOKUP(B18,DS,4,0)</f>
        <v>990000</v>
      </c>
      <c r="F18" s="870">
        <f>VLOOKUP(B18,'CC -9'!$B$8:$AS$23,36,0)</f>
        <v>24</v>
      </c>
      <c r="G18" s="871">
        <f t="shared" ref="G18:G19" si="43">ROUND(E18/$U$2*F18,0)</f>
        <v>990000</v>
      </c>
      <c r="H18" s="870">
        <f>(VLOOKUP(B18,'CC -9'!$B$8:$AS$23,37,0)+VLOOKUP(B18,'CC -9'!$B$8:$AS$23,38,0))</f>
        <v>0</v>
      </c>
      <c r="I18" s="871">
        <f t="shared" ref="I18:I19" si="44">ROUND(E18/$U$2*H18,0)</f>
        <v>0</v>
      </c>
      <c r="J18" s="893">
        <f t="shared" ref="J18:J19" si="45">F18+H18</f>
        <v>24</v>
      </c>
      <c r="K18" s="873">
        <f t="shared" ref="K18:K19" si="46">G18+I18</f>
        <v>990000</v>
      </c>
      <c r="L18" s="243">
        <f>VLOOKUP(B18,DS,6,0)</f>
        <v>260000</v>
      </c>
      <c r="M18" s="874">
        <f t="shared" ref="M18:M19" si="47">K18+L18</f>
        <v>1250000</v>
      </c>
      <c r="N18" s="874">
        <f>IF(VLOOKUP(B18,DS,9,0)="x",'L - 9'!E18*$N$4,0)</f>
        <v>0</v>
      </c>
      <c r="O18" s="874">
        <f t="shared" ref="O18:O19" si="48">IF(VLOOKUP(B18,DS,9,0)="x",E18*0.015,0)</f>
        <v>0</v>
      </c>
      <c r="P18" s="874">
        <f t="shared" ref="P18:P19" si="49">IF(VLOOKUP(B18,DS,9,0)="x",E18*0.01,0)</f>
        <v>0</v>
      </c>
      <c r="Q18" s="873">
        <f t="shared" ref="Q18:Q19" si="50">M18-SUM(N18:P18)</f>
        <v>1250000</v>
      </c>
      <c r="R18" s="873">
        <f t="shared" ref="R18:R19" si="51">VLOOKUP(B18,DS,23,0)</f>
        <v>0</v>
      </c>
      <c r="S18" s="875">
        <f t="shared" ref="S18:S19" si="52">Q18-R18</f>
        <v>1250000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4</v>
      </c>
      <c r="B19" s="754" t="s">
        <v>630</v>
      </c>
      <c r="C19" s="868" t="str">
        <f t="shared" si="40"/>
        <v>Nguyễn Đức Huy</v>
      </c>
      <c r="D19" s="869" t="str">
        <f t="shared" si="41"/>
        <v>Công nhân</v>
      </c>
      <c r="E19" s="243">
        <f t="shared" si="42"/>
        <v>1015000</v>
      </c>
      <c r="F19" s="870">
        <f>VLOOKUP(B19,'CC -9'!$B$8:$AS$23,36,0)</f>
        <v>24</v>
      </c>
      <c r="G19" s="871">
        <f t="shared" si="43"/>
        <v>1015000</v>
      </c>
      <c r="H19" s="870">
        <f>(VLOOKUP(B19,'CC -9'!$B$8:$AS$23,37,0)+VLOOKUP(B19,'CC -9'!$B$8:$AS$23,38,0))</f>
        <v>0</v>
      </c>
      <c r="I19" s="871">
        <f t="shared" si="44"/>
        <v>0</v>
      </c>
      <c r="J19" s="893">
        <f t="shared" si="45"/>
        <v>24</v>
      </c>
      <c r="K19" s="873">
        <f t="shared" si="46"/>
        <v>1015000</v>
      </c>
      <c r="L19" s="243">
        <f>VLOOKUP(B19,DS,6,0)</f>
        <v>260000</v>
      </c>
      <c r="M19" s="874">
        <f t="shared" si="47"/>
        <v>1275000</v>
      </c>
      <c r="N19" s="874">
        <f>IF(VLOOKUP(B19,DS,9,0)="x",'L - 9'!E19*$N$4,0)</f>
        <v>0</v>
      </c>
      <c r="O19" s="874">
        <f t="shared" si="48"/>
        <v>0</v>
      </c>
      <c r="P19" s="874">
        <f t="shared" si="49"/>
        <v>0</v>
      </c>
      <c r="Q19" s="873">
        <f t="shared" si="50"/>
        <v>1275000</v>
      </c>
      <c r="R19" s="873">
        <f t="shared" si="51"/>
        <v>0</v>
      </c>
      <c r="S19" s="875">
        <f t="shared" si="52"/>
        <v>1275000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2.5" customHeight="1">
      <c r="A20" s="894"/>
      <c r="B20" s="895"/>
      <c r="C20" s="896"/>
      <c r="D20" s="897"/>
      <c r="E20" s="898"/>
      <c r="F20" s="898"/>
      <c r="G20" s="898"/>
      <c r="H20" s="898"/>
      <c r="I20" s="898"/>
      <c r="J20" s="899"/>
      <c r="K20" s="898"/>
      <c r="L20" s="898"/>
      <c r="M20" s="900"/>
      <c r="N20" s="898"/>
      <c r="O20" s="898"/>
      <c r="P20" s="898"/>
      <c r="Q20" s="898"/>
      <c r="R20" s="898"/>
      <c r="S20" s="898"/>
      <c r="T20" s="873"/>
      <c r="U20" s="826"/>
      <c r="V20" s="876"/>
      <c r="W20" s="876"/>
      <c r="X20" s="876"/>
      <c r="Y20" s="876"/>
    </row>
    <row r="21" spans="1:30" s="892" customFormat="1" ht="21" customHeight="1">
      <c r="A21" s="1151" t="s">
        <v>39</v>
      </c>
      <c r="B21" s="1151"/>
      <c r="C21" s="1151"/>
      <c r="D21" s="1151"/>
      <c r="E21" s="889">
        <f>SUM(E15:E20)</f>
        <v>4645000</v>
      </c>
      <c r="F21" s="889"/>
      <c r="G21" s="889">
        <f t="shared" ref="G21:S21" si="53">SUM(G15:G20)</f>
        <v>4645000</v>
      </c>
      <c r="H21" s="889"/>
      <c r="I21" s="889">
        <f t="shared" si="53"/>
        <v>0</v>
      </c>
      <c r="J21" s="889"/>
      <c r="K21" s="889">
        <f t="shared" si="53"/>
        <v>4645000</v>
      </c>
      <c r="L21" s="889">
        <f t="shared" si="53"/>
        <v>1040000</v>
      </c>
      <c r="M21" s="889">
        <f t="shared" si="53"/>
        <v>5685000</v>
      </c>
      <c r="N21" s="889">
        <f t="shared" si="53"/>
        <v>0</v>
      </c>
      <c r="O21" s="889">
        <f t="shared" si="53"/>
        <v>0</v>
      </c>
      <c r="P21" s="889">
        <f t="shared" si="53"/>
        <v>0</v>
      </c>
      <c r="Q21" s="889">
        <f t="shared" si="53"/>
        <v>5685000</v>
      </c>
      <c r="R21" s="889">
        <f t="shared" si="53"/>
        <v>0</v>
      </c>
      <c r="S21" s="889">
        <f t="shared" si="53"/>
        <v>5685000</v>
      </c>
      <c r="T21" s="890"/>
      <c r="U21" s="826"/>
      <c r="V21" s="891"/>
      <c r="W21" s="891"/>
      <c r="X21" s="891"/>
      <c r="Y21" s="891"/>
    </row>
    <row r="22" spans="1:30" ht="11.25" customHeight="1">
      <c r="A22" s="901"/>
      <c r="B22" s="901"/>
      <c r="C22" s="902"/>
      <c r="D22" s="903"/>
      <c r="E22" s="904"/>
      <c r="F22" s="902"/>
      <c r="G22" s="902"/>
      <c r="H22" s="902"/>
      <c r="I22" s="902"/>
      <c r="K22" s="902"/>
      <c r="L22" s="902"/>
      <c r="M22" s="906"/>
      <c r="N22" s="902"/>
      <c r="O22" s="902"/>
      <c r="P22" s="902"/>
      <c r="Q22" s="902"/>
      <c r="R22" s="902"/>
      <c r="S22" s="902"/>
      <c r="T22" s="902"/>
      <c r="U22" s="826"/>
    </row>
    <row r="23" spans="1:30" s="877" customFormat="1" ht="11.25" customHeight="1">
      <c r="A23" s="763"/>
      <c r="B23" s="763"/>
      <c r="C23" s="763"/>
      <c r="D23" s="909"/>
      <c r="E23" s="910"/>
      <c r="F23" s="763"/>
      <c r="G23" s="763"/>
      <c r="H23" s="763"/>
      <c r="I23" s="763"/>
      <c r="J23" s="911"/>
      <c r="K23" s="910"/>
      <c r="L23" s="763"/>
      <c r="M23" s="763"/>
      <c r="N23" s="763"/>
      <c r="O23" s="763"/>
      <c r="P23" s="763"/>
      <c r="Q23" s="763"/>
      <c r="R23" s="763"/>
      <c r="S23" s="764" t="str">
        <f>"Ngày "&amp;IF(OR(MONTH($E$4)=4,MONTH($E$4)=6,MONTH($E$4)=9,MONTH($E$4)=11),"30",IF(MONTH($E$4)=2,"28","31"))&amp;"  tháng  "&amp;MONTH($E$4)&amp;"  năm   "&amp;YEAR($E$4)</f>
        <v>Ngày 30  tháng  9  năm   2012</v>
      </c>
      <c r="T23" s="763"/>
      <c r="U23" s="912"/>
      <c r="V23" s="876"/>
      <c r="W23" s="876"/>
      <c r="X23" s="876"/>
      <c r="Y23" s="876"/>
    </row>
    <row r="24" spans="1:30" s="877" customFormat="1" ht="12.75">
      <c r="A24" s="771"/>
      <c r="B24" s="771"/>
      <c r="C24" s="771" t="s">
        <v>760</v>
      </c>
      <c r="D24" s="913"/>
      <c r="E24" s="773"/>
      <c r="F24" s="912"/>
      <c r="G24" s="773"/>
      <c r="H24" s="773"/>
      <c r="I24" s="773"/>
      <c r="J24" s="914"/>
      <c r="K24" s="876"/>
      <c r="L24" s="771"/>
      <c r="M24" s="915"/>
      <c r="N24" s="765"/>
      <c r="O24" s="765"/>
      <c r="P24" s="765"/>
      <c r="Q24" s="765"/>
      <c r="S24" s="912" t="s">
        <v>109</v>
      </c>
      <c r="T24" s="912"/>
      <c r="U24" s="912"/>
      <c r="V24" s="876"/>
      <c r="W24" s="876"/>
      <c r="X24" s="876"/>
      <c r="Y24" s="876"/>
    </row>
    <row r="25" spans="1:30" ht="12">
      <c r="A25" s="901"/>
      <c r="B25" s="901"/>
      <c r="C25" s="916"/>
      <c r="E25" s="917"/>
      <c r="F25" s="828"/>
      <c r="G25" s="917"/>
      <c r="H25" s="917"/>
      <c r="I25" s="917"/>
      <c r="K25" s="907"/>
      <c r="L25" s="916"/>
      <c r="N25" s="918"/>
      <c r="O25" s="918"/>
      <c r="P25" s="918"/>
      <c r="Q25" s="918"/>
      <c r="S25" s="918"/>
      <c r="T25" s="828"/>
      <c r="U25" s="826"/>
    </row>
    <row r="26" spans="1:30" ht="12">
      <c r="C26" s="916"/>
      <c r="L26" s="916"/>
      <c r="T26" s="916"/>
      <c r="U26" s="826"/>
    </row>
    <row r="27" spans="1:30" ht="12"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3 V4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0"/>
  <sheetViews>
    <sheetView zoomScaleNormal="115" workbookViewId="0">
      <pane xSplit="3" ySplit="6" topLeftCell="D7" activePane="bottomRight" state="frozen"/>
      <selection activeCell="K28" sqref="K28"/>
      <selection pane="topRight" activeCell="K28" sqref="K28"/>
      <selection pane="bottomLeft" activeCell="K28" sqref="K28"/>
      <selection pane="bottomRight" activeCell="E15" sqref="A15:XFD16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10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10" t="s">
        <v>713</v>
      </c>
      <c r="AN1" s="1111"/>
      <c r="AO1" s="1111"/>
      <c r="AP1" s="1111"/>
      <c r="AQ1" s="1111"/>
      <c r="AR1" s="1111"/>
      <c r="AS1" s="1112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41183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800">
        <f>+E4</f>
        <v>41183</v>
      </c>
      <c r="G5" s="800">
        <f t="shared" ref="G5:AJ5" si="0">F5+1</f>
        <v>41184</v>
      </c>
      <c r="H5" s="800">
        <f t="shared" si="0"/>
        <v>41185</v>
      </c>
      <c r="I5" s="800">
        <f t="shared" si="0"/>
        <v>41186</v>
      </c>
      <c r="J5" s="800">
        <f t="shared" si="0"/>
        <v>41187</v>
      </c>
      <c r="K5" s="800">
        <f t="shared" si="0"/>
        <v>41188</v>
      </c>
      <c r="L5" s="800">
        <f t="shared" si="0"/>
        <v>41189</v>
      </c>
      <c r="M5" s="800">
        <f t="shared" si="0"/>
        <v>41190</v>
      </c>
      <c r="N5" s="800">
        <f t="shared" si="0"/>
        <v>41191</v>
      </c>
      <c r="O5" s="800">
        <f t="shared" si="0"/>
        <v>41192</v>
      </c>
      <c r="P5" s="800">
        <f t="shared" si="0"/>
        <v>41193</v>
      </c>
      <c r="Q5" s="800">
        <f t="shared" si="0"/>
        <v>41194</v>
      </c>
      <c r="R5" s="800">
        <f t="shared" si="0"/>
        <v>41195</v>
      </c>
      <c r="S5" s="800">
        <f t="shared" si="0"/>
        <v>41196</v>
      </c>
      <c r="T5" s="800">
        <f t="shared" si="0"/>
        <v>41197</v>
      </c>
      <c r="U5" s="800">
        <f t="shared" si="0"/>
        <v>41198</v>
      </c>
      <c r="V5" s="800">
        <f t="shared" si="0"/>
        <v>41199</v>
      </c>
      <c r="W5" s="800">
        <f t="shared" si="0"/>
        <v>41200</v>
      </c>
      <c r="X5" s="800">
        <f t="shared" si="0"/>
        <v>41201</v>
      </c>
      <c r="Y5" s="800">
        <f t="shared" si="0"/>
        <v>41202</v>
      </c>
      <c r="Z5" s="800">
        <f t="shared" si="0"/>
        <v>41203</v>
      </c>
      <c r="AA5" s="800">
        <f t="shared" si="0"/>
        <v>41204</v>
      </c>
      <c r="AB5" s="800">
        <f t="shared" si="0"/>
        <v>41205</v>
      </c>
      <c r="AC5" s="800">
        <f t="shared" si="0"/>
        <v>41206</v>
      </c>
      <c r="AD5" s="800">
        <f t="shared" si="0"/>
        <v>41207</v>
      </c>
      <c r="AE5" s="800">
        <f t="shared" si="0"/>
        <v>41208</v>
      </c>
      <c r="AF5" s="800">
        <f t="shared" si="0"/>
        <v>41209</v>
      </c>
      <c r="AG5" s="800">
        <f t="shared" si="0"/>
        <v>41210</v>
      </c>
      <c r="AH5" s="800">
        <f>AG5+1</f>
        <v>41211</v>
      </c>
      <c r="AI5" s="800">
        <f t="shared" si="0"/>
        <v>41212</v>
      </c>
      <c r="AJ5" s="800">
        <f t="shared" si="0"/>
        <v>41213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14"/>
      <c r="B6" s="1114"/>
      <c r="C6" s="1114"/>
      <c r="D6" s="1114"/>
      <c r="E6" s="1114"/>
      <c r="F6" s="802" t="str">
        <f>CHOOSE(WEEKDAY(F5),"C.Nhật","T.Hai","T.Ba","T.Tư","T.Năm","T.Sáu","T.Bảy")</f>
        <v>T.Hai</v>
      </c>
      <c r="G6" s="802" t="str">
        <f t="shared" ref="G6:AJ6" si="1">CHOOSE(WEEKDAY(G5),"C.Nhật","T.Hai","T.Ba","T.Tư","T.Năm","T.Sáu","T.Bảy")</f>
        <v>T.Ba</v>
      </c>
      <c r="H6" s="802" t="str">
        <f t="shared" si="1"/>
        <v>T.Tư</v>
      </c>
      <c r="I6" s="802" t="str">
        <f t="shared" si="1"/>
        <v>T.Năm</v>
      </c>
      <c r="J6" s="802" t="str">
        <f t="shared" si="1"/>
        <v>T.Sáu</v>
      </c>
      <c r="K6" s="802" t="str">
        <f t="shared" si="1"/>
        <v>T.Bảy</v>
      </c>
      <c r="L6" s="802" t="str">
        <f t="shared" si="1"/>
        <v>C.Nhật</v>
      </c>
      <c r="M6" s="802" t="str">
        <f t="shared" si="1"/>
        <v>T.Hai</v>
      </c>
      <c r="N6" s="802" t="str">
        <f t="shared" si="1"/>
        <v>T.Ba</v>
      </c>
      <c r="O6" s="802" t="str">
        <f t="shared" si="1"/>
        <v>T.Tư</v>
      </c>
      <c r="P6" s="802" t="str">
        <f t="shared" si="1"/>
        <v>T.Năm</v>
      </c>
      <c r="Q6" s="802" t="str">
        <f t="shared" si="1"/>
        <v>T.Sáu</v>
      </c>
      <c r="R6" s="802" t="str">
        <f t="shared" si="1"/>
        <v>T.Bảy</v>
      </c>
      <c r="S6" s="802" t="str">
        <f t="shared" si="1"/>
        <v>C.Nhật</v>
      </c>
      <c r="T6" s="802" t="str">
        <f t="shared" si="1"/>
        <v>T.Hai</v>
      </c>
      <c r="U6" s="802" t="str">
        <f t="shared" si="1"/>
        <v>T.Ba</v>
      </c>
      <c r="V6" s="802" t="str">
        <f t="shared" si="1"/>
        <v>T.Tư</v>
      </c>
      <c r="W6" s="802" t="str">
        <f t="shared" si="1"/>
        <v>T.Năm</v>
      </c>
      <c r="X6" s="802" t="str">
        <f t="shared" si="1"/>
        <v>T.Sáu</v>
      </c>
      <c r="Y6" s="802" t="str">
        <f t="shared" si="1"/>
        <v>T.Bảy</v>
      </c>
      <c r="Z6" s="802" t="str">
        <f t="shared" si="1"/>
        <v>C.Nhật</v>
      </c>
      <c r="AA6" s="802" t="str">
        <f t="shared" si="1"/>
        <v>T.Hai</v>
      </c>
      <c r="AB6" s="802" t="str">
        <f t="shared" si="1"/>
        <v>T.Ba</v>
      </c>
      <c r="AC6" s="802" t="str">
        <f t="shared" si="1"/>
        <v>T.Tư</v>
      </c>
      <c r="AD6" s="802" t="str">
        <f t="shared" si="1"/>
        <v>T.Năm</v>
      </c>
      <c r="AE6" s="802" t="str">
        <f t="shared" si="1"/>
        <v>T.Sáu</v>
      </c>
      <c r="AF6" s="802" t="str">
        <f t="shared" si="1"/>
        <v>T.Bảy</v>
      </c>
      <c r="AG6" s="802" t="str">
        <f t="shared" si="1"/>
        <v>C.Nhật</v>
      </c>
      <c r="AH6" s="802" t="str">
        <f t="shared" si="1"/>
        <v>T.Hai</v>
      </c>
      <c r="AI6" s="802" t="str">
        <f t="shared" si="1"/>
        <v>T.Ba</v>
      </c>
      <c r="AJ6" s="802" t="str">
        <f t="shared" si="1"/>
        <v>T.Tư</v>
      </c>
      <c r="AK6" s="803" t="s">
        <v>723</v>
      </c>
      <c r="AL6" s="803" t="s">
        <v>724</v>
      </c>
      <c r="AM6" s="804" t="s">
        <v>725</v>
      </c>
      <c r="AN6" s="1120"/>
      <c r="AO6" s="1120"/>
      <c r="AP6" s="1120"/>
      <c r="AQ6" s="1120"/>
      <c r="AR6" s="1120"/>
      <c r="AS6" s="1114"/>
      <c r="AT6" s="1121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3" t="s">
        <v>728</v>
      </c>
      <c r="F9" s="814">
        <v>8</v>
      </c>
      <c r="G9" s="814">
        <v>8</v>
      </c>
      <c r="H9" s="814">
        <v>8</v>
      </c>
      <c r="I9" s="814">
        <v>8</v>
      </c>
      <c r="J9" s="814">
        <v>8</v>
      </c>
      <c r="K9" s="814">
        <v>8</v>
      </c>
      <c r="L9" s="814"/>
      <c r="M9" s="814">
        <v>8</v>
      </c>
      <c r="N9" s="814">
        <v>8</v>
      </c>
      <c r="O9" s="814">
        <v>8</v>
      </c>
      <c r="P9" s="814">
        <v>8</v>
      </c>
      <c r="Q9" s="814">
        <v>8</v>
      </c>
      <c r="R9" s="814">
        <v>8</v>
      </c>
      <c r="S9" s="814"/>
      <c r="T9" s="814">
        <v>8</v>
      </c>
      <c r="U9" s="814">
        <v>8</v>
      </c>
      <c r="V9" s="814">
        <v>8</v>
      </c>
      <c r="W9" s="814">
        <v>8</v>
      </c>
      <c r="X9" s="814">
        <v>8</v>
      </c>
      <c r="Y9" s="814">
        <v>8</v>
      </c>
      <c r="Z9" s="814"/>
      <c r="AA9" s="814">
        <v>8</v>
      </c>
      <c r="AB9" s="814">
        <v>8</v>
      </c>
      <c r="AC9" s="814">
        <v>8</v>
      </c>
      <c r="AD9" s="814">
        <v>8</v>
      </c>
      <c r="AE9" s="814">
        <v>8</v>
      </c>
      <c r="AF9" s="814">
        <v>8</v>
      </c>
      <c r="AG9" s="814"/>
      <c r="AH9" s="814">
        <v>8</v>
      </c>
      <c r="AI9" s="814">
        <v>8</v>
      </c>
      <c r="AJ9" s="814">
        <v>8</v>
      </c>
      <c r="AK9" s="1128">
        <f>((SUM(F9:AJ9))/8)-(SUMIF($F$6:$AJ$6,"C.Nhật",F9:AJ9)/8)</f>
        <v>27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27</v>
      </c>
      <c r="AO9" s="1136">
        <v>0</v>
      </c>
      <c r="AP9" s="1130"/>
      <c r="AQ9" s="1130"/>
      <c r="AR9" s="1130"/>
      <c r="AS9" s="113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23"/>
      <c r="B10" s="1123"/>
      <c r="C10" s="1125"/>
      <c r="D10" s="1127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3" t="s">
        <v>728</v>
      </c>
      <c r="F11" s="814">
        <v>8</v>
      </c>
      <c r="G11" s="814">
        <v>8</v>
      </c>
      <c r="H11" s="814">
        <v>8</v>
      </c>
      <c r="I11" s="814">
        <v>8</v>
      </c>
      <c r="J11" s="814">
        <v>8</v>
      </c>
      <c r="K11" s="814">
        <v>8</v>
      </c>
      <c r="L11" s="814"/>
      <c r="M11" s="814">
        <v>8</v>
      </c>
      <c r="N11" s="814">
        <v>8</v>
      </c>
      <c r="O11" s="814">
        <v>8</v>
      </c>
      <c r="P11" s="814">
        <v>8</v>
      </c>
      <c r="Q11" s="814">
        <v>8</v>
      </c>
      <c r="R11" s="814">
        <v>8</v>
      </c>
      <c r="S11" s="814"/>
      <c r="T11" s="814">
        <v>8</v>
      </c>
      <c r="U11" s="814">
        <v>8</v>
      </c>
      <c r="V11" s="814">
        <v>8</v>
      </c>
      <c r="W11" s="814">
        <v>8</v>
      </c>
      <c r="X11" s="814">
        <v>8</v>
      </c>
      <c r="Y11" s="814">
        <v>8</v>
      </c>
      <c r="Z11" s="814"/>
      <c r="AA11" s="814">
        <v>8</v>
      </c>
      <c r="AB11" s="814">
        <v>8</v>
      </c>
      <c r="AC11" s="814">
        <v>8</v>
      </c>
      <c r="AD11" s="814">
        <v>8</v>
      </c>
      <c r="AE11" s="814">
        <v>8</v>
      </c>
      <c r="AF11" s="814">
        <v>8</v>
      </c>
      <c r="AG11" s="814"/>
      <c r="AH11" s="814">
        <v>8</v>
      </c>
      <c r="AI11" s="814">
        <v>8</v>
      </c>
      <c r="AJ11" s="814">
        <v>8</v>
      </c>
      <c r="AK11" s="1128">
        <f t="shared" ref="AK11" si="2">((SUM(F11:AJ11))/8)-(SUMIF($F$6:$AJ$6,"C.Nhật",F11:AJ11)/8)</f>
        <v>27</v>
      </c>
      <c r="AL11" s="1128">
        <f t="shared" ref="AL11" si="3">SUM(F12:AJ12)/8*1.5</f>
        <v>0</v>
      </c>
      <c r="AM11" s="1134">
        <f t="shared" ref="AM11:AM13" si="4">SUMIF($F$6:$AJ$6,"C.Nhật",$F11:$AJ12)/8*2</f>
        <v>0</v>
      </c>
      <c r="AN11" s="1130">
        <f t="shared" ref="AN11" si="5">SUM(AK11:AM12)</f>
        <v>27</v>
      </c>
      <c r="AO11" s="1136">
        <v>0</v>
      </c>
      <c r="AP11" s="1130"/>
      <c r="AQ11" s="1130"/>
      <c r="AR11" s="1130"/>
      <c r="AS11" s="113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23"/>
      <c r="B12" s="1123"/>
      <c r="C12" s="1125"/>
      <c r="D12" s="1127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3" t="s">
        <v>728</v>
      </c>
      <c r="F13" s="814">
        <v>8</v>
      </c>
      <c r="G13" s="814">
        <v>8</v>
      </c>
      <c r="H13" s="814">
        <v>8</v>
      </c>
      <c r="I13" s="814">
        <v>8</v>
      </c>
      <c r="J13" s="814">
        <v>8</v>
      </c>
      <c r="K13" s="814">
        <v>8</v>
      </c>
      <c r="L13" s="814"/>
      <c r="M13" s="814">
        <v>8</v>
      </c>
      <c r="N13" s="814">
        <v>8</v>
      </c>
      <c r="O13" s="814">
        <v>8</v>
      </c>
      <c r="P13" s="814">
        <v>8</v>
      </c>
      <c r="Q13" s="814">
        <v>8</v>
      </c>
      <c r="R13" s="814">
        <v>8</v>
      </c>
      <c r="S13" s="814"/>
      <c r="T13" s="814">
        <v>8</v>
      </c>
      <c r="U13" s="814">
        <v>8</v>
      </c>
      <c r="V13" s="814">
        <v>8</v>
      </c>
      <c r="W13" s="814">
        <v>8</v>
      </c>
      <c r="X13" s="814">
        <v>8</v>
      </c>
      <c r="Y13" s="814">
        <v>8</v>
      </c>
      <c r="Z13" s="814"/>
      <c r="AA13" s="814">
        <v>8</v>
      </c>
      <c r="AB13" s="814">
        <v>8</v>
      </c>
      <c r="AC13" s="814">
        <v>8</v>
      </c>
      <c r="AD13" s="814">
        <v>8</v>
      </c>
      <c r="AE13" s="814">
        <v>8</v>
      </c>
      <c r="AF13" s="814">
        <v>8</v>
      </c>
      <c r="AG13" s="814"/>
      <c r="AH13" s="814">
        <v>8</v>
      </c>
      <c r="AI13" s="814">
        <v>8</v>
      </c>
      <c r="AJ13" s="814">
        <v>8</v>
      </c>
      <c r="AK13" s="1128">
        <f t="shared" ref="AK13" si="6">((SUM(F13:AJ13))/8)-(SUMIF($F$6:$AJ$6,"C.Nhật",F13:AJ13)/8)</f>
        <v>27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27</v>
      </c>
      <c r="AO13" s="1136">
        <v>0</v>
      </c>
      <c r="AP13" s="1130"/>
      <c r="AQ13" s="1130"/>
      <c r="AR13" s="1130"/>
      <c r="AS13" s="113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23"/>
      <c r="B14" s="1123"/>
      <c r="C14" s="1125"/>
      <c r="D14" s="1127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12" customFormat="1" ht="21" customHeight="1">
      <c r="A15" s="807" t="s">
        <v>729</v>
      </c>
      <c r="B15" s="808" t="s">
        <v>730</v>
      </c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09"/>
      <c r="N15" s="809"/>
      <c r="O15" s="809"/>
      <c r="P15" s="809"/>
      <c r="Q15" s="809"/>
      <c r="R15" s="809"/>
      <c r="S15" s="809"/>
      <c r="T15" s="809"/>
      <c r="U15" s="809"/>
      <c r="V15" s="809"/>
      <c r="W15" s="809"/>
      <c r="X15" s="809"/>
      <c r="Y15" s="809"/>
      <c r="Z15" s="809"/>
      <c r="AA15" s="809"/>
      <c r="AB15" s="809"/>
      <c r="AC15" s="809"/>
      <c r="AD15" s="809"/>
      <c r="AE15" s="809"/>
      <c r="AF15" s="809"/>
      <c r="AG15" s="809"/>
      <c r="AH15" s="809"/>
      <c r="AI15" s="809"/>
      <c r="AJ15" s="809"/>
      <c r="AK15" s="809"/>
      <c r="AL15" s="809"/>
      <c r="AM15" s="809"/>
      <c r="AN15" s="809"/>
      <c r="AO15" s="809"/>
      <c r="AP15" s="809"/>
      <c r="AQ15" s="809"/>
      <c r="AR15" s="809"/>
      <c r="AS15" s="810"/>
      <c r="AT15" s="811"/>
    </row>
    <row r="16" spans="1:91" s="801" customFormat="1" ht="18" customHeight="1">
      <c r="A16" s="1122">
        <v>1</v>
      </c>
      <c r="B16" s="1122" t="s">
        <v>626</v>
      </c>
      <c r="C16" s="1124" t="str">
        <f>VLOOKUP(B16,DS,2,0)</f>
        <v>Nguyễn Thị Thanh Thúy</v>
      </c>
      <c r="D16" s="1126" t="str">
        <f>VLOOKUP(B16,DS,3,0)</f>
        <v>Công nhân</v>
      </c>
      <c r="E16" s="813" t="s">
        <v>728</v>
      </c>
      <c r="F16" s="814">
        <v>8</v>
      </c>
      <c r="G16" s="814">
        <v>8</v>
      </c>
      <c r="H16" s="814">
        <v>8</v>
      </c>
      <c r="I16" s="814">
        <v>8</v>
      </c>
      <c r="J16" s="814">
        <v>8</v>
      </c>
      <c r="K16" s="814">
        <v>8</v>
      </c>
      <c r="L16" s="814"/>
      <c r="M16" s="814">
        <v>8</v>
      </c>
      <c r="N16" s="814">
        <v>8</v>
      </c>
      <c r="O16" s="814">
        <v>8</v>
      </c>
      <c r="P16" s="814">
        <v>8</v>
      </c>
      <c r="Q16" s="814">
        <v>8</v>
      </c>
      <c r="R16" s="814">
        <v>8</v>
      </c>
      <c r="S16" s="814"/>
      <c r="T16" s="814">
        <v>8</v>
      </c>
      <c r="U16" s="814">
        <v>8</v>
      </c>
      <c r="V16" s="814">
        <v>8</v>
      </c>
      <c r="W16" s="814">
        <v>8</v>
      </c>
      <c r="X16" s="814">
        <v>8</v>
      </c>
      <c r="Y16" s="814">
        <v>8</v>
      </c>
      <c r="Z16" s="814"/>
      <c r="AA16" s="814">
        <v>8</v>
      </c>
      <c r="AB16" s="814">
        <v>8</v>
      </c>
      <c r="AC16" s="814">
        <v>8</v>
      </c>
      <c r="AD16" s="814">
        <v>8</v>
      </c>
      <c r="AE16" s="814">
        <v>8</v>
      </c>
      <c r="AF16" s="814">
        <v>8</v>
      </c>
      <c r="AG16" s="814"/>
      <c r="AH16" s="814">
        <v>8</v>
      </c>
      <c r="AI16" s="814">
        <v>8</v>
      </c>
      <c r="AJ16" s="814">
        <v>8</v>
      </c>
      <c r="AK16" s="1128">
        <f t="shared" ref="AK16" si="9">((SUM(F16:AJ16))/8)-(SUMIF($F$6:$AJ$6,"C.Nhật",F16:AJ16)/8)</f>
        <v>27</v>
      </c>
      <c r="AL16" s="1128">
        <f t="shared" ref="AL16" si="10">SUM(F17:AJ17)/8*1.5</f>
        <v>0</v>
      </c>
      <c r="AM16" s="1134">
        <f>SUMIF($F$6:$AJ$6,"C.Nhật",$F16:$AJ17)/8*2</f>
        <v>0</v>
      </c>
      <c r="AN16" s="1130">
        <f>SUM(AK16:AM17)</f>
        <v>27</v>
      </c>
      <c r="AO16" s="1136">
        <v>0</v>
      </c>
      <c r="AP16" s="1130"/>
      <c r="AQ16" s="1130"/>
      <c r="AR16" s="1130"/>
      <c r="AS16" s="1132"/>
      <c r="AT16" s="806"/>
      <c r="AU16" s="730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</row>
    <row r="17" spans="1:90" s="801" customFormat="1" ht="18" customHeight="1">
      <c r="A17" s="1123"/>
      <c r="B17" s="1123"/>
      <c r="C17" s="1125"/>
      <c r="D17" s="1127"/>
      <c r="E17" s="815" t="s">
        <v>724</v>
      </c>
      <c r="F17" s="816"/>
      <c r="G17" s="816"/>
      <c r="H17" s="816"/>
      <c r="I17" s="816"/>
      <c r="J17" s="816"/>
      <c r="K17" s="816"/>
      <c r="L17" s="816"/>
      <c r="M17" s="816"/>
      <c r="N17" s="816"/>
      <c r="O17" s="816"/>
      <c r="P17" s="816"/>
      <c r="Q17" s="816"/>
      <c r="R17" s="816"/>
      <c r="S17" s="816"/>
      <c r="T17" s="816"/>
      <c r="U17" s="816"/>
      <c r="V17" s="816"/>
      <c r="W17" s="816"/>
      <c r="X17" s="816"/>
      <c r="Y17" s="816"/>
      <c r="Z17" s="816"/>
      <c r="AA17" s="816"/>
      <c r="AB17" s="816"/>
      <c r="AC17" s="816"/>
      <c r="AD17" s="816"/>
      <c r="AE17" s="816"/>
      <c r="AF17" s="816"/>
      <c r="AG17" s="816"/>
      <c r="AH17" s="816"/>
      <c r="AI17" s="816"/>
      <c r="AJ17" s="816"/>
      <c r="AK17" s="1129"/>
      <c r="AL17" s="1129"/>
      <c r="AM17" s="1135"/>
      <c r="AN17" s="1131"/>
      <c r="AO17" s="1137"/>
      <c r="AP17" s="1131"/>
      <c r="AQ17" s="1131"/>
      <c r="AR17" s="1131"/>
      <c r="AS17" s="1133"/>
      <c r="AT17" s="806"/>
      <c r="AU17" s="730"/>
      <c r="AV17" s="730"/>
      <c r="AW17" s="730"/>
      <c r="AX17" s="730"/>
      <c r="AY17" s="730"/>
      <c r="AZ17" s="730"/>
      <c r="BA17" s="730"/>
      <c r="BB17" s="730"/>
      <c r="BC17" s="730"/>
      <c r="BD17" s="730"/>
      <c r="BE17" s="730"/>
      <c r="BF17" s="730"/>
      <c r="BG17" s="730"/>
      <c r="BH17" s="730"/>
      <c r="BI17" s="730"/>
      <c r="BJ17" s="730"/>
      <c r="BK17" s="730"/>
      <c r="BL17" s="730"/>
      <c r="BM17" s="730"/>
      <c r="BN17" s="730"/>
      <c r="BO17" s="730"/>
      <c r="BP17" s="730"/>
      <c r="BQ17" s="730"/>
      <c r="BR17" s="730"/>
      <c r="BS17" s="730"/>
      <c r="BT17" s="730"/>
      <c r="BU17" s="730"/>
      <c r="BV17" s="730"/>
      <c r="BW17" s="730"/>
      <c r="BX17" s="730"/>
      <c r="BY17" s="730"/>
      <c r="BZ17" s="730"/>
      <c r="CA17" s="730"/>
      <c r="CB17" s="730"/>
      <c r="CC17" s="730"/>
      <c r="CD17" s="730"/>
      <c r="CE17" s="730"/>
      <c r="CF17" s="730"/>
      <c r="CG17" s="730"/>
      <c r="CH17" s="730"/>
      <c r="CI17" s="730"/>
      <c r="CJ17" s="730"/>
      <c r="CK17" s="730"/>
      <c r="CL17" s="730"/>
    </row>
    <row r="18" spans="1:90" s="801" customFormat="1" ht="18" customHeight="1">
      <c r="A18" s="1122">
        <f>A16+1</f>
        <v>2</v>
      </c>
      <c r="B18" s="1122" t="s">
        <v>627</v>
      </c>
      <c r="C18" s="1124" t="str">
        <f>VLOOKUP(B18,DS,2,0)</f>
        <v>Huỳnh Đoàn Viết Thanh</v>
      </c>
      <c r="D18" s="1126" t="str">
        <f>VLOOKUP(B18,DS,3,0)</f>
        <v>Công nhân</v>
      </c>
      <c r="E18" s="813" t="s">
        <v>728</v>
      </c>
      <c r="F18" s="814">
        <v>8</v>
      </c>
      <c r="G18" s="814">
        <v>8</v>
      </c>
      <c r="H18" s="814">
        <v>8</v>
      </c>
      <c r="I18" s="814">
        <v>8</v>
      </c>
      <c r="J18" s="814">
        <v>8</v>
      </c>
      <c r="K18" s="814">
        <v>8</v>
      </c>
      <c r="L18" s="814"/>
      <c r="M18" s="814">
        <v>8</v>
      </c>
      <c r="N18" s="814">
        <v>8</v>
      </c>
      <c r="O18" s="814">
        <v>8</v>
      </c>
      <c r="P18" s="814">
        <v>8</v>
      </c>
      <c r="Q18" s="814">
        <v>8</v>
      </c>
      <c r="R18" s="814">
        <v>8</v>
      </c>
      <c r="S18" s="814"/>
      <c r="T18" s="814">
        <v>8</v>
      </c>
      <c r="U18" s="814">
        <v>8</v>
      </c>
      <c r="V18" s="814">
        <v>8</v>
      </c>
      <c r="W18" s="814">
        <v>8</v>
      </c>
      <c r="X18" s="814">
        <v>8</v>
      </c>
      <c r="Y18" s="814">
        <v>8</v>
      </c>
      <c r="Z18" s="814"/>
      <c r="AA18" s="814">
        <v>8</v>
      </c>
      <c r="AB18" s="814">
        <v>8</v>
      </c>
      <c r="AC18" s="814">
        <v>8</v>
      </c>
      <c r="AD18" s="814">
        <v>8</v>
      </c>
      <c r="AE18" s="814">
        <v>8</v>
      </c>
      <c r="AF18" s="814">
        <v>8</v>
      </c>
      <c r="AG18" s="814"/>
      <c r="AH18" s="814">
        <v>8</v>
      </c>
      <c r="AI18" s="814">
        <v>8</v>
      </c>
      <c r="AJ18" s="814">
        <v>8</v>
      </c>
      <c r="AK18" s="1128">
        <f t="shared" ref="AK18" si="11">((SUM(F18:AJ18))/8)-(SUMIF($F$6:$AJ$6,"C.Nhật",F18:AJ18)/8)</f>
        <v>27</v>
      </c>
      <c r="AL18" s="1128">
        <f t="shared" ref="AL18" si="12">SUM(F19:AJ19)/8*1.5</f>
        <v>0</v>
      </c>
      <c r="AM18" s="1134">
        <f>SUMIF($F$6:$AJ$6,"C.Nhật",$F18:$AJ19)/8*2</f>
        <v>0</v>
      </c>
      <c r="AN18" s="1130">
        <f t="shared" ref="AN18" si="13">SUM(AK18:AM19)</f>
        <v>27</v>
      </c>
      <c r="AO18" s="1136">
        <v>0</v>
      </c>
      <c r="AP18" s="1130"/>
      <c r="AQ18" s="1130"/>
      <c r="AR18" s="1130"/>
      <c r="AS18" s="113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23"/>
      <c r="B19" s="1123"/>
      <c r="C19" s="1125"/>
      <c r="D19" s="1127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22">
        <f t="shared" ref="A20" si="14">A18+1</f>
        <v>3</v>
      </c>
      <c r="B20" s="1122" t="s">
        <v>628</v>
      </c>
      <c r="C20" s="1124" t="str">
        <f>VLOOKUP(B20,DS,2,0)</f>
        <v>Trần Ngọc Thoại</v>
      </c>
      <c r="D20" s="1126" t="str">
        <f>VLOOKUP(B20,DS,3,0)</f>
        <v>Công nhân</v>
      </c>
      <c r="E20" s="813" t="s">
        <v>728</v>
      </c>
      <c r="F20" s="814">
        <v>8</v>
      </c>
      <c r="G20" s="814">
        <v>8</v>
      </c>
      <c r="H20" s="814">
        <v>8</v>
      </c>
      <c r="I20" s="814">
        <v>8</v>
      </c>
      <c r="J20" s="814">
        <v>8</v>
      </c>
      <c r="K20" s="814">
        <v>8</v>
      </c>
      <c r="L20" s="814"/>
      <c r="M20" s="814">
        <v>8</v>
      </c>
      <c r="N20" s="814">
        <v>8</v>
      </c>
      <c r="O20" s="814">
        <v>8</v>
      </c>
      <c r="P20" s="814">
        <v>8</v>
      </c>
      <c r="Q20" s="814">
        <v>8</v>
      </c>
      <c r="R20" s="814">
        <v>8</v>
      </c>
      <c r="S20" s="814"/>
      <c r="T20" s="814">
        <v>8</v>
      </c>
      <c r="U20" s="814">
        <v>8</v>
      </c>
      <c r="V20" s="814">
        <v>8</v>
      </c>
      <c r="W20" s="814">
        <v>8</v>
      </c>
      <c r="X20" s="814">
        <v>8</v>
      </c>
      <c r="Y20" s="814">
        <v>8</v>
      </c>
      <c r="Z20" s="814"/>
      <c r="AA20" s="814">
        <v>8</v>
      </c>
      <c r="AB20" s="814">
        <v>8</v>
      </c>
      <c r="AC20" s="814">
        <v>8</v>
      </c>
      <c r="AD20" s="814">
        <v>8</v>
      </c>
      <c r="AE20" s="814">
        <v>8</v>
      </c>
      <c r="AF20" s="814">
        <v>8</v>
      </c>
      <c r="AG20" s="814"/>
      <c r="AH20" s="814">
        <v>8</v>
      </c>
      <c r="AI20" s="814">
        <v>8</v>
      </c>
      <c r="AJ20" s="814">
        <v>8</v>
      </c>
      <c r="AK20" s="1128">
        <f t="shared" ref="AK20" si="15">((SUM(F20:AJ20))/8)-(SUMIF($F$6:$AJ$6,"C.Nhật",F20:AJ20)/8)</f>
        <v>27</v>
      </c>
      <c r="AL20" s="1128">
        <f t="shared" ref="AL20" si="16">SUM(F21:AJ21)/8*1.5</f>
        <v>0</v>
      </c>
      <c r="AM20" s="1134">
        <f>SUMIF($F$6:$AJ$6,"C.Nhật",$F20:$AJ21)/8*2</f>
        <v>0</v>
      </c>
      <c r="AN20" s="1130">
        <f t="shared" ref="AN20" si="17">SUM(AK20:AM21)</f>
        <v>27</v>
      </c>
      <c r="AO20" s="1136">
        <v>0</v>
      </c>
      <c r="AP20" s="1130"/>
      <c r="AQ20" s="1130"/>
      <c r="AR20" s="1130"/>
      <c r="AS20" s="113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23"/>
      <c r="B21" s="1123"/>
      <c r="C21" s="1125"/>
      <c r="D21" s="1127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22">
        <f t="shared" ref="A22" si="18">A20+1</f>
        <v>4</v>
      </c>
      <c r="B22" s="1122" t="s">
        <v>630</v>
      </c>
      <c r="C22" s="1124" t="str">
        <f>VLOOKUP(B22,DS,2,0)</f>
        <v>Nguyễn Đức Huy</v>
      </c>
      <c r="D22" s="1126" t="str">
        <f>VLOOKUP(B22,DS,3,0)</f>
        <v>Công nhân</v>
      </c>
      <c r="E22" s="813" t="s">
        <v>728</v>
      </c>
      <c r="F22" s="814">
        <v>8</v>
      </c>
      <c r="G22" s="814">
        <v>8</v>
      </c>
      <c r="H22" s="814">
        <v>8</v>
      </c>
      <c r="I22" s="814">
        <v>8</v>
      </c>
      <c r="J22" s="814">
        <v>8</v>
      </c>
      <c r="K22" s="814">
        <v>8</v>
      </c>
      <c r="L22" s="814"/>
      <c r="M22" s="814">
        <v>8</v>
      </c>
      <c r="N22" s="814">
        <v>8</v>
      </c>
      <c r="O22" s="814">
        <v>8</v>
      </c>
      <c r="P22" s="814">
        <v>8</v>
      </c>
      <c r="Q22" s="814">
        <v>8</v>
      </c>
      <c r="R22" s="814">
        <v>8</v>
      </c>
      <c r="S22" s="814"/>
      <c r="T22" s="814">
        <v>8</v>
      </c>
      <c r="U22" s="814">
        <v>8</v>
      </c>
      <c r="V22" s="814">
        <v>8</v>
      </c>
      <c r="W22" s="814">
        <v>8</v>
      </c>
      <c r="X22" s="814">
        <v>8</v>
      </c>
      <c r="Y22" s="814">
        <v>8</v>
      </c>
      <c r="Z22" s="814"/>
      <c r="AA22" s="814">
        <v>8</v>
      </c>
      <c r="AB22" s="814">
        <v>8</v>
      </c>
      <c r="AC22" s="814">
        <v>8</v>
      </c>
      <c r="AD22" s="814">
        <v>8</v>
      </c>
      <c r="AE22" s="814">
        <v>8</v>
      </c>
      <c r="AF22" s="814">
        <v>8</v>
      </c>
      <c r="AG22" s="814"/>
      <c r="AH22" s="814">
        <v>8</v>
      </c>
      <c r="AI22" s="814">
        <v>8</v>
      </c>
      <c r="AJ22" s="814">
        <v>8</v>
      </c>
      <c r="AK22" s="1128">
        <f t="shared" ref="AK22" si="19">((SUM(F22:AJ22))/8)-(SUMIF($F$6:$AJ$6,"C.Nhật",F22:AJ22)/8)</f>
        <v>27</v>
      </c>
      <c r="AL22" s="1128">
        <f t="shared" ref="AL22" si="20">SUM(F23:AJ23)/8*1.5</f>
        <v>0</v>
      </c>
      <c r="AM22" s="1134">
        <f>SUMIF($F$6:$AJ$6,"C.Nhật",$F22:$AJ23)/8*2</f>
        <v>0</v>
      </c>
      <c r="AN22" s="1130">
        <f t="shared" ref="AN22" si="21">SUM(AK22:AM23)</f>
        <v>27</v>
      </c>
      <c r="AO22" s="1136">
        <v>0</v>
      </c>
      <c r="AP22" s="1130"/>
      <c r="AQ22" s="1130"/>
      <c r="AR22" s="1130"/>
      <c r="AS22" s="113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23"/>
      <c r="B23" s="1123"/>
      <c r="C23" s="1125"/>
      <c r="D23" s="1127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27" customFormat="1" ht="12.75">
      <c r="A24" s="817"/>
      <c r="B24" s="818"/>
      <c r="C24" s="819"/>
      <c r="D24" s="820"/>
      <c r="E24" s="819"/>
      <c r="F24" s="821"/>
      <c r="G24" s="821"/>
      <c r="H24" s="822"/>
      <c r="I24" s="822"/>
      <c r="J24" s="823"/>
      <c r="K24" s="821"/>
      <c r="L24" s="822"/>
      <c r="M24" s="821"/>
      <c r="N24" s="821"/>
      <c r="O24" s="821"/>
      <c r="P24" s="821"/>
      <c r="Q24" s="822"/>
      <c r="R24" s="821"/>
      <c r="S24" s="821"/>
      <c r="T24" s="823"/>
      <c r="U24" s="821"/>
      <c r="V24" s="821"/>
      <c r="W24" s="821"/>
      <c r="X24" s="818"/>
      <c r="Y24" s="821"/>
      <c r="Z24" s="821"/>
      <c r="AA24" s="821"/>
      <c r="AB24" s="821"/>
      <c r="AC24" s="821"/>
      <c r="AD24" s="822"/>
      <c r="AE24" s="821"/>
      <c r="AF24" s="821"/>
      <c r="AG24" s="821"/>
      <c r="AH24" s="821"/>
      <c r="AI24" s="821"/>
      <c r="AJ24" s="821"/>
      <c r="AK24" s="819"/>
      <c r="AL24" s="819"/>
      <c r="AM24" s="824"/>
      <c r="AN24" s="825"/>
      <c r="AO24" s="825"/>
      <c r="AP24" s="825"/>
      <c r="AQ24" s="825"/>
      <c r="AR24" s="825"/>
      <c r="AS24" s="819"/>
      <c r="AT24" s="826"/>
    </row>
    <row r="25" spans="1:90" s="827" customFormat="1" ht="12.75">
      <c r="A25" s="817"/>
      <c r="B25" s="818"/>
      <c r="C25" s="817" t="s">
        <v>635</v>
      </c>
      <c r="D25" s="820"/>
      <c r="E25" s="819"/>
      <c r="F25" s="821"/>
      <c r="G25" s="821"/>
      <c r="H25" s="822"/>
      <c r="I25" s="822"/>
      <c r="J25" s="823"/>
      <c r="K25" s="821"/>
      <c r="L25" s="822"/>
      <c r="M25" s="821"/>
      <c r="N25" s="821"/>
      <c r="O25" s="821"/>
      <c r="P25" s="821"/>
      <c r="Q25" s="822"/>
      <c r="R25" s="821"/>
      <c r="S25" s="821"/>
      <c r="T25" s="823"/>
      <c r="U25" s="821"/>
      <c r="V25" s="821"/>
      <c r="W25" s="821"/>
      <c r="X25" s="818"/>
      <c r="Y25" s="821"/>
      <c r="Z25" s="821"/>
      <c r="AA25" s="821"/>
      <c r="AB25" s="821"/>
      <c r="AC25" s="821"/>
      <c r="AD25" s="822"/>
      <c r="AE25" s="821"/>
      <c r="AF25" s="821"/>
      <c r="AG25" s="821"/>
      <c r="AH25" s="821"/>
      <c r="AI25" s="821"/>
      <c r="AJ25" s="821"/>
      <c r="AK25" s="819"/>
      <c r="AL25" s="819"/>
      <c r="AM25" s="824"/>
      <c r="AN25" s="825"/>
      <c r="AO25" s="825"/>
      <c r="AP25" s="825"/>
      <c r="AQ25" s="825"/>
      <c r="AR25" s="825"/>
      <c r="AS25" s="819"/>
      <c r="AT25" s="826"/>
    </row>
    <row r="26" spans="1:90" s="827" customFormat="1" ht="12.75">
      <c r="A26" s="828"/>
      <c r="B26" s="828"/>
      <c r="C26" s="819"/>
      <c r="D26" s="820"/>
      <c r="E26" s="819"/>
      <c r="F26" s="821"/>
      <c r="G26" s="821"/>
      <c r="H26" s="829"/>
      <c r="I26" s="829"/>
      <c r="J26" s="829"/>
      <c r="K26" s="821"/>
      <c r="L26" s="829"/>
      <c r="M26" s="821"/>
      <c r="N26" s="821"/>
      <c r="O26" s="821"/>
      <c r="P26" s="821"/>
      <c r="Q26" s="821"/>
      <c r="R26" s="821"/>
      <c r="S26" s="821"/>
      <c r="T26" s="821"/>
      <c r="U26" s="821"/>
      <c r="V26" s="821"/>
      <c r="W26" s="821"/>
      <c r="X26" s="821"/>
      <c r="Y26" s="821"/>
      <c r="Z26" s="821"/>
      <c r="AA26" s="821"/>
      <c r="AB26" s="821"/>
      <c r="AC26" s="821"/>
      <c r="AD26" s="829"/>
      <c r="AE26" s="821"/>
      <c r="AF26" s="821"/>
      <c r="AG26" s="821"/>
      <c r="AH26" s="821"/>
      <c r="AI26" s="821"/>
      <c r="AJ26" s="821"/>
      <c r="AK26" s="819"/>
      <c r="AL26" s="819"/>
      <c r="AM26" s="824"/>
      <c r="AN26" s="830"/>
      <c r="AO26" s="830"/>
      <c r="AP26" s="830"/>
      <c r="AQ26" s="830"/>
      <c r="AR26" s="830"/>
      <c r="AS26" s="819"/>
      <c r="AT26" s="826"/>
    </row>
    <row r="27" spans="1:90" s="831" customFormat="1" ht="15" customHeight="1">
      <c r="A27" s="828"/>
      <c r="B27" s="828"/>
      <c r="C27" s="819"/>
      <c r="D27" s="820"/>
      <c r="E27" s="819"/>
      <c r="F27" s="821"/>
      <c r="G27" s="821"/>
      <c r="H27" s="829"/>
      <c r="I27" s="829"/>
      <c r="J27" s="829"/>
      <c r="K27" s="821"/>
      <c r="L27" s="829"/>
      <c r="M27" s="821"/>
      <c r="N27" s="821"/>
      <c r="O27" s="821"/>
      <c r="P27" s="821"/>
      <c r="Q27" s="821"/>
      <c r="R27" s="821"/>
      <c r="S27" s="821"/>
      <c r="T27" s="821"/>
      <c r="U27" s="821"/>
      <c r="V27" s="821"/>
      <c r="W27" s="821"/>
      <c r="X27" s="821"/>
      <c r="Y27" s="821"/>
      <c r="Z27" s="821"/>
      <c r="AA27" s="821"/>
      <c r="AB27" s="821"/>
      <c r="AC27" s="821"/>
      <c r="AD27" s="829"/>
      <c r="AE27" s="821"/>
      <c r="AF27" s="821"/>
      <c r="AG27" s="821"/>
      <c r="AH27" s="821"/>
      <c r="AI27" s="821"/>
      <c r="AJ27" s="821"/>
      <c r="AK27" s="819"/>
      <c r="AL27" s="819"/>
      <c r="AM27" s="824"/>
      <c r="AN27" s="830"/>
      <c r="AO27" s="830"/>
      <c r="AP27" s="830"/>
      <c r="AQ27" s="830"/>
      <c r="AR27" s="830"/>
      <c r="AS27" s="819"/>
      <c r="AT27" s="819"/>
    </row>
    <row r="28" spans="1:90" s="831" customFormat="1" ht="11.2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19"/>
    </row>
    <row r="29" spans="1:90" s="831" customFormat="1" ht="11.25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32"/>
      <c r="B30" s="832"/>
      <c r="C30" s="817"/>
      <c r="D30" s="833"/>
      <c r="E30" s="834"/>
      <c r="F30" s="823"/>
      <c r="G30" s="835"/>
      <c r="H30" s="822"/>
      <c r="I30" s="822"/>
      <c r="J30" s="822"/>
      <c r="K30" s="835"/>
      <c r="L30" s="822"/>
      <c r="M30" s="835"/>
      <c r="N30" s="835"/>
      <c r="O30" s="835"/>
      <c r="P30" s="835"/>
      <c r="Q30" s="822"/>
      <c r="R30" s="823"/>
      <c r="S30" s="835"/>
      <c r="T30" s="835"/>
      <c r="U30" s="822"/>
      <c r="V30" s="835"/>
      <c r="W30" s="835"/>
      <c r="X30" s="822"/>
      <c r="Y30" s="835"/>
      <c r="Z30" s="835"/>
      <c r="AA30" s="835"/>
      <c r="AB30" s="835"/>
      <c r="AC30" s="835"/>
      <c r="AD30" s="822"/>
      <c r="AE30" s="835"/>
      <c r="AF30" s="835"/>
      <c r="AG30" s="835"/>
      <c r="AH30" s="835"/>
      <c r="AI30" s="835"/>
      <c r="AJ30" s="835"/>
      <c r="AK30" s="834"/>
      <c r="AM30" s="836"/>
      <c r="AN30" s="832"/>
      <c r="AO30" s="832"/>
      <c r="AP30" s="832"/>
      <c r="AQ30" s="832"/>
      <c r="AR30" s="832"/>
      <c r="AS30" s="817"/>
      <c r="AT30" s="819"/>
    </row>
    <row r="31" spans="1:90" s="831" customFormat="1" ht="12.75">
      <c r="A31" s="730"/>
      <c r="B31" s="730" t="s">
        <v>127</v>
      </c>
      <c r="C31" s="730"/>
      <c r="D31" s="837"/>
      <c r="E31" s="730"/>
      <c r="F31" s="838"/>
      <c r="G31" s="838"/>
      <c r="H31" s="838"/>
      <c r="I31" s="838"/>
      <c r="J31" s="838"/>
      <c r="K31" s="838"/>
      <c r="L31" s="838"/>
      <c r="M31" s="838"/>
      <c r="N31" s="838"/>
      <c r="O31" s="838"/>
      <c r="P31" s="838"/>
      <c r="Q31" s="838"/>
      <c r="R31" s="838"/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9"/>
      <c r="AI31" s="839"/>
      <c r="AJ31" s="839"/>
      <c r="AK31" s="730"/>
      <c r="AL31" s="730"/>
      <c r="AM31" s="840"/>
      <c r="AN31" s="730"/>
      <c r="AO31" s="730"/>
      <c r="AP31" s="730"/>
      <c r="AQ31" s="730"/>
      <c r="AR31" s="730"/>
      <c r="AS31" s="730"/>
      <c r="AT31" s="819"/>
    </row>
    <row r="32" spans="1:90" s="831" customFormat="1" ht="12.75">
      <c r="A32" s="730"/>
      <c r="B32" s="730"/>
      <c r="C32" s="730" t="s">
        <v>731</v>
      </c>
      <c r="D32" s="837"/>
      <c r="E32" s="730"/>
      <c r="F32" s="838"/>
      <c r="G32" s="838"/>
      <c r="H32" s="838"/>
      <c r="I32" s="838"/>
      <c r="J32" s="838"/>
      <c r="K32" s="838"/>
      <c r="L32" s="838"/>
      <c r="M32" s="838"/>
      <c r="N32" s="838"/>
      <c r="O32" s="838"/>
      <c r="P32" s="838"/>
      <c r="Q32" s="838"/>
      <c r="R32" s="838"/>
      <c r="S32" s="838"/>
      <c r="T32" s="838"/>
      <c r="U32" s="838"/>
      <c r="V32" s="838"/>
      <c r="W32" s="838"/>
      <c r="X32" s="838"/>
      <c r="Y32" s="838"/>
      <c r="Z32" s="838"/>
      <c r="AA32" s="838"/>
      <c r="AB32" s="838"/>
      <c r="AC32" s="838"/>
      <c r="AD32" s="838"/>
      <c r="AE32" s="838"/>
      <c r="AF32" s="838"/>
      <c r="AG32" s="838"/>
      <c r="AH32" s="839"/>
      <c r="AI32" s="839"/>
      <c r="AJ32" s="839"/>
      <c r="AK32" s="730"/>
      <c r="AL32" s="730"/>
      <c r="AM32" s="840"/>
      <c r="AN32" s="730"/>
      <c r="AO32" s="730"/>
      <c r="AP32" s="730"/>
      <c r="AQ32" s="730"/>
      <c r="AR32" s="730"/>
      <c r="AS32" s="730"/>
      <c r="AT32" s="817"/>
    </row>
    <row r="33" spans="1:91" ht="15" customHeight="1">
      <c r="C33" s="730" t="s">
        <v>732</v>
      </c>
    </row>
    <row r="34" spans="1:91" ht="15" customHeight="1">
      <c r="C34" s="730" t="s">
        <v>733</v>
      </c>
    </row>
    <row r="35" spans="1:91" s="837" customFormat="1" ht="15" customHeight="1">
      <c r="A35" s="730"/>
      <c r="B35" s="730"/>
      <c r="C35" s="730" t="s">
        <v>734</v>
      </c>
      <c r="E35" s="730"/>
      <c r="F35" s="838"/>
      <c r="G35" s="838"/>
      <c r="H35" s="838"/>
      <c r="I35" s="838"/>
      <c r="J35" s="838"/>
      <c r="K35" s="838"/>
      <c r="L35" s="838"/>
      <c r="M35" s="838"/>
      <c r="N35" s="838"/>
      <c r="O35" s="838"/>
      <c r="P35" s="838"/>
      <c r="Q35" s="838"/>
      <c r="R35" s="838"/>
      <c r="S35" s="838"/>
      <c r="T35" s="838"/>
      <c r="U35" s="838"/>
      <c r="V35" s="838"/>
      <c r="W35" s="838"/>
      <c r="X35" s="838"/>
      <c r="Y35" s="838"/>
      <c r="Z35" s="838"/>
      <c r="AA35" s="838"/>
      <c r="AB35" s="838"/>
      <c r="AC35" s="838"/>
      <c r="AD35" s="838"/>
      <c r="AE35" s="838"/>
      <c r="AF35" s="838"/>
      <c r="AG35" s="838"/>
      <c r="AH35" s="839"/>
      <c r="AI35" s="839"/>
      <c r="AJ35" s="839"/>
      <c r="AK35" s="730"/>
      <c r="AL35" s="730"/>
      <c r="AM35" s="840"/>
      <c r="AN35" s="730"/>
      <c r="AO35" s="730"/>
      <c r="AP35" s="730"/>
      <c r="AQ35" s="730"/>
      <c r="AR35" s="730"/>
      <c r="AS35" s="730"/>
      <c r="AT35" s="730"/>
      <c r="AU35" s="730"/>
      <c r="AV35" s="730"/>
      <c r="AW35" s="730"/>
      <c r="AX35" s="730"/>
      <c r="AY35" s="730"/>
      <c r="AZ35" s="730"/>
      <c r="BA35" s="730"/>
      <c r="BB35" s="730"/>
      <c r="BC35" s="730"/>
      <c r="BD35" s="730"/>
      <c r="BE35" s="730"/>
      <c r="BF35" s="730"/>
      <c r="BG35" s="730"/>
      <c r="BH35" s="730"/>
      <c r="BI35" s="730"/>
      <c r="BJ35" s="730"/>
      <c r="BK35" s="730"/>
      <c r="BL35" s="730"/>
      <c r="BM35" s="730"/>
      <c r="BN35" s="730"/>
      <c r="BO35" s="730"/>
      <c r="BP35" s="730"/>
      <c r="BQ35" s="730"/>
      <c r="BR35" s="730"/>
      <c r="BS35" s="730"/>
      <c r="BT35" s="730"/>
      <c r="BU35" s="730"/>
      <c r="BV35" s="730"/>
      <c r="BW35" s="730"/>
      <c r="BX35" s="730"/>
      <c r="BY35" s="730"/>
      <c r="BZ35" s="730"/>
      <c r="CA35" s="730"/>
      <c r="CB35" s="730"/>
      <c r="CC35" s="730"/>
      <c r="CD35" s="730"/>
      <c r="CE35" s="730"/>
      <c r="CF35" s="730"/>
      <c r="CG35" s="730"/>
      <c r="CH35" s="730"/>
      <c r="CI35" s="730"/>
      <c r="CJ35" s="730"/>
      <c r="CK35" s="730"/>
      <c r="CL35" s="730"/>
      <c r="CM35" s="730"/>
    </row>
    <row r="36" spans="1:91" s="837" customFormat="1" ht="15" customHeight="1">
      <c r="A36" s="730"/>
      <c r="B36" s="730"/>
      <c r="C36" s="730" t="s">
        <v>735</v>
      </c>
      <c r="E36" s="730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38"/>
      <c r="Q36" s="838"/>
      <c r="R36" s="838"/>
      <c r="S36" s="838"/>
      <c r="T36" s="838"/>
      <c r="U36" s="838"/>
      <c r="V36" s="838"/>
      <c r="W36" s="838"/>
      <c r="X36" s="838"/>
      <c r="Y36" s="838"/>
      <c r="Z36" s="838"/>
      <c r="AA36" s="838"/>
      <c r="AB36" s="838"/>
      <c r="AC36" s="838"/>
      <c r="AD36" s="838"/>
      <c r="AE36" s="838"/>
      <c r="AF36" s="838"/>
      <c r="AG36" s="838"/>
      <c r="AH36" s="839"/>
      <c r="AI36" s="839"/>
      <c r="AJ36" s="839"/>
      <c r="AK36" s="730"/>
      <c r="AL36" s="730"/>
      <c r="AM36" s="840"/>
      <c r="AN36" s="730"/>
      <c r="AO36" s="730"/>
      <c r="AP36" s="730"/>
      <c r="AQ36" s="730"/>
      <c r="AR36" s="730"/>
      <c r="AS36" s="730"/>
      <c r="AT36" s="730"/>
      <c r="AU36" s="730"/>
      <c r="AV36" s="730"/>
      <c r="AW36" s="730"/>
      <c r="AX36" s="730"/>
      <c r="AY36" s="730"/>
      <c r="AZ36" s="730"/>
      <c r="BA36" s="730"/>
      <c r="BB36" s="730"/>
      <c r="BC36" s="730"/>
      <c r="BD36" s="730"/>
      <c r="BE36" s="730"/>
      <c r="BF36" s="730"/>
      <c r="BG36" s="730"/>
      <c r="BH36" s="730"/>
      <c r="BI36" s="730"/>
      <c r="BJ36" s="730"/>
      <c r="BK36" s="730"/>
      <c r="BL36" s="730"/>
      <c r="BM36" s="730"/>
      <c r="BN36" s="730"/>
      <c r="BO36" s="730"/>
      <c r="BP36" s="730"/>
      <c r="BQ36" s="730"/>
      <c r="BR36" s="730"/>
      <c r="BS36" s="730"/>
      <c r="BT36" s="730"/>
      <c r="BU36" s="730"/>
      <c r="BV36" s="730"/>
      <c r="BW36" s="730"/>
      <c r="BX36" s="730"/>
      <c r="BY36" s="730"/>
      <c r="BZ36" s="730"/>
      <c r="CA36" s="730"/>
      <c r="CB36" s="730"/>
      <c r="CC36" s="730"/>
      <c r="CD36" s="730"/>
      <c r="CE36" s="730"/>
      <c r="CF36" s="730"/>
      <c r="CG36" s="730"/>
      <c r="CH36" s="730"/>
      <c r="CI36" s="730"/>
      <c r="CJ36" s="730"/>
      <c r="CK36" s="730"/>
      <c r="CL36" s="730"/>
      <c r="CM36" s="730"/>
    </row>
    <row r="37" spans="1:91" s="837" customFormat="1" ht="15" customHeight="1">
      <c r="A37" s="730"/>
      <c r="B37" s="730"/>
      <c r="C37" s="730" t="s">
        <v>736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737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738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739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</sheetData>
  <protectedRanges>
    <protectedRange password="CC78" sqref="A1:A3" name="Range1_2_1"/>
    <protectedRange password="CC78" sqref="A9:A14" name="Range1_1"/>
    <protectedRange password="CC78" sqref="A9:A14 C9:E14" name="Range1_6"/>
    <protectedRange password="CC78" sqref="B9:B14" name="Range1_4"/>
    <protectedRange password="CC78" sqref="J26:J29 Q24:Q25" name="Range1_1_1_1"/>
    <protectedRange password="CC78" sqref="J30" name="Range1_3_1_1"/>
    <protectedRange password="CC78" sqref="A16:A23" name="Range1_1_2"/>
    <protectedRange password="CC78" sqref="C16:E23 A16:A23" name="Range1_6_2"/>
    <protectedRange password="CC78" sqref="B16:B23" name="Range1_4_2"/>
  </protectedRanges>
  <mergeCells count="105">
    <mergeCell ref="AS18:AS19"/>
    <mergeCell ref="A20:A21"/>
    <mergeCell ref="B20:B21"/>
    <mergeCell ref="C20:C21"/>
    <mergeCell ref="D20:D21"/>
    <mergeCell ref="AK20:AK21"/>
    <mergeCell ref="AL20:AL21"/>
    <mergeCell ref="AP22:AP23"/>
    <mergeCell ref="AQ22:AQ23"/>
    <mergeCell ref="AR22:AR23"/>
    <mergeCell ref="AS22:AS23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M20:AM21"/>
    <mergeCell ref="AN20:AN21"/>
    <mergeCell ref="AO20:AO21"/>
    <mergeCell ref="AP20:AP21"/>
    <mergeCell ref="AQ20:AQ21"/>
    <mergeCell ref="AR20:AR21"/>
    <mergeCell ref="AS16:AS17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6:AM17"/>
    <mergeCell ref="AN16:AN17"/>
    <mergeCell ref="AO16:AO17"/>
    <mergeCell ref="AP16:AP17"/>
    <mergeCell ref="AQ16:AQ17"/>
    <mergeCell ref="AR16:AR17"/>
    <mergeCell ref="A16:A17"/>
    <mergeCell ref="B16:B17"/>
    <mergeCell ref="C16:C17"/>
    <mergeCell ref="D16:D17"/>
    <mergeCell ref="AK16:AK17"/>
    <mergeCell ref="AL16:AL17"/>
    <mergeCell ref="AP18:AP19"/>
    <mergeCell ref="AQ18:AQ19"/>
    <mergeCell ref="AN9:AN10"/>
    <mergeCell ref="AO9:AO10"/>
    <mergeCell ref="AP9:AP10"/>
    <mergeCell ref="AQ9:AQ10"/>
    <mergeCell ref="AR9:AR10"/>
    <mergeCell ref="AR18:AR19"/>
    <mergeCell ref="AS13:AS14"/>
    <mergeCell ref="AM13:AM14"/>
    <mergeCell ref="AN13:AN14"/>
    <mergeCell ref="AO13:AO14"/>
    <mergeCell ref="AP13:AP14"/>
    <mergeCell ref="AQ13:AQ14"/>
    <mergeCell ref="AR13:AR14"/>
    <mergeCell ref="AP11:AP12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13:A14"/>
    <mergeCell ref="B13:B14"/>
    <mergeCell ref="C13:C14"/>
    <mergeCell ref="D13:D14"/>
    <mergeCell ref="AK13:AK14"/>
    <mergeCell ref="AL13:AL14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11" priority="12" stopIfTrue="1">
      <formula>IF(WEEKDAY(F$5)=1,TRUE,FALSE)</formula>
    </cfRule>
  </conditionalFormatting>
  <conditionalFormatting sqref="F9:AJ14">
    <cfRule type="expression" dxfId="10" priority="11" stopIfTrue="1">
      <formula>IF(WEEKDAY(F$5)=1,TRUE,FALSE)</formula>
    </cfRule>
  </conditionalFormatting>
  <conditionalFormatting sqref="F16:AJ23">
    <cfRule type="expression" dxfId="9" priority="2" stopIfTrue="1">
      <formula>IF(WEEKDAY(F$5)=1,TRUE,FALSE)</formula>
    </cfRule>
  </conditionalFormatting>
  <conditionalFormatting sqref="F16:AJ23">
    <cfRule type="expression" dxfId="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2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21" activeCellId="1" sqref="S14 S21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38" t="str">
        <f>"BẢNG THANH TOÁN LƯƠNG THÁNG"&amp;" "&amp;TEXT($E$4,"mm")&amp;" / "&amp;TEXT($E$4,"yyyy")</f>
        <v>BẢNG THANH TOÁN LƯƠNG THÁNG 10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-10'!$AK$9:$AK$23)</f>
        <v>27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-10'!$E$4</f>
        <v>41183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44"/>
      <c r="B7" s="1144"/>
      <c r="C7" s="1145"/>
      <c r="D7" s="1145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2" si="0">VLOOKUP(B10,DS,2,0)</f>
        <v>Nguyễn Đức Hải</v>
      </c>
      <c r="D10" s="869" t="str">
        <f t="shared" ref="D10:D12" si="1">VLOOKUP(B10,DS,3,0)</f>
        <v>Giám Đốc</v>
      </c>
      <c r="E10" s="243">
        <f>VLOOKUP(B10,DS,4,0)</f>
        <v>2877500</v>
      </c>
      <c r="F10" s="870">
        <f>VLOOKUP(B10,'CC -10'!$B$8:$AS$23,36,0)</f>
        <v>27</v>
      </c>
      <c r="G10" s="871">
        <f t="shared" ref="G10:G12" si="2">ROUND(E10/$U$2*F10,0)</f>
        <v>2877500</v>
      </c>
      <c r="H10" s="870">
        <f>(VLOOKUP(B10,'CC -10'!$B$8:$AS$23,37,0)+VLOOKUP(B10,'CC -10'!$B$8:$AS$23,38,0))</f>
        <v>0</v>
      </c>
      <c r="I10" s="871">
        <f t="shared" ref="I10:I12" si="3">ROUND(E10/$U$2*H10,0)</f>
        <v>0</v>
      </c>
      <c r="J10" s="872">
        <f t="shared" ref="J10:K12" si="4">F10+H10</f>
        <v>27</v>
      </c>
      <c r="K10" s="873">
        <f>G10+I10</f>
        <v>2877500</v>
      </c>
      <c r="L10" s="243">
        <f>VLOOKUP(B10,DS,6,0)</f>
        <v>260000</v>
      </c>
      <c r="M10" s="874">
        <f t="shared" ref="M10:M12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2" si="6">M10-SUM(N10:P10)</f>
        <v>3137500</v>
      </c>
      <c r="R10" s="873">
        <f>VLOOKUP(B10,DS,23,0)</f>
        <v>0</v>
      </c>
      <c r="S10" s="875">
        <f t="shared" ref="S10:S12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2" si="8">VLOOKUP(B11,DS,4,0)</f>
        <v>2877500</v>
      </c>
      <c r="F11" s="870">
        <f>VLOOKUP(B11,'CC -10'!$B$8:$AS$23,36,0)</f>
        <v>27</v>
      </c>
      <c r="G11" s="871">
        <f t="shared" si="2"/>
        <v>2877500</v>
      </c>
      <c r="H11" s="870">
        <f>(VLOOKUP(B11,'CC -10'!$B$8:$AS$23,37,0)+VLOOKUP(B11,'CC -10'!$B$8:$AS$23,38,0))</f>
        <v>0</v>
      </c>
      <c r="I11" s="871">
        <f t="shared" si="3"/>
        <v>0</v>
      </c>
      <c r="J11" s="872">
        <f t="shared" si="4"/>
        <v>27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-10'!$B$8:$AS$23,36,0)</f>
        <v>27</v>
      </c>
      <c r="G12" s="871">
        <f t="shared" si="2"/>
        <v>1565000</v>
      </c>
      <c r="H12" s="870">
        <f>(VLOOKUP(B12,'CC -10'!$B$8:$AS$23,37,0)+VLOOKUP(B12,'CC -10'!$B$8:$AS$23,38,0))</f>
        <v>0</v>
      </c>
      <c r="I12" s="871">
        <f t="shared" si="3"/>
        <v>0</v>
      </c>
      <c r="J12" s="872">
        <f t="shared" si="4"/>
        <v>27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78"/>
      <c r="B13" s="879"/>
      <c r="C13" s="880"/>
      <c r="D13" s="881"/>
      <c r="E13" s="882"/>
      <c r="F13" s="883"/>
      <c r="G13" s="884"/>
      <c r="H13" s="883"/>
      <c r="I13" s="884"/>
      <c r="J13" s="885"/>
      <c r="K13" s="886"/>
      <c r="L13" s="882"/>
      <c r="M13" s="887"/>
      <c r="N13" s="887"/>
      <c r="O13" s="887"/>
      <c r="P13" s="887"/>
      <c r="Q13" s="886"/>
      <c r="R13" s="886"/>
      <c r="S13" s="888"/>
      <c r="T13" s="886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92" customFormat="1" ht="21" customHeight="1">
      <c r="A14" s="1151" t="s">
        <v>39</v>
      </c>
      <c r="B14" s="1151"/>
      <c r="C14" s="1151"/>
      <c r="D14" s="1151"/>
      <c r="E14" s="889">
        <f>SUM(E9:E12)</f>
        <v>7320000</v>
      </c>
      <c r="F14" s="889"/>
      <c r="G14" s="889">
        <f>SUM(G9:G12)</f>
        <v>7320000</v>
      </c>
      <c r="H14" s="889"/>
      <c r="I14" s="889">
        <f>SUM(I9:I12)</f>
        <v>0</v>
      </c>
      <c r="J14" s="889"/>
      <c r="K14" s="889">
        <f t="shared" ref="K14:S14" si="9">SUM(K9:K12)</f>
        <v>7320000</v>
      </c>
      <c r="L14" s="889">
        <f t="shared" si="9"/>
        <v>780000</v>
      </c>
      <c r="M14" s="889">
        <f t="shared" si="9"/>
        <v>8100000</v>
      </c>
      <c r="N14" s="889">
        <f t="shared" si="9"/>
        <v>0</v>
      </c>
      <c r="O14" s="889">
        <f t="shared" si="9"/>
        <v>0</v>
      </c>
      <c r="P14" s="889">
        <f t="shared" si="9"/>
        <v>0</v>
      </c>
      <c r="Q14" s="889">
        <f t="shared" si="9"/>
        <v>8100000</v>
      </c>
      <c r="R14" s="889">
        <f t="shared" si="9"/>
        <v>0</v>
      </c>
      <c r="S14" s="889">
        <f t="shared" si="9"/>
        <v>8100000</v>
      </c>
      <c r="T14" s="890"/>
      <c r="U14" s="826"/>
      <c r="V14" s="891"/>
      <c r="W14" s="891"/>
      <c r="X14" s="891"/>
      <c r="Y14" s="891"/>
    </row>
    <row r="15" spans="1:30" s="863" customFormat="1" ht="24" customHeight="1">
      <c r="A15" s="864" t="s">
        <v>729</v>
      </c>
      <c r="B15" s="865" t="s">
        <v>759</v>
      </c>
      <c r="C15" s="866"/>
      <c r="D15" s="866"/>
      <c r="E15" s="866"/>
      <c r="F15" s="866"/>
      <c r="G15" s="866"/>
      <c r="H15" s="866"/>
      <c r="I15" s="866"/>
      <c r="J15" s="866"/>
      <c r="K15" s="866"/>
      <c r="L15" s="866"/>
      <c r="M15" s="866"/>
      <c r="N15" s="866"/>
      <c r="O15" s="866"/>
      <c r="P15" s="866"/>
      <c r="Q15" s="866"/>
      <c r="R15" s="866"/>
      <c r="S15" s="866"/>
      <c r="T15" s="866"/>
      <c r="U15" s="826"/>
      <c r="V15" s="860"/>
      <c r="W15" s="861"/>
      <c r="X15" s="861"/>
      <c r="Y15" s="861"/>
      <c r="Z15" s="862"/>
      <c r="AA15" s="862"/>
      <c r="AB15" s="862"/>
      <c r="AC15" s="862"/>
      <c r="AD15" s="862"/>
    </row>
    <row r="16" spans="1:30" s="877" customFormat="1" ht="24" customHeight="1">
      <c r="A16" s="867">
        <v>1</v>
      </c>
      <c r="B16" s="754" t="s">
        <v>626</v>
      </c>
      <c r="C16" s="868" t="str">
        <f t="shared" ref="C16:C19" si="10">VLOOKUP(B16,DS,2,0)</f>
        <v>Nguyễn Thị Thanh Thúy</v>
      </c>
      <c r="D16" s="869" t="str">
        <f t="shared" ref="D16:D19" si="11">VLOOKUP(B16,DS,3,0)</f>
        <v>Công nhân</v>
      </c>
      <c r="E16" s="243">
        <f t="shared" ref="E16:E19" si="12">VLOOKUP(B16,DS,4,0)</f>
        <v>1365000</v>
      </c>
      <c r="F16" s="870">
        <f>VLOOKUP(B16,'CC -10'!$B$8:$AS$23,36,0)</f>
        <v>27</v>
      </c>
      <c r="G16" s="871">
        <f t="shared" ref="G16:G19" si="13">ROUND(E16/$U$2*F16,0)</f>
        <v>1365000</v>
      </c>
      <c r="H16" s="870">
        <f>(VLOOKUP(B16,'CC -10'!$B$8:$AS$23,37,0)+VLOOKUP(B16,'CC -10'!$B$8:$AS$23,38,0))</f>
        <v>0</v>
      </c>
      <c r="I16" s="871">
        <f t="shared" ref="I16:I19" si="14">ROUND(E16/$U$2*H16,0)</f>
        <v>0</v>
      </c>
      <c r="J16" s="893">
        <f t="shared" ref="J16:K19" si="15">F16+H16</f>
        <v>27</v>
      </c>
      <c r="K16" s="873">
        <f t="shared" si="15"/>
        <v>1365000</v>
      </c>
      <c r="L16" s="243">
        <f>VLOOKUP(B16,DS,6,0)</f>
        <v>260000</v>
      </c>
      <c r="M16" s="874">
        <f t="shared" ref="M16:M19" si="16">K16+L16</f>
        <v>1625000</v>
      </c>
      <c r="N16" s="874">
        <f>IF(VLOOKUP(B16,DS,9,0)="x",'L - 10'!E16*$N$4,0)</f>
        <v>0</v>
      </c>
      <c r="O16" s="874">
        <f t="shared" ref="O16:O19" si="17">IF(VLOOKUP(B16,DS,9,0)="x",E16*0.015,0)</f>
        <v>0</v>
      </c>
      <c r="P16" s="874">
        <f t="shared" ref="P16:P19" si="18">IF(VLOOKUP(B16,DS,9,0)="x",E16*0.01,0)</f>
        <v>0</v>
      </c>
      <c r="Q16" s="873">
        <f>M16-SUM(N16:P16)</f>
        <v>1625000</v>
      </c>
      <c r="R16" s="873">
        <f t="shared" ref="R16:R19" si="19">VLOOKUP(B16,DS,23,0)</f>
        <v>0</v>
      </c>
      <c r="S16" s="875">
        <f>Q16-R16</f>
        <v>1625000</v>
      </c>
      <c r="T16" s="873"/>
      <c r="U16" s="826"/>
      <c r="V16" s="854"/>
      <c r="W16" s="844"/>
      <c r="X16" s="844"/>
      <c r="Y16" s="844"/>
      <c r="Z16" s="819"/>
      <c r="AA16" s="819"/>
      <c r="AB16" s="819"/>
      <c r="AC16" s="819"/>
      <c r="AD16" s="819"/>
    </row>
    <row r="17" spans="1:30" s="877" customFormat="1" ht="24" customHeight="1">
      <c r="A17" s="867">
        <v>2</v>
      </c>
      <c r="B17" s="754" t="s">
        <v>627</v>
      </c>
      <c r="C17" s="868" t="str">
        <f t="shared" si="10"/>
        <v>Huỳnh Đoàn Viết Thanh</v>
      </c>
      <c r="D17" s="869" t="str">
        <f t="shared" si="11"/>
        <v>Công nhân</v>
      </c>
      <c r="E17" s="243">
        <f t="shared" si="12"/>
        <v>1275000</v>
      </c>
      <c r="F17" s="870">
        <f>VLOOKUP(B17,'CC -10'!$B$8:$AS$23,36,0)</f>
        <v>27</v>
      </c>
      <c r="G17" s="871">
        <f t="shared" si="13"/>
        <v>1275000</v>
      </c>
      <c r="H17" s="870">
        <f>(VLOOKUP(B17,'CC -10'!$B$8:$AS$23,37,0)+VLOOKUP(B17,'CC -10'!$B$8:$AS$23,38,0))</f>
        <v>0</v>
      </c>
      <c r="I17" s="871">
        <f t="shared" si="14"/>
        <v>0</v>
      </c>
      <c r="J17" s="893">
        <f t="shared" si="15"/>
        <v>27</v>
      </c>
      <c r="K17" s="873">
        <f t="shared" si="15"/>
        <v>1275000</v>
      </c>
      <c r="L17" s="243">
        <f>VLOOKUP(B17,DS,6,0)</f>
        <v>260000</v>
      </c>
      <c r="M17" s="874">
        <f t="shared" si="16"/>
        <v>1535000</v>
      </c>
      <c r="N17" s="874">
        <f>IF(VLOOKUP(B17,DS,9,0)="x",'L - 10'!E17*$N$4,0)</f>
        <v>0</v>
      </c>
      <c r="O17" s="874">
        <f t="shared" si="17"/>
        <v>0</v>
      </c>
      <c r="P17" s="874">
        <f t="shared" si="18"/>
        <v>0</v>
      </c>
      <c r="Q17" s="873">
        <f t="shared" ref="Q17:Q19" si="20">M17-SUM(N17:P17)</f>
        <v>1535000</v>
      </c>
      <c r="R17" s="873">
        <f t="shared" si="19"/>
        <v>0</v>
      </c>
      <c r="S17" s="875">
        <f t="shared" ref="S17:S19" si="21">Q17-R17</f>
        <v>1535000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3</v>
      </c>
      <c r="B18" s="754" t="s">
        <v>628</v>
      </c>
      <c r="C18" s="868" t="str">
        <f t="shared" si="10"/>
        <v>Trần Ngọc Thoại</v>
      </c>
      <c r="D18" s="869" t="str">
        <f t="shared" si="11"/>
        <v>Công nhân</v>
      </c>
      <c r="E18" s="243">
        <f t="shared" si="12"/>
        <v>990000</v>
      </c>
      <c r="F18" s="870">
        <f>VLOOKUP(B18,'CC -10'!$B$8:$AS$23,36,0)</f>
        <v>27</v>
      </c>
      <c r="G18" s="871">
        <f t="shared" si="13"/>
        <v>990000</v>
      </c>
      <c r="H18" s="870">
        <f>(VLOOKUP(B18,'CC -10'!$B$8:$AS$23,37,0)+VLOOKUP(B18,'CC -10'!$B$8:$AS$23,38,0))</f>
        <v>0</v>
      </c>
      <c r="I18" s="871">
        <f t="shared" si="14"/>
        <v>0</v>
      </c>
      <c r="J18" s="893">
        <f t="shared" si="15"/>
        <v>27</v>
      </c>
      <c r="K18" s="873">
        <f t="shared" si="15"/>
        <v>990000</v>
      </c>
      <c r="L18" s="243">
        <f>VLOOKUP(B18,DS,6,0)</f>
        <v>260000</v>
      </c>
      <c r="M18" s="874">
        <f t="shared" si="16"/>
        <v>1250000</v>
      </c>
      <c r="N18" s="874">
        <f>IF(VLOOKUP(B18,DS,9,0)="x",'L - 10'!E18*$N$4,0)</f>
        <v>0</v>
      </c>
      <c r="O18" s="874">
        <f t="shared" si="17"/>
        <v>0</v>
      </c>
      <c r="P18" s="874">
        <f t="shared" si="18"/>
        <v>0</v>
      </c>
      <c r="Q18" s="873">
        <f t="shared" si="20"/>
        <v>1250000</v>
      </c>
      <c r="R18" s="873">
        <f t="shared" si="19"/>
        <v>0</v>
      </c>
      <c r="S18" s="875">
        <f t="shared" si="21"/>
        <v>1250000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4</v>
      </c>
      <c r="B19" s="754" t="s">
        <v>630</v>
      </c>
      <c r="C19" s="868" t="str">
        <f t="shared" si="10"/>
        <v>Nguyễn Đức Huy</v>
      </c>
      <c r="D19" s="869" t="str">
        <f t="shared" si="11"/>
        <v>Công nhân</v>
      </c>
      <c r="E19" s="243">
        <f t="shared" si="12"/>
        <v>1015000</v>
      </c>
      <c r="F19" s="870">
        <f>VLOOKUP(B19,'CC -10'!$B$8:$AS$23,36,0)</f>
        <v>27</v>
      </c>
      <c r="G19" s="871">
        <f t="shared" si="13"/>
        <v>1015000</v>
      </c>
      <c r="H19" s="870">
        <f>(VLOOKUP(B19,'CC -10'!$B$8:$AS$23,37,0)+VLOOKUP(B19,'CC -10'!$B$8:$AS$23,38,0))</f>
        <v>0</v>
      </c>
      <c r="I19" s="871">
        <f t="shared" si="14"/>
        <v>0</v>
      </c>
      <c r="J19" s="893">
        <f t="shared" si="15"/>
        <v>27</v>
      </c>
      <c r="K19" s="873">
        <f t="shared" si="15"/>
        <v>1015000</v>
      </c>
      <c r="L19" s="243">
        <f>VLOOKUP(B19,DS,6,0)</f>
        <v>260000</v>
      </c>
      <c r="M19" s="874">
        <f t="shared" si="16"/>
        <v>1275000</v>
      </c>
      <c r="N19" s="874">
        <f>IF(VLOOKUP(B19,DS,9,0)="x",'L - 10'!E19*$N$4,0)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1275000</v>
      </c>
      <c r="R19" s="873">
        <f t="shared" si="19"/>
        <v>0</v>
      </c>
      <c r="S19" s="875">
        <f t="shared" si="21"/>
        <v>1275000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2.5" customHeight="1">
      <c r="A20" s="894"/>
      <c r="B20" s="895"/>
      <c r="C20" s="896"/>
      <c r="D20" s="897"/>
      <c r="E20" s="898"/>
      <c r="F20" s="898"/>
      <c r="G20" s="898"/>
      <c r="H20" s="898"/>
      <c r="I20" s="898"/>
      <c r="J20" s="899"/>
      <c r="K20" s="898"/>
      <c r="L20" s="898"/>
      <c r="M20" s="900"/>
      <c r="N20" s="898"/>
      <c r="O20" s="898"/>
      <c r="P20" s="898"/>
      <c r="Q20" s="898"/>
      <c r="R20" s="898"/>
      <c r="S20" s="898"/>
      <c r="T20" s="873"/>
      <c r="U20" s="826"/>
      <c r="V20" s="876"/>
      <c r="W20" s="876"/>
      <c r="X20" s="876"/>
      <c r="Y20" s="876"/>
    </row>
    <row r="21" spans="1:30" s="892" customFormat="1" ht="21" customHeight="1">
      <c r="A21" s="1151" t="s">
        <v>39</v>
      </c>
      <c r="B21" s="1151"/>
      <c r="C21" s="1151"/>
      <c r="D21" s="1151"/>
      <c r="E21" s="889">
        <f>SUM(E15:E20)</f>
        <v>4645000</v>
      </c>
      <c r="F21" s="889"/>
      <c r="G21" s="889">
        <f t="shared" ref="G21:S21" si="22">SUM(G15:G20)</f>
        <v>4645000</v>
      </c>
      <c r="H21" s="889"/>
      <c r="I21" s="889">
        <f t="shared" si="22"/>
        <v>0</v>
      </c>
      <c r="J21" s="889"/>
      <c r="K21" s="889">
        <f t="shared" si="22"/>
        <v>4645000</v>
      </c>
      <c r="L21" s="889">
        <f t="shared" si="22"/>
        <v>1040000</v>
      </c>
      <c r="M21" s="889">
        <f t="shared" si="22"/>
        <v>5685000</v>
      </c>
      <c r="N21" s="889">
        <f t="shared" si="22"/>
        <v>0</v>
      </c>
      <c r="O21" s="889">
        <f t="shared" si="22"/>
        <v>0</v>
      </c>
      <c r="P21" s="889">
        <f t="shared" si="22"/>
        <v>0</v>
      </c>
      <c r="Q21" s="889">
        <f t="shared" si="22"/>
        <v>5685000</v>
      </c>
      <c r="R21" s="889">
        <f t="shared" si="22"/>
        <v>0</v>
      </c>
      <c r="S21" s="889">
        <f t="shared" si="22"/>
        <v>5685000</v>
      </c>
      <c r="T21" s="890"/>
      <c r="U21" s="826"/>
      <c r="V21" s="891"/>
      <c r="W21" s="891"/>
      <c r="X21" s="891"/>
      <c r="Y21" s="891"/>
    </row>
    <row r="22" spans="1:30" ht="11.25" customHeight="1">
      <c r="A22" s="901"/>
      <c r="B22" s="901"/>
      <c r="C22" s="902"/>
      <c r="D22" s="903"/>
      <c r="E22" s="904"/>
      <c r="F22" s="902"/>
      <c r="G22" s="902"/>
      <c r="H22" s="902"/>
      <c r="I22" s="902"/>
      <c r="K22" s="902"/>
      <c r="L22" s="902"/>
      <c r="M22" s="906"/>
      <c r="N22" s="902"/>
      <c r="O22" s="902"/>
      <c r="P22" s="902"/>
      <c r="Q22" s="902"/>
      <c r="R22" s="902"/>
      <c r="S22" s="902"/>
      <c r="T22" s="902"/>
      <c r="U22" s="826"/>
    </row>
    <row r="23" spans="1:30" s="877" customFormat="1" ht="11.25" customHeight="1">
      <c r="A23" s="763"/>
      <c r="B23" s="763"/>
      <c r="C23" s="763"/>
      <c r="D23" s="909"/>
      <c r="E23" s="910"/>
      <c r="F23" s="763"/>
      <c r="G23" s="763"/>
      <c r="H23" s="763"/>
      <c r="I23" s="763"/>
      <c r="J23" s="911"/>
      <c r="K23" s="910"/>
      <c r="L23" s="763"/>
      <c r="M23" s="763"/>
      <c r="N23" s="763"/>
      <c r="O23" s="763"/>
      <c r="P23" s="763"/>
      <c r="Q23" s="763"/>
      <c r="R23" s="763"/>
      <c r="S23" s="764" t="str">
        <f>"Ngày "&amp;IF(OR(MONTH($E$4)=4,MONTH($E$4)=6,MONTH($E$4)=9,MONTH($E$4)=11),"30",IF(MONTH($E$4)=2,"28","31"))&amp;"  tháng  "&amp;MONTH($E$4)&amp;"  năm   "&amp;YEAR($E$4)</f>
        <v>Ngày 31  tháng  10  năm   2012</v>
      </c>
      <c r="T23" s="763"/>
      <c r="U23" s="912"/>
      <c r="V23" s="876"/>
      <c r="W23" s="876"/>
      <c r="X23" s="876"/>
      <c r="Y23" s="876"/>
    </row>
    <row r="24" spans="1:30" s="877" customFormat="1" ht="12.75">
      <c r="A24" s="771"/>
      <c r="B24" s="771"/>
      <c r="C24" s="771" t="s">
        <v>760</v>
      </c>
      <c r="D24" s="913"/>
      <c r="E24" s="773"/>
      <c r="F24" s="912"/>
      <c r="G24" s="773"/>
      <c r="H24" s="773"/>
      <c r="I24" s="773"/>
      <c r="J24" s="914"/>
      <c r="K24" s="876"/>
      <c r="L24" s="771"/>
      <c r="M24" s="915"/>
      <c r="N24" s="765"/>
      <c r="O24" s="765"/>
      <c r="P24" s="765"/>
      <c r="Q24" s="765"/>
      <c r="S24" s="912" t="s">
        <v>109</v>
      </c>
      <c r="T24" s="912"/>
      <c r="U24" s="912"/>
      <c r="V24" s="876"/>
      <c r="W24" s="876"/>
      <c r="X24" s="876"/>
      <c r="Y24" s="876"/>
    </row>
    <row r="25" spans="1:30" ht="12">
      <c r="A25" s="901"/>
      <c r="B25" s="901"/>
      <c r="C25" s="916"/>
      <c r="E25" s="917"/>
      <c r="F25" s="828"/>
      <c r="G25" s="917"/>
      <c r="H25" s="917"/>
      <c r="I25" s="917"/>
      <c r="K25" s="907"/>
      <c r="L25" s="916"/>
      <c r="N25" s="918"/>
      <c r="O25" s="918"/>
      <c r="P25" s="918"/>
      <c r="Q25" s="918"/>
      <c r="S25" s="918"/>
      <c r="T25" s="828"/>
      <c r="U25" s="826"/>
    </row>
    <row r="26" spans="1:30" ht="12">
      <c r="C26" s="916"/>
      <c r="L26" s="916"/>
      <c r="T26" s="916"/>
      <c r="U26" s="826"/>
    </row>
    <row r="27" spans="1:30" ht="12"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</sheetData>
  <protectedRanges>
    <protectedRange password="CC78" sqref="V20:IJ21 C5:D7 B24:C24 A20:A25 B20:B23 B25 V15 Q5:T7 AE13:IJ13 E5:I6 N5:P6 L5 L24 J6:K7 L7 A27:T60 U33:U60 N20:S20 V27:IJ60 V13 J20:L20 AE15:IJ15 V14:IJ14 D14:T14 D21:T21 Q13:S13 A13:B14 A61:IJ65328 A10:B12 Q10:S12 V5:V12 AE5:IJ12" name="Range1"/>
    <protectedRange password="CC78" sqref="F7:H7" name="Range1_4"/>
    <protectedRange password="CC78" sqref="V24:IJ25 S24:T25 N24:Q25 E24:I25" name="Range1_1_1"/>
    <protectedRange password="CC78" sqref="U1 V1:IJ4 B4:T4 W13:AD13 R2:S3 B1:Q3 U20:U32 W15:AD15 U13:U15 U4:U12 W5:AD12" name="Range1_2"/>
    <protectedRange password="CC78" sqref="A1" name="Range1_2_1_1"/>
    <protectedRange password="CC78" sqref="I7" name="Range1_4_1"/>
    <protectedRange password="CC78" sqref="U2:U3" name="Range1_2_2_1"/>
    <protectedRange password="CC78" sqref="AE16:IJ19 V16:V19 Q16:S19 A16:B19" name="Range1_5"/>
    <protectedRange password="CC78" sqref="W16:AD19 U16:U19" name="Range1_2_3"/>
    <protectedRange password="CC78" sqref="K16:K19 K10:K13" name="Range1_6"/>
    <protectedRange password="CC78" sqref="A2:A3" name="Range1_2_1_3"/>
  </protectedRanges>
  <autoFilter ref="A7:AD10"/>
  <mergeCells count="24">
    <mergeCell ref="A14:D14"/>
    <mergeCell ref="A21:D21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10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11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10" t="s">
        <v>713</v>
      </c>
      <c r="AN1" s="1111"/>
      <c r="AO1" s="1111"/>
      <c r="AP1" s="1111"/>
      <c r="AQ1" s="1111"/>
      <c r="AR1" s="1111"/>
      <c r="AS1" s="1112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41214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800">
        <f>+E4</f>
        <v>41214</v>
      </c>
      <c r="G5" s="800">
        <f t="shared" ref="G5:AJ5" si="0">F5+1</f>
        <v>41215</v>
      </c>
      <c r="H5" s="800">
        <f t="shared" si="0"/>
        <v>41216</v>
      </c>
      <c r="I5" s="800">
        <f t="shared" si="0"/>
        <v>41217</v>
      </c>
      <c r="J5" s="800">
        <f t="shared" si="0"/>
        <v>41218</v>
      </c>
      <c r="K5" s="800">
        <f t="shared" si="0"/>
        <v>41219</v>
      </c>
      <c r="L5" s="800">
        <f t="shared" si="0"/>
        <v>41220</v>
      </c>
      <c r="M5" s="800">
        <f t="shared" si="0"/>
        <v>41221</v>
      </c>
      <c r="N5" s="800">
        <f t="shared" si="0"/>
        <v>41222</v>
      </c>
      <c r="O5" s="800">
        <f t="shared" si="0"/>
        <v>41223</v>
      </c>
      <c r="P5" s="800">
        <f t="shared" si="0"/>
        <v>41224</v>
      </c>
      <c r="Q5" s="800">
        <f t="shared" si="0"/>
        <v>41225</v>
      </c>
      <c r="R5" s="800">
        <f t="shared" si="0"/>
        <v>41226</v>
      </c>
      <c r="S5" s="800">
        <f t="shared" si="0"/>
        <v>41227</v>
      </c>
      <c r="T5" s="800">
        <f t="shared" si="0"/>
        <v>41228</v>
      </c>
      <c r="U5" s="800">
        <f t="shared" si="0"/>
        <v>41229</v>
      </c>
      <c r="V5" s="800">
        <f t="shared" si="0"/>
        <v>41230</v>
      </c>
      <c r="W5" s="800">
        <f t="shared" si="0"/>
        <v>41231</v>
      </c>
      <c r="X5" s="800">
        <f t="shared" si="0"/>
        <v>41232</v>
      </c>
      <c r="Y5" s="800">
        <f t="shared" si="0"/>
        <v>41233</v>
      </c>
      <c r="Z5" s="800">
        <f t="shared" si="0"/>
        <v>41234</v>
      </c>
      <c r="AA5" s="800">
        <f t="shared" si="0"/>
        <v>41235</v>
      </c>
      <c r="AB5" s="800">
        <f t="shared" si="0"/>
        <v>41236</v>
      </c>
      <c r="AC5" s="800">
        <f t="shared" si="0"/>
        <v>41237</v>
      </c>
      <c r="AD5" s="800">
        <f t="shared" si="0"/>
        <v>41238</v>
      </c>
      <c r="AE5" s="800">
        <f t="shared" si="0"/>
        <v>41239</v>
      </c>
      <c r="AF5" s="800">
        <f t="shared" si="0"/>
        <v>41240</v>
      </c>
      <c r="AG5" s="800">
        <f t="shared" si="0"/>
        <v>41241</v>
      </c>
      <c r="AH5" s="800">
        <f>AG5+1</f>
        <v>41242</v>
      </c>
      <c r="AI5" s="800">
        <f t="shared" si="0"/>
        <v>41243</v>
      </c>
      <c r="AJ5" s="800">
        <f t="shared" si="0"/>
        <v>41244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14"/>
      <c r="B6" s="1114"/>
      <c r="C6" s="1114"/>
      <c r="D6" s="1114"/>
      <c r="E6" s="1114"/>
      <c r="F6" s="802" t="str">
        <f>CHOOSE(WEEKDAY(F5),"C.Nhật","T.Hai","T.Ba","T.Tư","T.Năm","T.Sáu","T.Bảy")</f>
        <v>T.Năm</v>
      </c>
      <c r="G6" s="802" t="str">
        <f t="shared" ref="G6:AJ6" si="1">CHOOSE(WEEKDAY(G5),"C.Nhật","T.Hai","T.Ba","T.Tư","T.Năm","T.Sáu","T.Bảy")</f>
        <v>T.Sáu</v>
      </c>
      <c r="H6" s="802" t="str">
        <f t="shared" si="1"/>
        <v>T.Bảy</v>
      </c>
      <c r="I6" s="802" t="str">
        <f t="shared" si="1"/>
        <v>C.Nhật</v>
      </c>
      <c r="J6" s="802" t="str">
        <f t="shared" si="1"/>
        <v>T.Hai</v>
      </c>
      <c r="K6" s="802" t="str">
        <f t="shared" si="1"/>
        <v>T.Ba</v>
      </c>
      <c r="L6" s="802" t="str">
        <f t="shared" si="1"/>
        <v>T.Tư</v>
      </c>
      <c r="M6" s="802" t="str">
        <f t="shared" si="1"/>
        <v>T.Năm</v>
      </c>
      <c r="N6" s="802" t="str">
        <f t="shared" si="1"/>
        <v>T.Sáu</v>
      </c>
      <c r="O6" s="802" t="str">
        <f t="shared" si="1"/>
        <v>T.Bảy</v>
      </c>
      <c r="P6" s="802" t="str">
        <f t="shared" si="1"/>
        <v>C.Nhật</v>
      </c>
      <c r="Q6" s="802" t="str">
        <f t="shared" si="1"/>
        <v>T.Hai</v>
      </c>
      <c r="R6" s="802" t="str">
        <f t="shared" si="1"/>
        <v>T.Ba</v>
      </c>
      <c r="S6" s="802" t="str">
        <f t="shared" si="1"/>
        <v>T.Tư</v>
      </c>
      <c r="T6" s="802" t="str">
        <f t="shared" si="1"/>
        <v>T.Năm</v>
      </c>
      <c r="U6" s="802" t="str">
        <f t="shared" si="1"/>
        <v>T.Sáu</v>
      </c>
      <c r="V6" s="802" t="str">
        <f t="shared" si="1"/>
        <v>T.Bảy</v>
      </c>
      <c r="W6" s="802" t="str">
        <f t="shared" si="1"/>
        <v>C.Nhật</v>
      </c>
      <c r="X6" s="802" t="str">
        <f t="shared" si="1"/>
        <v>T.Hai</v>
      </c>
      <c r="Y6" s="802" t="str">
        <f t="shared" si="1"/>
        <v>T.Ba</v>
      </c>
      <c r="Z6" s="802" t="str">
        <f t="shared" si="1"/>
        <v>T.Tư</v>
      </c>
      <c r="AA6" s="802" t="str">
        <f t="shared" si="1"/>
        <v>T.Năm</v>
      </c>
      <c r="AB6" s="802" t="str">
        <f t="shared" si="1"/>
        <v>T.Sáu</v>
      </c>
      <c r="AC6" s="802" t="str">
        <f t="shared" si="1"/>
        <v>T.Bảy</v>
      </c>
      <c r="AD6" s="802" t="str">
        <f t="shared" si="1"/>
        <v>C.Nhật</v>
      </c>
      <c r="AE6" s="802" t="str">
        <f t="shared" si="1"/>
        <v>T.Hai</v>
      </c>
      <c r="AF6" s="802" t="str">
        <f t="shared" si="1"/>
        <v>T.Ba</v>
      </c>
      <c r="AG6" s="802" t="str">
        <f t="shared" si="1"/>
        <v>T.Tư</v>
      </c>
      <c r="AH6" s="802" t="str">
        <f t="shared" si="1"/>
        <v>T.Năm</v>
      </c>
      <c r="AI6" s="802" t="str">
        <f t="shared" si="1"/>
        <v>T.Sáu</v>
      </c>
      <c r="AJ6" s="802" t="str">
        <f t="shared" si="1"/>
        <v>T.Bảy</v>
      </c>
      <c r="AK6" s="803" t="s">
        <v>723</v>
      </c>
      <c r="AL6" s="803" t="s">
        <v>724</v>
      </c>
      <c r="AM6" s="804" t="s">
        <v>725</v>
      </c>
      <c r="AN6" s="1120"/>
      <c r="AO6" s="1120"/>
      <c r="AP6" s="1120"/>
      <c r="AQ6" s="1120"/>
      <c r="AR6" s="1120"/>
      <c r="AS6" s="1114"/>
      <c r="AT6" s="1121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3" t="s">
        <v>728</v>
      </c>
      <c r="F9" s="814">
        <v>8</v>
      </c>
      <c r="G9" s="814">
        <v>8</v>
      </c>
      <c r="H9" s="814">
        <v>8</v>
      </c>
      <c r="I9" s="814"/>
      <c r="J9" s="814">
        <v>8</v>
      </c>
      <c r="K9" s="814">
        <v>8</v>
      </c>
      <c r="L9" s="814">
        <v>8</v>
      </c>
      <c r="M9" s="814">
        <v>8</v>
      </c>
      <c r="N9" s="814">
        <v>8</v>
      </c>
      <c r="O9" s="814">
        <v>8</v>
      </c>
      <c r="P9" s="814"/>
      <c r="Q9" s="814">
        <v>8</v>
      </c>
      <c r="R9" s="814">
        <v>8</v>
      </c>
      <c r="S9" s="814">
        <v>8</v>
      </c>
      <c r="T9" s="814">
        <v>8</v>
      </c>
      <c r="U9" s="814">
        <v>8</v>
      </c>
      <c r="V9" s="814">
        <v>8</v>
      </c>
      <c r="W9" s="814"/>
      <c r="X9" s="814">
        <v>8</v>
      </c>
      <c r="Y9" s="814">
        <v>8</v>
      </c>
      <c r="Z9" s="814">
        <v>8</v>
      </c>
      <c r="AA9" s="814">
        <v>8</v>
      </c>
      <c r="AB9" s="814">
        <v>8</v>
      </c>
      <c r="AC9" s="814">
        <v>8</v>
      </c>
      <c r="AD9" s="814"/>
      <c r="AE9" s="814">
        <v>8</v>
      </c>
      <c r="AF9" s="814">
        <v>8</v>
      </c>
      <c r="AG9" s="814">
        <v>8</v>
      </c>
      <c r="AH9" s="814">
        <v>8</v>
      </c>
      <c r="AI9" s="814">
        <v>8</v>
      </c>
      <c r="AJ9" s="814"/>
      <c r="AK9" s="1128">
        <f>((SUM(F9:AJ9))/8)-(SUMIF($F$6:$AJ$6,"C.Nhật",F9:AJ9)/8)</f>
        <v>26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26</v>
      </c>
      <c r="AO9" s="1136">
        <v>0</v>
      </c>
      <c r="AP9" s="1130"/>
      <c r="AQ9" s="1130"/>
      <c r="AR9" s="1130"/>
      <c r="AS9" s="113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23"/>
      <c r="B10" s="1123"/>
      <c r="C10" s="1125"/>
      <c r="D10" s="1127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3" t="s">
        <v>728</v>
      </c>
      <c r="F11" s="814">
        <v>8</v>
      </c>
      <c r="G11" s="814">
        <v>8</v>
      </c>
      <c r="H11" s="814">
        <v>8</v>
      </c>
      <c r="I11" s="814"/>
      <c r="J11" s="814">
        <v>8</v>
      </c>
      <c r="K11" s="814">
        <v>8</v>
      </c>
      <c r="L11" s="814">
        <v>8</v>
      </c>
      <c r="M11" s="814">
        <v>8</v>
      </c>
      <c r="N11" s="814">
        <v>8</v>
      </c>
      <c r="O11" s="814">
        <v>8</v>
      </c>
      <c r="P11" s="814"/>
      <c r="Q11" s="814">
        <v>8</v>
      </c>
      <c r="R11" s="814">
        <v>8</v>
      </c>
      <c r="S11" s="814">
        <v>8</v>
      </c>
      <c r="T11" s="814">
        <v>8</v>
      </c>
      <c r="U11" s="814">
        <v>8</v>
      </c>
      <c r="V11" s="814">
        <v>8</v>
      </c>
      <c r="W11" s="814"/>
      <c r="X11" s="814">
        <v>8</v>
      </c>
      <c r="Y11" s="814">
        <v>8</v>
      </c>
      <c r="Z11" s="814">
        <v>8</v>
      </c>
      <c r="AA11" s="814">
        <v>8</v>
      </c>
      <c r="AB11" s="814">
        <v>8</v>
      </c>
      <c r="AC11" s="814">
        <v>8</v>
      </c>
      <c r="AD11" s="814"/>
      <c r="AE11" s="814">
        <v>8</v>
      </c>
      <c r="AF11" s="814">
        <v>8</v>
      </c>
      <c r="AG11" s="814">
        <v>8</v>
      </c>
      <c r="AH11" s="814">
        <v>8</v>
      </c>
      <c r="AI11" s="814">
        <v>8</v>
      </c>
      <c r="AJ11" s="814"/>
      <c r="AK11" s="1128">
        <f t="shared" ref="AK11" si="2">((SUM(F11:AJ11))/8)-(SUMIF($F$6:$AJ$6,"C.Nhật",F11:AJ11)/8)</f>
        <v>26</v>
      </c>
      <c r="AL11" s="1128">
        <f t="shared" ref="AL11" si="3">SUM(F12:AJ12)/8*1.5</f>
        <v>0</v>
      </c>
      <c r="AM11" s="1134">
        <f t="shared" ref="AM11:AM15" si="4">SUMIF($F$6:$AJ$6,"C.Nhật",$F11:$AJ12)/8*2</f>
        <v>0</v>
      </c>
      <c r="AN11" s="1130">
        <f t="shared" ref="AN11" si="5">SUM(AK11:AM12)</f>
        <v>26</v>
      </c>
      <c r="AO11" s="1136">
        <v>0</v>
      </c>
      <c r="AP11" s="1130"/>
      <c r="AQ11" s="1130"/>
      <c r="AR11" s="1130"/>
      <c r="AS11" s="113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23"/>
      <c r="B12" s="1123"/>
      <c r="C12" s="1125"/>
      <c r="D12" s="1127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3" t="s">
        <v>728</v>
      </c>
      <c r="F13" s="814">
        <v>8</v>
      </c>
      <c r="G13" s="814">
        <v>8</v>
      </c>
      <c r="H13" s="814">
        <v>8</v>
      </c>
      <c r="I13" s="814"/>
      <c r="J13" s="814">
        <v>8</v>
      </c>
      <c r="K13" s="814">
        <v>8</v>
      </c>
      <c r="L13" s="814">
        <v>8</v>
      </c>
      <c r="M13" s="814">
        <v>8</v>
      </c>
      <c r="N13" s="814">
        <v>8</v>
      </c>
      <c r="O13" s="814">
        <v>8</v>
      </c>
      <c r="P13" s="814"/>
      <c r="Q13" s="814">
        <v>8</v>
      </c>
      <c r="R13" s="814">
        <v>8</v>
      </c>
      <c r="S13" s="814">
        <v>8</v>
      </c>
      <c r="T13" s="814">
        <v>8</v>
      </c>
      <c r="U13" s="814">
        <v>8</v>
      </c>
      <c r="V13" s="814">
        <v>8</v>
      </c>
      <c r="W13" s="814"/>
      <c r="X13" s="814">
        <v>8</v>
      </c>
      <c r="Y13" s="814">
        <v>8</v>
      </c>
      <c r="Z13" s="814">
        <v>8</v>
      </c>
      <c r="AA13" s="814">
        <v>8</v>
      </c>
      <c r="AB13" s="814">
        <v>8</v>
      </c>
      <c r="AC13" s="814">
        <v>8</v>
      </c>
      <c r="AD13" s="814"/>
      <c r="AE13" s="814">
        <v>8</v>
      </c>
      <c r="AF13" s="814">
        <v>8</v>
      </c>
      <c r="AG13" s="814">
        <v>8</v>
      </c>
      <c r="AH13" s="814">
        <v>8</v>
      </c>
      <c r="AI13" s="814">
        <v>8</v>
      </c>
      <c r="AJ13" s="814"/>
      <c r="AK13" s="1128">
        <f t="shared" ref="AK13" si="6">((SUM(F13:AJ13))/8)-(SUMIF($F$6:$AJ$6,"C.Nhật",F13:AJ13)/8)</f>
        <v>26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26</v>
      </c>
      <c r="AO13" s="1136">
        <v>0</v>
      </c>
      <c r="AP13" s="1130"/>
      <c r="AQ13" s="1130"/>
      <c r="AR13" s="1130"/>
      <c r="AS13" s="113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23"/>
      <c r="B14" s="1123"/>
      <c r="C14" s="1125"/>
      <c r="D14" s="1127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01" customFormat="1" ht="18" customHeight="1">
      <c r="A15" s="1122">
        <v>4</v>
      </c>
      <c r="B15" s="1122" t="s">
        <v>765</v>
      </c>
      <c r="C15" s="1124" t="str">
        <f>VLOOKUP(B15,DS,2,0)</f>
        <v>Nguyễn Thị Thu Hà</v>
      </c>
      <c r="D15" s="1126" t="str">
        <f>VLOOKUP(B15,DS,3,0)</f>
        <v>Kế Toán</v>
      </c>
      <c r="E15" s="813" t="s">
        <v>728</v>
      </c>
      <c r="F15" s="814">
        <v>8</v>
      </c>
      <c r="G15" s="814">
        <v>8</v>
      </c>
      <c r="H15" s="814">
        <v>8</v>
      </c>
      <c r="I15" s="814"/>
      <c r="J15" s="814">
        <v>8</v>
      </c>
      <c r="K15" s="814">
        <v>8</v>
      </c>
      <c r="L15" s="814">
        <v>8</v>
      </c>
      <c r="M15" s="814">
        <v>8</v>
      </c>
      <c r="N15" s="814">
        <v>8</v>
      </c>
      <c r="O15" s="814">
        <v>8</v>
      </c>
      <c r="P15" s="814"/>
      <c r="Q15" s="814">
        <v>8</v>
      </c>
      <c r="R15" s="814">
        <v>8</v>
      </c>
      <c r="S15" s="814">
        <v>8</v>
      </c>
      <c r="T15" s="814">
        <v>8</v>
      </c>
      <c r="U15" s="814">
        <v>8</v>
      </c>
      <c r="V15" s="814">
        <v>8</v>
      </c>
      <c r="W15" s="814"/>
      <c r="X15" s="814">
        <v>8</v>
      </c>
      <c r="Y15" s="814">
        <v>8</v>
      </c>
      <c r="Z15" s="814">
        <v>8</v>
      </c>
      <c r="AA15" s="814">
        <v>8</v>
      </c>
      <c r="AB15" s="814">
        <v>8</v>
      </c>
      <c r="AC15" s="814">
        <v>8</v>
      </c>
      <c r="AD15" s="814"/>
      <c r="AE15" s="814">
        <v>8</v>
      </c>
      <c r="AF15" s="814">
        <v>8</v>
      </c>
      <c r="AG15" s="814">
        <v>8</v>
      </c>
      <c r="AH15" s="814">
        <v>8</v>
      </c>
      <c r="AI15" s="814">
        <v>8</v>
      </c>
      <c r="AJ15" s="814"/>
      <c r="AK15" s="1128">
        <f t="shared" ref="AK15" si="9">((SUM(F15:AJ15))/8)-(SUMIF($F$6:$AJ$6,"C.Nhật",F15:AJ15)/8)</f>
        <v>26</v>
      </c>
      <c r="AL15" s="1128">
        <f t="shared" ref="AL15" si="10">SUM(F16:AJ16)/8*1.5</f>
        <v>0</v>
      </c>
      <c r="AM15" s="1134">
        <f t="shared" si="4"/>
        <v>0</v>
      </c>
      <c r="AN15" s="1130">
        <f t="shared" ref="AN15" si="11">SUM(AK15:AM16)</f>
        <v>26</v>
      </c>
      <c r="AO15" s="1136">
        <v>0</v>
      </c>
      <c r="AP15" s="1130"/>
      <c r="AQ15" s="1130"/>
      <c r="AR15" s="1130"/>
      <c r="AS15" s="1132"/>
      <c r="AT15" s="806"/>
      <c r="AV15" s="730"/>
      <c r="AW15" s="730"/>
      <c r="AX15" s="730"/>
      <c r="AY15" s="730"/>
      <c r="AZ15" s="730"/>
      <c r="BA15" s="730"/>
      <c r="BB15" s="730"/>
      <c r="BC15" s="730"/>
      <c r="BD15" s="730"/>
      <c r="BE15" s="730"/>
      <c r="BF15" s="730"/>
      <c r="BG15" s="730"/>
      <c r="BH15" s="730"/>
      <c r="BI15" s="730"/>
      <c r="BJ15" s="730"/>
      <c r="BK15" s="730"/>
      <c r="BL15" s="730"/>
      <c r="BM15" s="730"/>
      <c r="BN15" s="730"/>
      <c r="BO15" s="730"/>
      <c r="BP15" s="730"/>
      <c r="BQ15" s="730"/>
      <c r="BR15" s="730"/>
      <c r="BS15" s="730"/>
      <c r="BT15" s="730"/>
      <c r="BU15" s="730"/>
      <c r="BV15" s="730"/>
      <c r="BW15" s="730"/>
      <c r="BX15" s="730"/>
      <c r="BY15" s="730"/>
      <c r="BZ15" s="730"/>
      <c r="CA15" s="730"/>
      <c r="CB15" s="730"/>
      <c r="CC15" s="730"/>
      <c r="CD15" s="730"/>
      <c r="CE15" s="730"/>
      <c r="CF15" s="730"/>
      <c r="CG15" s="730"/>
      <c r="CH15" s="730"/>
      <c r="CI15" s="730"/>
      <c r="CJ15" s="730"/>
      <c r="CK15" s="730"/>
      <c r="CL15" s="730"/>
      <c r="CM15" s="730"/>
    </row>
    <row r="16" spans="1:91" s="801" customFormat="1" ht="18" customHeight="1">
      <c r="A16" s="1123"/>
      <c r="B16" s="1123"/>
      <c r="C16" s="1125"/>
      <c r="D16" s="1127"/>
      <c r="E16" s="815" t="s">
        <v>724</v>
      </c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1129"/>
      <c r="AL16" s="1129"/>
      <c r="AM16" s="1135"/>
      <c r="AN16" s="1131"/>
      <c r="AO16" s="1137"/>
      <c r="AP16" s="1131"/>
      <c r="AQ16" s="1131"/>
      <c r="AR16" s="1131"/>
      <c r="AS16" s="1133"/>
      <c r="AT16" s="806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  <c r="CM16" s="730"/>
    </row>
    <row r="17" spans="1:90" s="812" customFormat="1" ht="21" customHeight="1">
      <c r="A17" s="807" t="s">
        <v>729</v>
      </c>
      <c r="B17" s="808" t="s">
        <v>730</v>
      </c>
      <c r="C17" s="809"/>
      <c r="D17" s="809"/>
      <c r="E17" s="809"/>
      <c r="F17" s="809"/>
      <c r="G17" s="809"/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09"/>
      <c r="AS17" s="810"/>
      <c r="AT17" s="811"/>
    </row>
    <row r="18" spans="1:90" s="801" customFormat="1" ht="18" customHeight="1">
      <c r="A18" s="1122">
        <v>1</v>
      </c>
      <c r="B18" s="1122" t="s">
        <v>626</v>
      </c>
      <c r="C18" s="1124" t="str">
        <f>VLOOKUP(B18,DS,2,0)</f>
        <v>Nguyễn Thị Thanh Thúy</v>
      </c>
      <c r="D18" s="1126" t="str">
        <f>VLOOKUP(B18,DS,3,0)</f>
        <v>Công nhân</v>
      </c>
      <c r="E18" s="813" t="s">
        <v>728</v>
      </c>
      <c r="F18" s="814">
        <v>8</v>
      </c>
      <c r="G18" s="814">
        <v>8</v>
      </c>
      <c r="H18" s="814">
        <v>8</v>
      </c>
      <c r="I18" s="814"/>
      <c r="J18" s="814">
        <v>8</v>
      </c>
      <c r="K18" s="814">
        <v>8</v>
      </c>
      <c r="L18" s="814">
        <v>8</v>
      </c>
      <c r="M18" s="814">
        <v>8</v>
      </c>
      <c r="N18" s="814">
        <v>8</v>
      </c>
      <c r="O18" s="814">
        <v>8</v>
      </c>
      <c r="P18" s="814"/>
      <c r="Q18" s="814">
        <v>8</v>
      </c>
      <c r="R18" s="814">
        <v>8</v>
      </c>
      <c r="S18" s="814">
        <v>8</v>
      </c>
      <c r="T18" s="814">
        <v>8</v>
      </c>
      <c r="U18" s="814">
        <v>8</v>
      </c>
      <c r="V18" s="814">
        <v>8</v>
      </c>
      <c r="W18" s="814"/>
      <c r="X18" s="814">
        <v>8</v>
      </c>
      <c r="Y18" s="814">
        <v>8</v>
      </c>
      <c r="Z18" s="814">
        <v>8</v>
      </c>
      <c r="AA18" s="814">
        <v>8</v>
      </c>
      <c r="AB18" s="814">
        <v>8</v>
      </c>
      <c r="AC18" s="814">
        <v>8</v>
      </c>
      <c r="AD18" s="814"/>
      <c r="AE18" s="814">
        <v>8</v>
      </c>
      <c r="AF18" s="814">
        <v>8</v>
      </c>
      <c r="AG18" s="814">
        <v>8</v>
      </c>
      <c r="AH18" s="814">
        <v>8</v>
      </c>
      <c r="AI18" s="814">
        <v>8</v>
      </c>
      <c r="AJ18" s="814"/>
      <c r="AK18" s="1128">
        <f t="shared" ref="AK18" si="12">((SUM(F18:AJ18))/8)-(SUMIF($F$6:$AJ$6,"C.Nhật",F18:AJ18)/8)</f>
        <v>26</v>
      </c>
      <c r="AL18" s="1128">
        <f t="shared" ref="AL18" si="13">SUM(F19:AJ19)/8*1.5</f>
        <v>0</v>
      </c>
      <c r="AM18" s="1134">
        <f>SUMIF($F$6:$AJ$6,"C.Nhật",$F18:$AJ19)/8*2</f>
        <v>0</v>
      </c>
      <c r="AN18" s="1130">
        <f>SUM(AK18:AM19)</f>
        <v>26</v>
      </c>
      <c r="AO18" s="1136">
        <v>0</v>
      </c>
      <c r="AP18" s="1130"/>
      <c r="AQ18" s="1130"/>
      <c r="AR18" s="1130"/>
      <c r="AS18" s="113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23"/>
      <c r="B19" s="1123"/>
      <c r="C19" s="1125"/>
      <c r="D19" s="1127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22">
        <f>A18+1</f>
        <v>2</v>
      </c>
      <c r="B20" s="1122" t="s">
        <v>627</v>
      </c>
      <c r="C20" s="1124" t="str">
        <f>VLOOKUP(B20,DS,2,0)</f>
        <v>Huỳnh Đoàn Viết Thanh</v>
      </c>
      <c r="D20" s="1126" t="str">
        <f>VLOOKUP(B20,DS,3,0)</f>
        <v>Công nhân</v>
      </c>
      <c r="E20" s="813" t="s">
        <v>728</v>
      </c>
      <c r="F20" s="814">
        <v>8</v>
      </c>
      <c r="G20" s="814">
        <v>8</v>
      </c>
      <c r="H20" s="814">
        <v>8</v>
      </c>
      <c r="I20" s="814"/>
      <c r="J20" s="814">
        <v>8</v>
      </c>
      <c r="K20" s="814">
        <v>8</v>
      </c>
      <c r="L20" s="814">
        <v>8</v>
      </c>
      <c r="M20" s="814">
        <v>8</v>
      </c>
      <c r="N20" s="814">
        <v>8</v>
      </c>
      <c r="O20" s="814">
        <v>8</v>
      </c>
      <c r="P20" s="814"/>
      <c r="Q20" s="814">
        <v>8</v>
      </c>
      <c r="R20" s="814">
        <v>8</v>
      </c>
      <c r="S20" s="814">
        <v>8</v>
      </c>
      <c r="T20" s="814">
        <v>8</v>
      </c>
      <c r="U20" s="814">
        <v>8</v>
      </c>
      <c r="V20" s="814">
        <v>8</v>
      </c>
      <c r="W20" s="814"/>
      <c r="X20" s="814">
        <v>8</v>
      </c>
      <c r="Y20" s="814">
        <v>8</v>
      </c>
      <c r="Z20" s="814">
        <v>8</v>
      </c>
      <c r="AA20" s="814">
        <v>8</v>
      </c>
      <c r="AB20" s="814">
        <v>8</v>
      </c>
      <c r="AC20" s="814">
        <v>8</v>
      </c>
      <c r="AD20" s="814"/>
      <c r="AE20" s="814">
        <v>8</v>
      </c>
      <c r="AF20" s="814">
        <v>8</v>
      </c>
      <c r="AG20" s="814">
        <v>8</v>
      </c>
      <c r="AH20" s="814">
        <v>8</v>
      </c>
      <c r="AI20" s="814">
        <v>8</v>
      </c>
      <c r="AJ20" s="814"/>
      <c r="AK20" s="1128">
        <f t="shared" ref="AK20" si="14">((SUM(F20:AJ20))/8)-(SUMIF($F$6:$AJ$6,"C.Nhật",F20:AJ20)/8)</f>
        <v>26</v>
      </c>
      <c r="AL20" s="1128">
        <f t="shared" ref="AL20" si="15">SUM(F21:AJ21)/8*1.5</f>
        <v>0</v>
      </c>
      <c r="AM20" s="1134">
        <f>SUMIF($F$6:$AJ$6,"C.Nhật",$F20:$AJ21)/8*2</f>
        <v>0</v>
      </c>
      <c r="AN20" s="1130">
        <f t="shared" ref="AN20" si="16">SUM(AK20:AM21)</f>
        <v>26</v>
      </c>
      <c r="AO20" s="1136">
        <v>0</v>
      </c>
      <c r="AP20" s="1130"/>
      <c r="AQ20" s="1130"/>
      <c r="AR20" s="1130"/>
      <c r="AS20" s="113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23"/>
      <c r="B21" s="1123"/>
      <c r="C21" s="1125"/>
      <c r="D21" s="1127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22">
        <f t="shared" ref="A22" si="17">A20+1</f>
        <v>3</v>
      </c>
      <c r="B22" s="1122" t="s">
        <v>628</v>
      </c>
      <c r="C22" s="1124" t="str">
        <f>VLOOKUP(B22,DS,2,0)</f>
        <v>Trần Ngọc Thoại</v>
      </c>
      <c r="D22" s="1126" t="str">
        <f>VLOOKUP(B22,DS,3,0)</f>
        <v>Công nhân</v>
      </c>
      <c r="E22" s="813" t="s">
        <v>728</v>
      </c>
      <c r="F22" s="814">
        <v>8</v>
      </c>
      <c r="G22" s="814">
        <v>8</v>
      </c>
      <c r="H22" s="814">
        <v>8</v>
      </c>
      <c r="I22" s="814"/>
      <c r="J22" s="814">
        <v>8</v>
      </c>
      <c r="K22" s="814">
        <v>8</v>
      </c>
      <c r="L22" s="814">
        <v>8</v>
      </c>
      <c r="M22" s="814">
        <v>8</v>
      </c>
      <c r="N22" s="814">
        <v>8</v>
      </c>
      <c r="O22" s="814">
        <v>8</v>
      </c>
      <c r="P22" s="814"/>
      <c r="Q22" s="814">
        <v>8</v>
      </c>
      <c r="R22" s="814">
        <v>8</v>
      </c>
      <c r="S22" s="814">
        <v>8</v>
      </c>
      <c r="T22" s="814">
        <v>8</v>
      </c>
      <c r="U22" s="814">
        <v>8</v>
      </c>
      <c r="V22" s="814">
        <v>8</v>
      </c>
      <c r="W22" s="814"/>
      <c r="X22" s="814">
        <v>8</v>
      </c>
      <c r="Y22" s="814">
        <v>8</v>
      </c>
      <c r="Z22" s="814">
        <v>8</v>
      </c>
      <c r="AA22" s="814">
        <v>8</v>
      </c>
      <c r="AB22" s="814">
        <v>8</v>
      </c>
      <c r="AC22" s="814">
        <v>8</v>
      </c>
      <c r="AD22" s="814"/>
      <c r="AE22" s="814">
        <v>8</v>
      </c>
      <c r="AF22" s="814">
        <v>8</v>
      </c>
      <c r="AG22" s="814">
        <v>8</v>
      </c>
      <c r="AH22" s="814">
        <v>8</v>
      </c>
      <c r="AI22" s="814">
        <v>8</v>
      </c>
      <c r="AJ22" s="814"/>
      <c r="AK22" s="1128">
        <f t="shared" ref="AK22" si="18">((SUM(F22:AJ22))/8)-(SUMIF($F$6:$AJ$6,"C.Nhật",F22:AJ22)/8)</f>
        <v>26</v>
      </c>
      <c r="AL22" s="1128">
        <f t="shared" ref="AL22" si="19">SUM(F23:AJ23)/8*1.5</f>
        <v>0</v>
      </c>
      <c r="AM22" s="1134">
        <f>SUMIF($F$6:$AJ$6,"C.Nhật",$F22:$AJ23)/8*2</f>
        <v>0</v>
      </c>
      <c r="AN22" s="1130">
        <f t="shared" ref="AN22" si="20">SUM(AK22:AM23)</f>
        <v>26</v>
      </c>
      <c r="AO22" s="1136">
        <v>0</v>
      </c>
      <c r="AP22" s="1130"/>
      <c r="AQ22" s="1130"/>
      <c r="AR22" s="1130"/>
      <c r="AS22" s="113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23"/>
      <c r="B23" s="1123"/>
      <c r="C23" s="1125"/>
      <c r="D23" s="1127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01" customFormat="1" ht="18" customHeight="1">
      <c r="A24" s="1122">
        <f t="shared" ref="A24" si="21">A22+1</f>
        <v>4</v>
      </c>
      <c r="B24" s="1122" t="s">
        <v>630</v>
      </c>
      <c r="C24" s="1124" t="str">
        <f>VLOOKUP(B24,DS,2,0)</f>
        <v>Nguyễn Đức Huy</v>
      </c>
      <c r="D24" s="1126" t="str">
        <f>VLOOKUP(B24,DS,3,0)</f>
        <v>Công nhân</v>
      </c>
      <c r="E24" s="813" t="s">
        <v>728</v>
      </c>
      <c r="F24" s="814">
        <v>8</v>
      </c>
      <c r="G24" s="814">
        <v>8</v>
      </c>
      <c r="H24" s="814">
        <v>8</v>
      </c>
      <c r="I24" s="814"/>
      <c r="J24" s="814">
        <v>8</v>
      </c>
      <c r="K24" s="814">
        <v>8</v>
      </c>
      <c r="L24" s="814">
        <v>8</v>
      </c>
      <c r="M24" s="814">
        <v>8</v>
      </c>
      <c r="N24" s="814">
        <v>8</v>
      </c>
      <c r="O24" s="814">
        <v>8</v>
      </c>
      <c r="P24" s="814"/>
      <c r="Q24" s="814">
        <v>8</v>
      </c>
      <c r="R24" s="814">
        <v>8</v>
      </c>
      <c r="S24" s="814">
        <v>8</v>
      </c>
      <c r="T24" s="814">
        <v>8</v>
      </c>
      <c r="U24" s="814">
        <v>8</v>
      </c>
      <c r="V24" s="814">
        <v>8</v>
      </c>
      <c r="W24" s="814"/>
      <c r="X24" s="814">
        <v>8</v>
      </c>
      <c r="Y24" s="814">
        <v>8</v>
      </c>
      <c r="Z24" s="814">
        <v>8</v>
      </c>
      <c r="AA24" s="814">
        <v>8</v>
      </c>
      <c r="AB24" s="814">
        <v>8</v>
      </c>
      <c r="AC24" s="814">
        <v>8</v>
      </c>
      <c r="AD24" s="814"/>
      <c r="AE24" s="814">
        <v>8</v>
      </c>
      <c r="AF24" s="814">
        <v>8</v>
      </c>
      <c r="AG24" s="814">
        <v>8</v>
      </c>
      <c r="AH24" s="814">
        <v>8</v>
      </c>
      <c r="AI24" s="814">
        <v>8</v>
      </c>
      <c r="AJ24" s="814"/>
      <c r="AK24" s="1128">
        <f t="shared" ref="AK24" si="22">((SUM(F24:AJ24))/8)-(SUMIF($F$6:$AJ$6,"C.Nhật",F24:AJ24)/8)</f>
        <v>26</v>
      </c>
      <c r="AL24" s="1128">
        <f t="shared" ref="AL24" si="23">SUM(F25:AJ25)/8*1.5</f>
        <v>0</v>
      </c>
      <c r="AM24" s="1134">
        <f>SUMIF($F$6:$AJ$6,"C.Nhật",$F24:$AJ25)/8*2</f>
        <v>0</v>
      </c>
      <c r="AN24" s="1130">
        <f t="shared" ref="AN24" si="24">SUM(AK24:AM25)</f>
        <v>26</v>
      </c>
      <c r="AO24" s="1136">
        <v>0</v>
      </c>
      <c r="AP24" s="1130"/>
      <c r="AQ24" s="1130"/>
      <c r="AR24" s="1130"/>
      <c r="AS24" s="1132"/>
      <c r="AT24" s="806"/>
      <c r="AU24" s="730"/>
      <c r="AV24" s="730"/>
      <c r="AW24" s="730"/>
      <c r="AX24" s="730"/>
      <c r="AY24" s="730"/>
      <c r="AZ24" s="730"/>
      <c r="BA24" s="730"/>
      <c r="BB24" s="730"/>
      <c r="BC24" s="730"/>
      <c r="BD24" s="730"/>
      <c r="BE24" s="730"/>
      <c r="BF24" s="730"/>
      <c r="BG24" s="730"/>
      <c r="BH24" s="730"/>
      <c r="BI24" s="730"/>
      <c r="BJ24" s="730"/>
      <c r="BK24" s="730"/>
      <c r="BL24" s="730"/>
      <c r="BM24" s="730"/>
      <c r="BN24" s="730"/>
      <c r="BO24" s="730"/>
      <c r="BP24" s="730"/>
      <c r="BQ24" s="730"/>
      <c r="BR24" s="730"/>
      <c r="BS24" s="730"/>
      <c r="BT24" s="730"/>
      <c r="BU24" s="730"/>
      <c r="BV24" s="730"/>
      <c r="BW24" s="730"/>
      <c r="BX24" s="730"/>
      <c r="BY24" s="730"/>
      <c r="BZ24" s="730"/>
      <c r="CA24" s="730"/>
      <c r="CB24" s="730"/>
      <c r="CC24" s="730"/>
      <c r="CD24" s="730"/>
      <c r="CE24" s="730"/>
      <c r="CF24" s="730"/>
      <c r="CG24" s="730"/>
      <c r="CH24" s="730"/>
      <c r="CI24" s="730"/>
      <c r="CJ24" s="730"/>
      <c r="CK24" s="730"/>
      <c r="CL24" s="730"/>
    </row>
    <row r="25" spans="1:90" s="801" customFormat="1" ht="18" customHeight="1">
      <c r="A25" s="1123"/>
      <c r="B25" s="1123"/>
      <c r="C25" s="1125"/>
      <c r="D25" s="1127"/>
      <c r="E25" s="815" t="s">
        <v>724</v>
      </c>
      <c r="F25" s="816"/>
      <c r="G25" s="816"/>
      <c r="H25" s="816"/>
      <c r="I25" s="816"/>
      <c r="J25" s="816"/>
      <c r="K25" s="816"/>
      <c r="L25" s="816"/>
      <c r="M25" s="816"/>
      <c r="N25" s="816"/>
      <c r="O25" s="816"/>
      <c r="P25" s="816"/>
      <c r="Q25" s="816"/>
      <c r="R25" s="816"/>
      <c r="S25" s="816"/>
      <c r="T25" s="816"/>
      <c r="U25" s="816"/>
      <c r="V25" s="816"/>
      <c r="W25" s="816"/>
      <c r="X25" s="816"/>
      <c r="Y25" s="816"/>
      <c r="Z25" s="816"/>
      <c r="AA25" s="816"/>
      <c r="AB25" s="816"/>
      <c r="AC25" s="816"/>
      <c r="AD25" s="816"/>
      <c r="AE25" s="816"/>
      <c r="AF25" s="816"/>
      <c r="AG25" s="816"/>
      <c r="AH25" s="816"/>
      <c r="AI25" s="816"/>
      <c r="AJ25" s="816"/>
      <c r="AK25" s="1129"/>
      <c r="AL25" s="1129"/>
      <c r="AM25" s="1135"/>
      <c r="AN25" s="1131"/>
      <c r="AO25" s="1137"/>
      <c r="AP25" s="1131"/>
      <c r="AQ25" s="1131"/>
      <c r="AR25" s="1131"/>
      <c r="AS25" s="1133"/>
      <c r="AT25" s="806"/>
      <c r="AU25" s="730"/>
      <c r="AV25" s="730"/>
      <c r="AW25" s="730"/>
      <c r="AX25" s="730"/>
      <c r="AY25" s="730"/>
      <c r="AZ25" s="730"/>
      <c r="BA25" s="730"/>
      <c r="BB25" s="730"/>
      <c r="BC25" s="730"/>
      <c r="BD25" s="730"/>
      <c r="BE25" s="730"/>
      <c r="BF25" s="730"/>
      <c r="BG25" s="730"/>
      <c r="BH25" s="730"/>
      <c r="BI25" s="730"/>
      <c r="BJ25" s="730"/>
      <c r="BK25" s="730"/>
      <c r="BL25" s="730"/>
      <c r="BM25" s="730"/>
      <c r="BN25" s="730"/>
      <c r="BO25" s="730"/>
      <c r="BP25" s="730"/>
      <c r="BQ25" s="730"/>
      <c r="BR25" s="730"/>
      <c r="BS25" s="730"/>
      <c r="BT25" s="730"/>
      <c r="BU25" s="730"/>
      <c r="BV25" s="730"/>
      <c r="BW25" s="730"/>
      <c r="BX25" s="730"/>
      <c r="BY25" s="730"/>
      <c r="BZ25" s="730"/>
      <c r="CA25" s="730"/>
      <c r="CB25" s="730"/>
      <c r="CC25" s="730"/>
      <c r="CD25" s="730"/>
      <c r="CE25" s="730"/>
      <c r="CF25" s="730"/>
      <c r="CG25" s="730"/>
      <c r="CH25" s="730"/>
      <c r="CI25" s="730"/>
      <c r="CJ25" s="730"/>
      <c r="CK25" s="730"/>
      <c r="CL25" s="730"/>
    </row>
    <row r="26" spans="1:90" s="827" customFormat="1" ht="12.75">
      <c r="A26" s="817"/>
      <c r="B26" s="818"/>
      <c r="C26" s="819"/>
      <c r="D26" s="820"/>
      <c r="E26" s="819"/>
      <c r="F26" s="821"/>
      <c r="G26" s="821"/>
      <c r="H26" s="822"/>
      <c r="I26" s="822"/>
      <c r="J26" s="823"/>
      <c r="K26" s="821"/>
      <c r="L26" s="822"/>
      <c r="M26" s="821"/>
      <c r="N26" s="821"/>
      <c r="O26" s="821"/>
      <c r="P26" s="821"/>
      <c r="Q26" s="822"/>
      <c r="R26" s="821"/>
      <c r="S26" s="821"/>
      <c r="T26" s="823"/>
      <c r="U26" s="821"/>
      <c r="V26" s="821"/>
      <c r="W26" s="821"/>
      <c r="X26" s="818"/>
      <c r="Y26" s="821"/>
      <c r="Z26" s="821"/>
      <c r="AA26" s="821"/>
      <c r="AB26" s="821"/>
      <c r="AC26" s="821"/>
      <c r="AD26" s="822"/>
      <c r="AE26" s="821"/>
      <c r="AF26" s="821"/>
      <c r="AG26" s="821"/>
      <c r="AH26" s="821"/>
      <c r="AI26" s="821"/>
      <c r="AJ26" s="821"/>
      <c r="AK26" s="819"/>
      <c r="AL26" s="819"/>
      <c r="AM26" s="824"/>
      <c r="AN26" s="825"/>
      <c r="AO26" s="825"/>
      <c r="AP26" s="825"/>
      <c r="AQ26" s="825"/>
      <c r="AR26" s="825"/>
      <c r="AS26" s="819"/>
      <c r="AT26" s="826"/>
    </row>
    <row r="27" spans="1:90" s="827" customFormat="1" ht="12.75">
      <c r="A27" s="817"/>
      <c r="B27" s="818"/>
      <c r="C27" s="817" t="s">
        <v>635</v>
      </c>
      <c r="D27" s="820"/>
      <c r="E27" s="819"/>
      <c r="F27" s="821"/>
      <c r="G27" s="821"/>
      <c r="H27" s="822"/>
      <c r="I27" s="822"/>
      <c r="J27" s="823"/>
      <c r="K27" s="821"/>
      <c r="L27" s="822"/>
      <c r="M27" s="821"/>
      <c r="N27" s="821"/>
      <c r="O27" s="821"/>
      <c r="P27" s="821"/>
      <c r="Q27" s="822"/>
      <c r="R27" s="821"/>
      <c r="S27" s="821"/>
      <c r="T27" s="823"/>
      <c r="U27" s="821"/>
      <c r="V27" s="821"/>
      <c r="W27" s="821"/>
      <c r="X27" s="818"/>
      <c r="Y27" s="821"/>
      <c r="Z27" s="821"/>
      <c r="AA27" s="821"/>
      <c r="AB27" s="821"/>
      <c r="AC27" s="821"/>
      <c r="AD27" s="822"/>
      <c r="AE27" s="821"/>
      <c r="AF27" s="821"/>
      <c r="AG27" s="821"/>
      <c r="AH27" s="821"/>
      <c r="AI27" s="821"/>
      <c r="AJ27" s="821"/>
      <c r="AK27" s="819"/>
      <c r="AL27" s="819"/>
      <c r="AM27" s="824"/>
      <c r="AN27" s="825"/>
      <c r="AO27" s="825"/>
      <c r="AP27" s="825"/>
      <c r="AQ27" s="825"/>
      <c r="AR27" s="825"/>
      <c r="AS27" s="819"/>
      <c r="AT27" s="826"/>
    </row>
    <row r="28" spans="1:90" s="827" customFormat="1" ht="12.7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26"/>
    </row>
    <row r="29" spans="1:90" s="831" customFormat="1" ht="15" customHeight="1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28"/>
      <c r="B30" s="828"/>
      <c r="C30" s="819"/>
      <c r="D30" s="820"/>
      <c r="E30" s="819"/>
      <c r="F30" s="821"/>
      <c r="G30" s="821"/>
      <c r="H30" s="829"/>
      <c r="I30" s="829"/>
      <c r="J30" s="829"/>
      <c r="K30" s="821"/>
      <c r="L30" s="829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21"/>
      <c r="Y30" s="821"/>
      <c r="Z30" s="821"/>
      <c r="AA30" s="821"/>
      <c r="AB30" s="821"/>
      <c r="AC30" s="821"/>
      <c r="AD30" s="829"/>
      <c r="AE30" s="821"/>
      <c r="AF30" s="821"/>
      <c r="AG30" s="821"/>
      <c r="AH30" s="821"/>
      <c r="AI30" s="821"/>
      <c r="AJ30" s="821"/>
      <c r="AK30" s="819"/>
      <c r="AL30" s="819"/>
      <c r="AM30" s="824"/>
      <c r="AN30" s="830"/>
      <c r="AO30" s="830"/>
      <c r="AP30" s="830"/>
      <c r="AQ30" s="830"/>
      <c r="AR30" s="830"/>
      <c r="AS30" s="819"/>
      <c r="AT30" s="819"/>
    </row>
    <row r="31" spans="1:90" s="831" customFormat="1" ht="11.25">
      <c r="A31" s="828"/>
      <c r="B31" s="828"/>
      <c r="C31" s="819"/>
      <c r="D31" s="820"/>
      <c r="E31" s="819"/>
      <c r="F31" s="821"/>
      <c r="G31" s="821"/>
      <c r="H31" s="829"/>
      <c r="I31" s="829"/>
      <c r="J31" s="829"/>
      <c r="K31" s="821"/>
      <c r="L31" s="829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  <c r="Y31" s="821"/>
      <c r="Z31" s="821"/>
      <c r="AA31" s="821"/>
      <c r="AB31" s="821"/>
      <c r="AC31" s="821"/>
      <c r="AD31" s="829"/>
      <c r="AE31" s="821"/>
      <c r="AF31" s="821"/>
      <c r="AG31" s="821"/>
      <c r="AH31" s="821"/>
      <c r="AI31" s="821"/>
      <c r="AJ31" s="821"/>
      <c r="AK31" s="819"/>
      <c r="AL31" s="819"/>
      <c r="AM31" s="824"/>
      <c r="AN31" s="830"/>
      <c r="AO31" s="830"/>
      <c r="AP31" s="830"/>
      <c r="AQ31" s="830"/>
      <c r="AR31" s="830"/>
      <c r="AS31" s="819"/>
      <c r="AT31" s="819"/>
    </row>
    <row r="32" spans="1:90" s="831" customFormat="1" ht="11.25">
      <c r="A32" s="832"/>
      <c r="B32" s="832"/>
      <c r="C32" s="817"/>
      <c r="D32" s="833"/>
      <c r="E32" s="834"/>
      <c r="F32" s="823"/>
      <c r="G32" s="835"/>
      <c r="H32" s="822"/>
      <c r="I32" s="822"/>
      <c r="J32" s="822"/>
      <c r="K32" s="835"/>
      <c r="L32" s="822"/>
      <c r="M32" s="835"/>
      <c r="N32" s="835"/>
      <c r="O32" s="835"/>
      <c r="P32" s="835"/>
      <c r="Q32" s="822"/>
      <c r="R32" s="823"/>
      <c r="S32" s="835"/>
      <c r="T32" s="835"/>
      <c r="U32" s="822"/>
      <c r="V32" s="835"/>
      <c r="W32" s="835"/>
      <c r="X32" s="822"/>
      <c r="Y32" s="835"/>
      <c r="Z32" s="835"/>
      <c r="AA32" s="835"/>
      <c r="AB32" s="835"/>
      <c r="AC32" s="835"/>
      <c r="AD32" s="822"/>
      <c r="AE32" s="835"/>
      <c r="AF32" s="835"/>
      <c r="AG32" s="835"/>
      <c r="AH32" s="835"/>
      <c r="AI32" s="835"/>
      <c r="AJ32" s="835"/>
      <c r="AK32" s="834"/>
      <c r="AM32" s="836"/>
      <c r="AN32" s="832"/>
      <c r="AO32" s="832"/>
      <c r="AP32" s="832"/>
      <c r="AQ32" s="832"/>
      <c r="AR32" s="832"/>
      <c r="AS32" s="817"/>
      <c r="AT32" s="819"/>
    </row>
    <row r="33" spans="1:91" s="831" customFormat="1" ht="12.75">
      <c r="A33" s="730"/>
      <c r="B33" s="730" t="s">
        <v>127</v>
      </c>
      <c r="C33" s="730"/>
      <c r="D33" s="837"/>
      <c r="E33" s="730"/>
      <c r="F33" s="838"/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38"/>
      <c r="R33" s="838"/>
      <c r="S33" s="838"/>
      <c r="T33" s="838"/>
      <c r="U33" s="838"/>
      <c r="V33" s="838"/>
      <c r="W33" s="838"/>
      <c r="X33" s="838"/>
      <c r="Y33" s="838"/>
      <c r="Z33" s="838"/>
      <c r="AA33" s="838"/>
      <c r="AB33" s="838"/>
      <c r="AC33" s="838"/>
      <c r="AD33" s="838"/>
      <c r="AE33" s="838"/>
      <c r="AF33" s="838"/>
      <c r="AG33" s="838"/>
      <c r="AH33" s="839"/>
      <c r="AI33" s="839"/>
      <c r="AJ33" s="839"/>
      <c r="AK33" s="730"/>
      <c r="AL33" s="730"/>
      <c r="AM33" s="840"/>
      <c r="AN33" s="730"/>
      <c r="AO33" s="730"/>
      <c r="AP33" s="730"/>
      <c r="AQ33" s="730"/>
      <c r="AR33" s="730"/>
      <c r="AS33" s="730"/>
      <c r="AT33" s="819"/>
    </row>
    <row r="34" spans="1:91" s="831" customFormat="1" ht="12.75">
      <c r="A34" s="730"/>
      <c r="B34" s="730"/>
      <c r="C34" s="730" t="s">
        <v>731</v>
      </c>
      <c r="D34" s="837"/>
      <c r="E34" s="730"/>
      <c r="F34" s="838"/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38"/>
      <c r="R34" s="838"/>
      <c r="S34" s="838"/>
      <c r="T34" s="838"/>
      <c r="U34" s="838"/>
      <c r="V34" s="838"/>
      <c r="W34" s="838"/>
      <c r="X34" s="838"/>
      <c r="Y34" s="838"/>
      <c r="Z34" s="838"/>
      <c r="AA34" s="838"/>
      <c r="AB34" s="838"/>
      <c r="AC34" s="838"/>
      <c r="AD34" s="838"/>
      <c r="AE34" s="838"/>
      <c r="AF34" s="838"/>
      <c r="AG34" s="838"/>
      <c r="AH34" s="839"/>
      <c r="AI34" s="839"/>
      <c r="AJ34" s="839"/>
      <c r="AK34" s="730"/>
      <c r="AL34" s="730"/>
      <c r="AM34" s="840"/>
      <c r="AN34" s="730"/>
      <c r="AO34" s="730"/>
      <c r="AP34" s="730"/>
      <c r="AQ34" s="730"/>
      <c r="AR34" s="730"/>
      <c r="AS34" s="730"/>
      <c r="AT34" s="817"/>
    </row>
    <row r="35" spans="1:91" ht="15" customHeight="1">
      <c r="C35" s="730" t="s">
        <v>732</v>
      </c>
    </row>
    <row r="36" spans="1:91" ht="15" customHeight="1">
      <c r="C36" s="730" t="s">
        <v>733</v>
      </c>
    </row>
    <row r="37" spans="1:91" s="837" customFormat="1" ht="15" customHeight="1">
      <c r="A37" s="730"/>
      <c r="B37" s="730"/>
      <c r="C37" s="730" t="s">
        <v>734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735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736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737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  <row r="41" spans="1:91" s="837" customFormat="1" ht="15" customHeight="1">
      <c r="A41" s="730"/>
      <c r="B41" s="730"/>
      <c r="C41" s="730" t="s">
        <v>738</v>
      </c>
      <c r="E41" s="730"/>
      <c r="F41" s="838"/>
      <c r="G41" s="838"/>
      <c r="H41" s="838"/>
      <c r="I41" s="838"/>
      <c r="J41" s="838"/>
      <c r="K41" s="838"/>
      <c r="L41" s="838"/>
      <c r="M41" s="838"/>
      <c r="N41" s="838"/>
      <c r="O41" s="838"/>
      <c r="P41" s="838"/>
      <c r="Q41" s="838"/>
      <c r="R41" s="838"/>
      <c r="S41" s="838"/>
      <c r="T41" s="838"/>
      <c r="U41" s="838"/>
      <c r="V41" s="838"/>
      <c r="W41" s="838"/>
      <c r="X41" s="838"/>
      <c r="Y41" s="838"/>
      <c r="Z41" s="838"/>
      <c r="AA41" s="838"/>
      <c r="AB41" s="838"/>
      <c r="AC41" s="838"/>
      <c r="AD41" s="838"/>
      <c r="AE41" s="838"/>
      <c r="AF41" s="838"/>
      <c r="AG41" s="838"/>
      <c r="AH41" s="839"/>
      <c r="AI41" s="839"/>
      <c r="AJ41" s="839"/>
      <c r="AK41" s="730"/>
      <c r="AL41" s="730"/>
      <c r="AM41" s="840"/>
      <c r="AN41" s="730"/>
      <c r="AO41" s="730"/>
      <c r="AP41" s="730"/>
      <c r="AQ41" s="730"/>
      <c r="AR41" s="730"/>
      <c r="AS41" s="730"/>
      <c r="AT41" s="730"/>
      <c r="AU41" s="730"/>
      <c r="AV41" s="730"/>
      <c r="AW41" s="730"/>
      <c r="AX41" s="730"/>
      <c r="AY41" s="730"/>
      <c r="AZ41" s="730"/>
      <c r="BA41" s="730"/>
      <c r="BB41" s="730"/>
      <c r="BC41" s="730"/>
      <c r="BD41" s="730"/>
      <c r="BE41" s="730"/>
      <c r="BF41" s="730"/>
      <c r="BG41" s="730"/>
      <c r="BH41" s="730"/>
      <c r="BI41" s="730"/>
      <c r="BJ41" s="730"/>
      <c r="BK41" s="730"/>
      <c r="BL41" s="730"/>
      <c r="BM41" s="730"/>
      <c r="BN41" s="730"/>
      <c r="BO41" s="730"/>
      <c r="BP41" s="730"/>
      <c r="BQ41" s="730"/>
      <c r="BR41" s="730"/>
      <c r="BS41" s="730"/>
      <c r="BT41" s="730"/>
      <c r="BU41" s="730"/>
      <c r="BV41" s="730"/>
      <c r="BW41" s="730"/>
      <c r="BX41" s="730"/>
      <c r="BY41" s="730"/>
      <c r="BZ41" s="730"/>
      <c r="CA41" s="730"/>
      <c r="CB41" s="730"/>
      <c r="CC41" s="730"/>
      <c r="CD41" s="730"/>
      <c r="CE41" s="730"/>
      <c r="CF41" s="730"/>
      <c r="CG41" s="730"/>
      <c r="CH41" s="730"/>
      <c r="CI41" s="730"/>
      <c r="CJ41" s="730"/>
      <c r="CK41" s="730"/>
      <c r="CL41" s="730"/>
      <c r="CM41" s="730"/>
    </row>
    <row r="42" spans="1:91" s="837" customFormat="1" ht="15" customHeight="1">
      <c r="A42" s="730"/>
      <c r="B42" s="730"/>
      <c r="C42" s="730" t="s">
        <v>739</v>
      </c>
      <c r="E42" s="730"/>
      <c r="F42" s="838"/>
      <c r="G42" s="838"/>
      <c r="H42" s="838"/>
      <c r="I42" s="838"/>
      <c r="J42" s="838"/>
      <c r="K42" s="838"/>
      <c r="L42" s="838"/>
      <c r="M42" s="838"/>
      <c r="N42" s="838"/>
      <c r="O42" s="838"/>
      <c r="P42" s="838"/>
      <c r="Q42" s="838"/>
      <c r="R42" s="838"/>
      <c r="S42" s="838"/>
      <c r="T42" s="838"/>
      <c r="U42" s="838"/>
      <c r="V42" s="838"/>
      <c r="W42" s="838"/>
      <c r="X42" s="838"/>
      <c r="Y42" s="838"/>
      <c r="Z42" s="838"/>
      <c r="AA42" s="838"/>
      <c r="AB42" s="838"/>
      <c r="AC42" s="838"/>
      <c r="AD42" s="838"/>
      <c r="AE42" s="838"/>
      <c r="AF42" s="838"/>
      <c r="AG42" s="838"/>
      <c r="AH42" s="839"/>
      <c r="AI42" s="839"/>
      <c r="AJ42" s="839"/>
      <c r="AK42" s="730"/>
      <c r="AL42" s="730"/>
      <c r="AM42" s="840"/>
      <c r="AN42" s="730"/>
      <c r="AO42" s="730"/>
      <c r="AP42" s="730"/>
      <c r="AQ42" s="730"/>
      <c r="AR42" s="730"/>
      <c r="AS42" s="730"/>
      <c r="AT42" s="730"/>
      <c r="AU42" s="730"/>
      <c r="AV42" s="730"/>
      <c r="AW42" s="730"/>
      <c r="AX42" s="730"/>
      <c r="AY42" s="730"/>
      <c r="AZ42" s="730"/>
      <c r="BA42" s="730"/>
      <c r="BB42" s="730"/>
      <c r="BC42" s="730"/>
      <c r="BD42" s="730"/>
      <c r="BE42" s="730"/>
      <c r="BF42" s="730"/>
      <c r="BG42" s="730"/>
      <c r="BH42" s="730"/>
      <c r="BI42" s="730"/>
      <c r="BJ42" s="730"/>
      <c r="BK42" s="730"/>
      <c r="BL42" s="730"/>
      <c r="BM42" s="730"/>
      <c r="BN42" s="730"/>
      <c r="BO42" s="730"/>
      <c r="BP42" s="730"/>
      <c r="BQ42" s="730"/>
      <c r="BR42" s="730"/>
      <c r="BS42" s="730"/>
      <c r="BT42" s="730"/>
      <c r="BU42" s="730"/>
      <c r="BV42" s="730"/>
      <c r="BW42" s="730"/>
      <c r="BX42" s="730"/>
      <c r="BY42" s="730"/>
      <c r="BZ42" s="730"/>
      <c r="CA42" s="730"/>
      <c r="CB42" s="730"/>
      <c r="CC42" s="730"/>
      <c r="CD42" s="730"/>
      <c r="CE42" s="730"/>
      <c r="CF42" s="730"/>
      <c r="CG42" s="730"/>
      <c r="CH42" s="730"/>
      <c r="CI42" s="730"/>
      <c r="CJ42" s="730"/>
      <c r="CK42" s="730"/>
      <c r="CL42" s="730"/>
      <c r="CM42" s="73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7" priority="6" stopIfTrue="1">
      <formula>IF(WEEKDAY(F$5)=1,TRUE,FALSE)</formula>
    </cfRule>
  </conditionalFormatting>
  <conditionalFormatting sqref="F9:AJ16">
    <cfRule type="expression" dxfId="6" priority="5" stopIfTrue="1">
      <formula>IF(WEEKDAY(F$5)=1,TRUE,FALSE)</formula>
    </cfRule>
  </conditionalFormatting>
  <conditionalFormatting sqref="F18:AJ25">
    <cfRule type="expression" dxfId="5" priority="2" stopIfTrue="1">
      <formula>IF(WEEKDAY(F$5)=1,TRUE,FALSE)</formula>
    </cfRule>
  </conditionalFormatting>
  <conditionalFormatting sqref="F18:AJ2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C13" sqref="C13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38" t="str">
        <f>"BẢNG THANH TOÁN LƯƠNG THÁNG"&amp;" "&amp;TEXT($E$4,"mm")&amp;" / "&amp;TEXT($E$4,"yyyy")</f>
        <v>BẢNG THANH TOÁN LƯƠNG THÁNG 11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-11'!$AK$9:$AK$25)</f>
        <v>26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-11'!$E$4</f>
        <v>41214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44"/>
      <c r="B7" s="1144"/>
      <c r="C7" s="1145"/>
      <c r="D7" s="1145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3" si="0">VLOOKUP(B10,DS,2,0)</f>
        <v>Nguyễn Đức Hải</v>
      </c>
      <c r="D10" s="869" t="str">
        <f t="shared" ref="D10:D13" si="1">VLOOKUP(B10,DS,3,0)</f>
        <v>Giám Đốc</v>
      </c>
      <c r="E10" s="243">
        <f>VLOOKUP(B10,DS,4,0)</f>
        <v>2877500</v>
      </c>
      <c r="F10" s="870">
        <f>VLOOKUP(B10,'CC -11'!$B$8:$AS$25,36,0)</f>
        <v>26</v>
      </c>
      <c r="G10" s="871">
        <f t="shared" ref="G10:G13" si="2">ROUND(E10/$U$2*F10,0)</f>
        <v>2877500</v>
      </c>
      <c r="H10" s="870">
        <f>(VLOOKUP(B10,'CC -11'!$B$8:$AS$25,37,0)+VLOOKUP(B10,'CC -11'!$B$8:$AS$25,38,0))</f>
        <v>0</v>
      </c>
      <c r="I10" s="871">
        <f t="shared" ref="I10:I13" si="3">ROUND(E10/$U$2*H10,0)</f>
        <v>0</v>
      </c>
      <c r="J10" s="872">
        <f t="shared" ref="J10:K13" si="4">F10+H10</f>
        <v>26</v>
      </c>
      <c r="K10" s="873">
        <f>G10+I10</f>
        <v>2877500</v>
      </c>
      <c r="L10" s="243">
        <f>VLOOKUP(B10,DS,6,0)</f>
        <v>260000</v>
      </c>
      <c r="M10" s="874">
        <f t="shared" ref="M10:M13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3" si="6">M10-SUM(N10:P10)</f>
        <v>3137500</v>
      </c>
      <c r="R10" s="873">
        <f>VLOOKUP(B10,DS,23,0)</f>
        <v>0</v>
      </c>
      <c r="S10" s="875">
        <f t="shared" ref="S10:S13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3" si="8">VLOOKUP(B11,DS,4,0)</f>
        <v>2877500</v>
      </c>
      <c r="F11" s="870">
        <f>VLOOKUP(B11,'CC -11'!$B$8:$AS$25,36,0)</f>
        <v>26</v>
      </c>
      <c r="G11" s="871">
        <f t="shared" si="2"/>
        <v>2877500</v>
      </c>
      <c r="H11" s="870">
        <f>(VLOOKUP(B11,'CC -11'!$B$8:$AS$25,37,0)+VLOOKUP(B11,'CC -11'!$B$8:$AS$25,38,0))</f>
        <v>0</v>
      </c>
      <c r="I11" s="871">
        <f t="shared" si="3"/>
        <v>0</v>
      </c>
      <c r="J11" s="872">
        <f t="shared" si="4"/>
        <v>26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-11'!$B$8:$AS$25,36,0)</f>
        <v>26</v>
      </c>
      <c r="G12" s="871">
        <f t="shared" si="2"/>
        <v>1565000</v>
      </c>
      <c r="H12" s="870">
        <f>(VLOOKUP(B12,'CC -11'!$B$8:$AS$25,37,0)+VLOOKUP(B12,'CC -11'!$B$8:$AS$25,38,0))</f>
        <v>0</v>
      </c>
      <c r="I12" s="871">
        <f t="shared" si="3"/>
        <v>0</v>
      </c>
      <c r="J12" s="872">
        <f t="shared" si="4"/>
        <v>26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67">
        <v>4</v>
      </c>
      <c r="B13" s="754" t="s">
        <v>765</v>
      </c>
      <c r="C13" s="868" t="str">
        <f t="shared" si="0"/>
        <v>Nguyễn Thị Thu Hà</v>
      </c>
      <c r="D13" s="869" t="str">
        <f t="shared" si="1"/>
        <v>Kế Toán</v>
      </c>
      <c r="E13" s="243">
        <f t="shared" si="8"/>
        <v>1240000</v>
      </c>
      <c r="F13" s="870">
        <f>VLOOKUP(B13,'CC -11'!$B$8:$AS$25,36,0)</f>
        <v>26</v>
      </c>
      <c r="G13" s="871">
        <f t="shared" si="2"/>
        <v>1240000</v>
      </c>
      <c r="H13" s="870">
        <f>(VLOOKUP(B13,'CC -11'!$B$8:$AS$25,37,0)+VLOOKUP(B13,'CC -11'!$B$8:$AS$25,38,0))</f>
        <v>0</v>
      </c>
      <c r="I13" s="871">
        <f t="shared" si="3"/>
        <v>0</v>
      </c>
      <c r="J13" s="872">
        <f t="shared" si="4"/>
        <v>26</v>
      </c>
      <c r="K13" s="873">
        <f t="shared" si="4"/>
        <v>1240000</v>
      </c>
      <c r="L13" s="243">
        <f>VLOOKUP(B13,DS,6,0)</f>
        <v>260000</v>
      </c>
      <c r="M13" s="874">
        <f t="shared" si="5"/>
        <v>1500000</v>
      </c>
      <c r="N13" s="874">
        <f>IF(VLOOKUP(B13,DS,9,0)="x",E13*$N$4,0)</f>
        <v>0</v>
      </c>
      <c r="O13" s="874">
        <f>IF(VLOOKUP(B13,DS,9,0)="x",E13*$O$4,0)</f>
        <v>0</v>
      </c>
      <c r="P13" s="874">
        <f>IF(VLOOKUP(B13,DS,9,0)="x",E13*$P$4,0)</f>
        <v>0</v>
      </c>
      <c r="Q13" s="873">
        <f t="shared" si="6"/>
        <v>1500000</v>
      </c>
      <c r="R13" s="873">
        <f>VLOOKUP(B13,DS,23,0)</f>
        <v>0</v>
      </c>
      <c r="S13" s="875">
        <f t="shared" si="7"/>
        <v>1500000</v>
      </c>
      <c r="T13" s="873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77" customFormat="1" ht="24" customHeight="1">
      <c r="A14" s="878"/>
      <c r="B14" s="879"/>
      <c r="C14" s="880"/>
      <c r="D14" s="881"/>
      <c r="E14" s="882"/>
      <c r="F14" s="883"/>
      <c r="G14" s="884"/>
      <c r="H14" s="883"/>
      <c r="I14" s="884"/>
      <c r="J14" s="885"/>
      <c r="K14" s="886"/>
      <c r="L14" s="882"/>
      <c r="M14" s="887"/>
      <c r="N14" s="887"/>
      <c r="O14" s="887"/>
      <c r="P14" s="887"/>
      <c r="Q14" s="886"/>
      <c r="R14" s="886"/>
      <c r="S14" s="888"/>
      <c r="T14" s="886"/>
      <c r="U14" s="826"/>
      <c r="V14" s="854"/>
      <c r="W14" s="844"/>
      <c r="X14" s="844"/>
      <c r="Y14" s="844"/>
      <c r="Z14" s="819"/>
      <c r="AA14" s="819"/>
      <c r="AB14" s="819"/>
      <c r="AC14" s="819"/>
      <c r="AD14" s="819"/>
    </row>
    <row r="15" spans="1:30" s="892" customFormat="1" ht="21" customHeight="1">
      <c r="A15" s="1151" t="s">
        <v>39</v>
      </c>
      <c r="B15" s="1151"/>
      <c r="C15" s="1151"/>
      <c r="D15" s="1151"/>
      <c r="E15" s="889">
        <f>SUM(E9:E13)</f>
        <v>8560000</v>
      </c>
      <c r="F15" s="889"/>
      <c r="G15" s="889">
        <f>SUM(G9:G13)</f>
        <v>8560000</v>
      </c>
      <c r="H15" s="889"/>
      <c r="I15" s="889">
        <f>SUM(I9:I13)</f>
        <v>0</v>
      </c>
      <c r="J15" s="889"/>
      <c r="K15" s="889">
        <f t="shared" ref="K15:S15" si="9">SUM(K9:K13)</f>
        <v>8560000</v>
      </c>
      <c r="L15" s="889">
        <f t="shared" si="9"/>
        <v>1040000</v>
      </c>
      <c r="M15" s="889">
        <f t="shared" si="9"/>
        <v>9600000</v>
      </c>
      <c r="N15" s="889">
        <f t="shared" si="9"/>
        <v>0</v>
      </c>
      <c r="O15" s="889">
        <f t="shared" si="9"/>
        <v>0</v>
      </c>
      <c r="P15" s="889">
        <f t="shared" si="9"/>
        <v>0</v>
      </c>
      <c r="Q15" s="889">
        <f t="shared" si="9"/>
        <v>9600000</v>
      </c>
      <c r="R15" s="889">
        <f t="shared" si="9"/>
        <v>0</v>
      </c>
      <c r="S15" s="889">
        <f t="shared" si="9"/>
        <v>9600000</v>
      </c>
      <c r="T15" s="890"/>
      <c r="U15" s="826"/>
      <c r="V15" s="891"/>
      <c r="W15" s="891"/>
      <c r="X15" s="891"/>
      <c r="Y15" s="891"/>
    </row>
    <row r="16" spans="1:30" s="863" customFormat="1" ht="24" customHeight="1">
      <c r="A16" s="864" t="s">
        <v>729</v>
      </c>
      <c r="B16" s="865" t="s">
        <v>759</v>
      </c>
      <c r="C16" s="866"/>
      <c r="D16" s="866"/>
      <c r="E16" s="866"/>
      <c r="F16" s="866"/>
      <c r="G16" s="866"/>
      <c r="H16" s="866"/>
      <c r="I16" s="866"/>
      <c r="J16" s="866"/>
      <c r="K16" s="866"/>
      <c r="L16" s="866"/>
      <c r="M16" s="866"/>
      <c r="N16" s="866"/>
      <c r="O16" s="866"/>
      <c r="P16" s="866"/>
      <c r="Q16" s="866"/>
      <c r="R16" s="866"/>
      <c r="S16" s="866"/>
      <c r="T16" s="866"/>
      <c r="U16" s="826"/>
      <c r="V16" s="860"/>
      <c r="W16" s="861"/>
      <c r="X16" s="861"/>
      <c r="Y16" s="861"/>
      <c r="Z16" s="862"/>
      <c r="AA16" s="862"/>
      <c r="AB16" s="862"/>
      <c r="AC16" s="862"/>
      <c r="AD16" s="862"/>
    </row>
    <row r="17" spans="1:30" s="877" customFormat="1" ht="24" customHeight="1">
      <c r="A17" s="867">
        <v>1</v>
      </c>
      <c r="B17" s="754" t="s">
        <v>626</v>
      </c>
      <c r="C17" s="868" t="str">
        <f t="shared" ref="C17:C20" si="10">VLOOKUP(B17,DS,2,0)</f>
        <v>Nguyễn Thị Thanh Thúy</v>
      </c>
      <c r="D17" s="869" t="str">
        <f t="shared" ref="D17:D20" si="11">VLOOKUP(B17,DS,3,0)</f>
        <v>Công nhân</v>
      </c>
      <c r="E17" s="243">
        <f t="shared" ref="E17:E20" si="12">VLOOKUP(B17,DS,4,0)</f>
        <v>1365000</v>
      </c>
      <c r="F17" s="870">
        <f>VLOOKUP(B17,'CC -11'!$B$8:$AS$25,36,0)</f>
        <v>26</v>
      </c>
      <c r="G17" s="871">
        <f t="shared" ref="G17:G20" si="13">ROUND(E17/$U$2*F17,0)</f>
        <v>1365000</v>
      </c>
      <c r="H17" s="870">
        <f>(VLOOKUP(B17,'CC -11'!$B$8:$AS$25,37,0)+VLOOKUP(B17,'CC -11'!$B$8:$AS$25,38,0))</f>
        <v>0</v>
      </c>
      <c r="I17" s="871">
        <f t="shared" ref="I17:I20" si="14">ROUND(E17/$U$2*H17,0)</f>
        <v>0</v>
      </c>
      <c r="J17" s="893">
        <f t="shared" ref="J17:K20" si="15">F17+H17</f>
        <v>26</v>
      </c>
      <c r="K17" s="873">
        <f t="shared" si="15"/>
        <v>1365000</v>
      </c>
      <c r="L17" s="243">
        <f>VLOOKUP(B17,DS,6,0)</f>
        <v>260000</v>
      </c>
      <c r="M17" s="874">
        <f t="shared" ref="M17:M20" si="16">K17+L17</f>
        <v>1625000</v>
      </c>
      <c r="N17" s="874">
        <f>IF(VLOOKUP(B17,DS,9,0)="x",'L - 11'!E17*$N$4,0)</f>
        <v>0</v>
      </c>
      <c r="O17" s="874">
        <f t="shared" ref="O17:O20" si="17">IF(VLOOKUP(B17,DS,9,0)="x",E17*0.015,0)</f>
        <v>0</v>
      </c>
      <c r="P17" s="874">
        <f t="shared" ref="P17:P20" si="18">IF(VLOOKUP(B17,DS,9,0)="x",E17*0.01,0)</f>
        <v>0</v>
      </c>
      <c r="Q17" s="873">
        <f>M17-SUM(N17:P17)</f>
        <v>1625000</v>
      </c>
      <c r="R17" s="873">
        <f t="shared" ref="R17:R20" si="19">VLOOKUP(B17,DS,23,0)</f>
        <v>0</v>
      </c>
      <c r="S17" s="875">
        <f>Q17-R17</f>
        <v>1625000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2</v>
      </c>
      <c r="B18" s="754" t="s">
        <v>627</v>
      </c>
      <c r="C18" s="868" t="str">
        <f t="shared" si="10"/>
        <v>Huỳnh Đoàn Viết Thanh</v>
      </c>
      <c r="D18" s="869" t="str">
        <f t="shared" si="11"/>
        <v>Công nhân</v>
      </c>
      <c r="E18" s="243">
        <f t="shared" si="12"/>
        <v>1275000</v>
      </c>
      <c r="F18" s="870">
        <f>VLOOKUP(B18,'CC -11'!$B$8:$AS$25,36,0)</f>
        <v>26</v>
      </c>
      <c r="G18" s="871">
        <f t="shared" si="13"/>
        <v>1275000</v>
      </c>
      <c r="H18" s="870">
        <f>(VLOOKUP(B18,'CC -11'!$B$8:$AS$25,37,0)+VLOOKUP(B18,'CC -11'!$B$8:$AS$25,38,0))</f>
        <v>0</v>
      </c>
      <c r="I18" s="871">
        <f t="shared" si="14"/>
        <v>0</v>
      </c>
      <c r="J18" s="893">
        <f t="shared" si="15"/>
        <v>26</v>
      </c>
      <c r="K18" s="873">
        <f t="shared" si="15"/>
        <v>1275000</v>
      </c>
      <c r="L18" s="243">
        <f>VLOOKUP(B18,DS,6,0)</f>
        <v>260000</v>
      </c>
      <c r="M18" s="874">
        <f t="shared" si="16"/>
        <v>1535000</v>
      </c>
      <c r="N18" s="874">
        <f>IF(VLOOKUP(B18,DS,9,0)="x",'L - 11'!E18*$N$4,0)</f>
        <v>0</v>
      </c>
      <c r="O18" s="874">
        <f t="shared" si="17"/>
        <v>0</v>
      </c>
      <c r="P18" s="874">
        <f t="shared" si="18"/>
        <v>0</v>
      </c>
      <c r="Q18" s="873">
        <f t="shared" ref="Q18:Q20" si="20">M18-SUM(N18:P18)</f>
        <v>1535000</v>
      </c>
      <c r="R18" s="873">
        <f t="shared" si="19"/>
        <v>0</v>
      </c>
      <c r="S18" s="875">
        <f t="shared" ref="S18:S20" si="21">Q18-R18</f>
        <v>1535000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3</v>
      </c>
      <c r="B19" s="754" t="s">
        <v>628</v>
      </c>
      <c r="C19" s="868" t="str">
        <f t="shared" si="10"/>
        <v>Trần Ngọc Thoại</v>
      </c>
      <c r="D19" s="869" t="str">
        <f t="shared" si="11"/>
        <v>Công nhân</v>
      </c>
      <c r="E19" s="243">
        <f t="shared" si="12"/>
        <v>990000</v>
      </c>
      <c r="F19" s="870">
        <f>VLOOKUP(B19,'CC -11'!$B$8:$AS$25,36,0)</f>
        <v>26</v>
      </c>
      <c r="G19" s="871">
        <f t="shared" si="13"/>
        <v>990000</v>
      </c>
      <c r="H19" s="870">
        <f>(VLOOKUP(B19,'CC -11'!$B$8:$AS$25,37,0)+VLOOKUP(B19,'CC -11'!$B$8:$AS$25,38,0))</f>
        <v>0</v>
      </c>
      <c r="I19" s="871">
        <f t="shared" si="14"/>
        <v>0</v>
      </c>
      <c r="J19" s="893">
        <f t="shared" si="15"/>
        <v>26</v>
      </c>
      <c r="K19" s="873">
        <f t="shared" si="15"/>
        <v>990000</v>
      </c>
      <c r="L19" s="243">
        <f>VLOOKUP(B19,DS,6,0)</f>
        <v>260000</v>
      </c>
      <c r="M19" s="874">
        <f t="shared" si="16"/>
        <v>1250000</v>
      </c>
      <c r="N19" s="874">
        <f>IF(VLOOKUP(B19,DS,9,0)="x",'L - 11'!E19*$N$4,0)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1250000</v>
      </c>
      <c r="R19" s="873">
        <f t="shared" si="19"/>
        <v>0</v>
      </c>
      <c r="S19" s="875">
        <f t="shared" si="21"/>
        <v>1250000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4" customHeight="1">
      <c r="A20" s="867">
        <v>4</v>
      </c>
      <c r="B20" s="754" t="s">
        <v>630</v>
      </c>
      <c r="C20" s="868" t="str">
        <f t="shared" si="10"/>
        <v>Nguyễn Đức Huy</v>
      </c>
      <c r="D20" s="869" t="str">
        <f t="shared" si="11"/>
        <v>Công nhân</v>
      </c>
      <c r="E20" s="243">
        <f t="shared" si="12"/>
        <v>1015000</v>
      </c>
      <c r="F20" s="870">
        <f>VLOOKUP(B20,'CC -11'!$B$8:$AS$25,36,0)</f>
        <v>26</v>
      </c>
      <c r="G20" s="871">
        <f t="shared" si="13"/>
        <v>1015000</v>
      </c>
      <c r="H20" s="870">
        <f>(VLOOKUP(B20,'CC -11'!$B$8:$AS$25,37,0)+VLOOKUP(B20,'CC -11'!$B$8:$AS$25,38,0))</f>
        <v>0</v>
      </c>
      <c r="I20" s="871">
        <f t="shared" si="14"/>
        <v>0</v>
      </c>
      <c r="J20" s="893">
        <f t="shared" si="15"/>
        <v>26</v>
      </c>
      <c r="K20" s="873">
        <f t="shared" si="15"/>
        <v>1015000</v>
      </c>
      <c r="L20" s="243">
        <f>VLOOKUP(B20,DS,6,0)</f>
        <v>260000</v>
      </c>
      <c r="M20" s="874">
        <f t="shared" si="16"/>
        <v>1275000</v>
      </c>
      <c r="N20" s="874">
        <f>IF(VLOOKUP(B20,DS,9,0)="x",'L - 11'!E20*$N$4,0)</f>
        <v>0</v>
      </c>
      <c r="O20" s="874">
        <f t="shared" si="17"/>
        <v>0</v>
      </c>
      <c r="P20" s="874">
        <f t="shared" si="18"/>
        <v>0</v>
      </c>
      <c r="Q20" s="873">
        <f t="shared" si="20"/>
        <v>1275000</v>
      </c>
      <c r="R20" s="873">
        <f t="shared" si="19"/>
        <v>0</v>
      </c>
      <c r="S20" s="875">
        <f t="shared" si="21"/>
        <v>1275000</v>
      </c>
      <c r="T20" s="873"/>
      <c r="U20" s="826"/>
      <c r="V20" s="854"/>
      <c r="W20" s="844"/>
      <c r="X20" s="844"/>
      <c r="Y20" s="844"/>
      <c r="Z20" s="819"/>
      <c r="AA20" s="819"/>
      <c r="AB20" s="819"/>
      <c r="AC20" s="819"/>
      <c r="AD20" s="819"/>
    </row>
    <row r="21" spans="1:30" s="877" customFormat="1" ht="22.5" customHeight="1">
      <c r="A21" s="894"/>
      <c r="B21" s="895"/>
      <c r="C21" s="896"/>
      <c r="D21" s="897"/>
      <c r="E21" s="898"/>
      <c r="F21" s="898"/>
      <c r="G21" s="898"/>
      <c r="H21" s="898"/>
      <c r="I21" s="898"/>
      <c r="J21" s="899"/>
      <c r="K21" s="898"/>
      <c r="L21" s="898"/>
      <c r="M21" s="900"/>
      <c r="N21" s="898"/>
      <c r="O21" s="898"/>
      <c r="P21" s="898"/>
      <c r="Q21" s="898"/>
      <c r="R21" s="898"/>
      <c r="S21" s="898"/>
      <c r="T21" s="873"/>
      <c r="U21" s="826"/>
      <c r="V21" s="876"/>
      <c r="W21" s="876"/>
      <c r="X21" s="876"/>
      <c r="Y21" s="876"/>
    </row>
    <row r="22" spans="1:30" s="892" customFormat="1" ht="21" customHeight="1">
      <c r="A22" s="1151" t="s">
        <v>39</v>
      </c>
      <c r="B22" s="1151"/>
      <c r="C22" s="1151"/>
      <c r="D22" s="1151"/>
      <c r="E22" s="889">
        <f>SUM(E16:E21)</f>
        <v>4645000</v>
      </c>
      <c r="F22" s="889"/>
      <c r="G22" s="889">
        <f t="shared" ref="G22:S22" si="22">SUM(G16:G21)</f>
        <v>4645000</v>
      </c>
      <c r="H22" s="889"/>
      <c r="I22" s="889">
        <f t="shared" si="22"/>
        <v>0</v>
      </c>
      <c r="J22" s="889"/>
      <c r="K22" s="889">
        <f t="shared" si="22"/>
        <v>4645000</v>
      </c>
      <c r="L22" s="889">
        <f t="shared" si="22"/>
        <v>1040000</v>
      </c>
      <c r="M22" s="889">
        <f t="shared" si="22"/>
        <v>5685000</v>
      </c>
      <c r="N22" s="889">
        <f t="shared" si="22"/>
        <v>0</v>
      </c>
      <c r="O22" s="889">
        <f t="shared" si="22"/>
        <v>0</v>
      </c>
      <c r="P22" s="889">
        <f t="shared" si="22"/>
        <v>0</v>
      </c>
      <c r="Q22" s="889">
        <f t="shared" si="22"/>
        <v>5685000</v>
      </c>
      <c r="R22" s="889">
        <f t="shared" si="22"/>
        <v>0</v>
      </c>
      <c r="S22" s="889">
        <f t="shared" si="22"/>
        <v>5685000</v>
      </c>
      <c r="T22" s="890"/>
      <c r="U22" s="826"/>
      <c r="V22" s="891"/>
      <c r="W22" s="891"/>
      <c r="X22" s="891"/>
      <c r="Y22" s="891"/>
    </row>
    <row r="23" spans="1:30" ht="11.25" customHeight="1">
      <c r="A23" s="901"/>
      <c r="B23" s="901"/>
      <c r="C23" s="902"/>
      <c r="D23" s="903"/>
      <c r="E23" s="904"/>
      <c r="F23" s="902"/>
      <c r="G23" s="902"/>
      <c r="H23" s="902"/>
      <c r="I23" s="902"/>
      <c r="K23" s="902"/>
      <c r="L23" s="902"/>
      <c r="M23" s="906"/>
      <c r="N23" s="902"/>
      <c r="O23" s="902"/>
      <c r="P23" s="902"/>
      <c r="Q23" s="902"/>
      <c r="R23" s="902"/>
      <c r="S23" s="902"/>
      <c r="T23" s="902"/>
      <c r="U23" s="826"/>
    </row>
    <row r="24" spans="1:30" s="877" customFormat="1" ht="11.25" customHeight="1">
      <c r="A24" s="763"/>
      <c r="B24" s="763"/>
      <c r="C24" s="763"/>
      <c r="D24" s="909"/>
      <c r="E24" s="910"/>
      <c r="F24" s="763"/>
      <c r="G24" s="763"/>
      <c r="H24" s="763"/>
      <c r="I24" s="763"/>
      <c r="J24" s="911"/>
      <c r="K24" s="910"/>
      <c r="L24" s="763"/>
      <c r="M24" s="763"/>
      <c r="N24" s="763"/>
      <c r="O24" s="763"/>
      <c r="P24" s="763"/>
      <c r="Q24" s="763"/>
      <c r="R24" s="763"/>
      <c r="S24" s="764" t="str">
        <f>"Ngày "&amp;IF(OR(MONTH($E$4)=4,MONTH($E$4)=6,MONTH($E$4)=9,MONTH($E$4)=11),"30",IF(MONTH($E$4)=2,"28","31"))&amp;"  tháng  "&amp;MONTH($E$4)&amp;"  năm   "&amp;YEAR($E$4)</f>
        <v>Ngày 30  tháng  11  năm   2012</v>
      </c>
      <c r="T24" s="763"/>
      <c r="U24" s="912"/>
      <c r="V24" s="876"/>
      <c r="W24" s="876"/>
      <c r="X24" s="876"/>
      <c r="Y24" s="876"/>
    </row>
    <row r="25" spans="1:30" s="877" customFormat="1" ht="12.75">
      <c r="A25" s="771"/>
      <c r="B25" s="771"/>
      <c r="C25" s="771" t="s">
        <v>760</v>
      </c>
      <c r="D25" s="913"/>
      <c r="E25" s="773"/>
      <c r="F25" s="912"/>
      <c r="G25" s="773"/>
      <c r="H25" s="773"/>
      <c r="I25" s="773"/>
      <c r="J25" s="914"/>
      <c r="K25" s="876"/>
      <c r="L25" s="771"/>
      <c r="M25" s="915"/>
      <c r="N25" s="765"/>
      <c r="O25" s="765"/>
      <c r="P25" s="765"/>
      <c r="Q25" s="765"/>
      <c r="S25" s="912" t="s">
        <v>109</v>
      </c>
      <c r="T25" s="912"/>
      <c r="U25" s="912"/>
      <c r="V25" s="876"/>
      <c r="W25" s="876"/>
      <c r="X25" s="876"/>
      <c r="Y25" s="876"/>
    </row>
    <row r="26" spans="1:30" ht="12">
      <c r="A26" s="901"/>
      <c r="B26" s="901"/>
      <c r="C26" s="916"/>
      <c r="E26" s="917"/>
      <c r="F26" s="828"/>
      <c r="G26" s="917"/>
      <c r="H26" s="917"/>
      <c r="I26" s="917"/>
      <c r="K26" s="907"/>
      <c r="L26" s="916"/>
      <c r="N26" s="918"/>
      <c r="O26" s="918"/>
      <c r="P26" s="918"/>
      <c r="Q26" s="918"/>
      <c r="S26" s="918"/>
      <c r="T26" s="828"/>
      <c r="U26" s="826"/>
    </row>
    <row r="27" spans="1:30" ht="12">
      <c r="C27" s="916"/>
      <c r="L27" s="916"/>
      <c r="T27" s="916"/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  <row r="33" spans="21:21" ht="12">
      <c r="U33" s="82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2"/>
  <sheetViews>
    <sheetView zoomScaleNormal="115" workbookViewId="0">
      <pane xSplit="3" ySplit="6" topLeftCell="D7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F18" sqref="F18:AJ25"/>
    </sheetView>
  </sheetViews>
  <sheetFormatPr defaultColWidth="3.7109375" defaultRowHeight="15" customHeight="1"/>
  <cols>
    <col min="1" max="1" width="3.7109375" style="730" customWidth="1"/>
    <col min="2" max="2" width="7.7109375" style="730" bestFit="1" customWidth="1"/>
    <col min="3" max="3" width="17.28515625" style="730" customWidth="1"/>
    <col min="4" max="4" width="6.85546875" style="837" customWidth="1"/>
    <col min="5" max="5" width="7.140625" style="730" customWidth="1"/>
    <col min="6" max="33" width="3.42578125" style="838" customWidth="1"/>
    <col min="34" max="36" width="3.42578125" style="839" customWidth="1"/>
    <col min="37" max="38" width="4.42578125" style="730" customWidth="1"/>
    <col min="39" max="39" width="5.5703125" style="840" customWidth="1"/>
    <col min="40" max="40" width="6.140625" style="730" customWidth="1"/>
    <col min="41" max="43" width="5" style="730" hidden="1" customWidth="1"/>
    <col min="44" max="44" width="5" style="730" customWidth="1"/>
    <col min="45" max="45" width="11.7109375" style="730" customWidth="1"/>
    <col min="46" max="46" width="9.85546875" style="730" customWidth="1"/>
    <col min="47" max="47" width="3.7109375" style="730" customWidth="1"/>
    <col min="48" max="48" width="8.5703125" style="730" customWidth="1"/>
    <col min="49" max="16384" width="3.7109375" style="730"/>
  </cols>
  <sheetData>
    <row r="1" spans="1:91" ht="37.5" customHeight="1">
      <c r="A1" s="779"/>
      <c r="B1" s="780"/>
      <c r="C1" s="780"/>
      <c r="D1" s="781"/>
      <c r="E1" s="780"/>
      <c r="F1" s="781"/>
      <c r="G1" s="781"/>
      <c r="H1" s="781"/>
      <c r="I1" s="781"/>
      <c r="J1" s="781"/>
      <c r="K1" s="782"/>
      <c r="L1" s="782"/>
      <c r="M1" s="782"/>
      <c r="N1" s="782"/>
      <c r="O1" s="782"/>
      <c r="P1" s="782"/>
      <c r="Q1" s="782"/>
      <c r="R1" s="782"/>
      <c r="S1" s="783" t="str">
        <f>CONCATENATE("BẢNG CHẤM CÔNG THÁNG ",TEXT($E$4,"mm")," NĂM ",TEXT($E$4,"yyyy"))</f>
        <v>BẢNG CHẤM CÔNG THÁNG 12 NĂM 2012</v>
      </c>
      <c r="T1" s="782"/>
      <c r="U1" s="782"/>
      <c r="V1" s="782"/>
      <c r="W1" s="782"/>
      <c r="X1" s="782"/>
      <c r="Y1" s="782"/>
      <c r="Z1" s="782"/>
      <c r="AA1" s="782"/>
      <c r="AB1" s="782"/>
      <c r="AC1" s="782"/>
      <c r="AD1" s="782"/>
      <c r="AE1" s="782"/>
      <c r="AF1" s="782"/>
      <c r="AG1" s="782"/>
      <c r="AH1" s="782"/>
      <c r="AI1" s="782"/>
      <c r="AJ1" s="782"/>
      <c r="AK1" s="784"/>
      <c r="AL1" s="784"/>
      <c r="AM1" s="1110" t="s">
        <v>713</v>
      </c>
      <c r="AN1" s="1111"/>
      <c r="AO1" s="1111"/>
      <c r="AP1" s="1111"/>
      <c r="AQ1" s="1111"/>
      <c r="AR1" s="1111"/>
      <c r="AS1" s="1112"/>
      <c r="AT1" s="785"/>
    </row>
    <row r="2" spans="1:91" ht="20.25">
      <c r="A2" s="779"/>
      <c r="B2" s="781"/>
      <c r="C2" s="781"/>
      <c r="D2" s="781"/>
      <c r="E2" s="781"/>
      <c r="F2" s="781"/>
      <c r="G2" s="781"/>
      <c r="H2" s="781"/>
      <c r="I2" s="781"/>
      <c r="J2" s="781"/>
      <c r="K2" s="782"/>
      <c r="L2" s="782"/>
      <c r="M2" s="782"/>
      <c r="N2" s="782"/>
      <c r="O2" s="782"/>
      <c r="P2" s="782"/>
      <c r="Q2" s="782"/>
      <c r="R2" s="782"/>
      <c r="S2" s="782"/>
      <c r="T2" s="782"/>
      <c r="U2" s="782"/>
      <c r="V2" s="782"/>
      <c r="W2" s="782"/>
      <c r="X2" s="782"/>
      <c r="Y2" s="782"/>
      <c r="Z2" s="782"/>
      <c r="AA2" s="782"/>
      <c r="AB2" s="782"/>
      <c r="AC2" s="782"/>
      <c r="AD2" s="782"/>
      <c r="AE2" s="782"/>
      <c r="AF2" s="782"/>
      <c r="AG2" s="782"/>
      <c r="AH2" s="782"/>
      <c r="AI2" s="782"/>
      <c r="AJ2" s="782"/>
      <c r="AK2" s="784"/>
      <c r="AL2" s="784"/>
      <c r="AM2" s="786"/>
      <c r="AN2" s="787"/>
      <c r="AO2" s="787"/>
      <c r="AP2" s="787"/>
      <c r="AQ2" s="787"/>
      <c r="AR2" s="787"/>
      <c r="AS2" s="788"/>
      <c r="AT2" s="788"/>
    </row>
    <row r="3" spans="1:91" ht="21" customHeight="1">
      <c r="A3" s="779"/>
      <c r="B3" s="789"/>
      <c r="C3" s="789"/>
      <c r="D3" s="790"/>
      <c r="E3" s="790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782"/>
      <c r="Q3" s="782"/>
      <c r="R3" s="782"/>
      <c r="S3" s="782"/>
      <c r="T3" s="782"/>
      <c r="U3" s="782"/>
      <c r="V3" s="782"/>
      <c r="W3" s="782"/>
      <c r="X3" s="782"/>
      <c r="Y3" s="782"/>
      <c r="Z3" s="782"/>
      <c r="AA3" s="782"/>
      <c r="AB3" s="782"/>
      <c r="AC3" s="782"/>
      <c r="AD3" s="782"/>
      <c r="AE3" s="782"/>
      <c r="AF3" s="782"/>
      <c r="AG3" s="782"/>
      <c r="AH3" s="782"/>
      <c r="AI3" s="782"/>
      <c r="AJ3" s="782"/>
      <c r="AK3" s="784"/>
      <c r="AL3" s="784"/>
      <c r="AM3" s="786"/>
      <c r="AN3" s="785"/>
      <c r="AO3" s="785"/>
      <c r="AP3" s="785"/>
      <c r="AQ3" s="785"/>
      <c r="AR3" s="785"/>
      <c r="AS3" s="791"/>
      <c r="AT3" s="791"/>
    </row>
    <row r="4" spans="1:91" ht="14.25" customHeight="1">
      <c r="A4" s="792"/>
      <c r="B4" s="792"/>
      <c r="C4" s="793"/>
      <c r="D4" s="794"/>
      <c r="E4" s="795">
        <v>41244</v>
      </c>
      <c r="F4" s="796"/>
      <c r="G4" s="796"/>
      <c r="H4" s="796"/>
      <c r="I4" s="796"/>
      <c r="J4" s="796"/>
      <c r="K4" s="796"/>
      <c r="L4" s="796"/>
      <c r="M4" s="796"/>
      <c r="N4" s="796"/>
      <c r="O4" s="796"/>
      <c r="P4" s="796"/>
      <c r="Q4" s="796"/>
      <c r="R4" s="796"/>
      <c r="S4" s="796"/>
      <c r="T4" s="796"/>
      <c r="U4" s="796"/>
      <c r="V4" s="796"/>
      <c r="W4" s="796"/>
      <c r="X4" s="796"/>
      <c r="Y4" s="796"/>
      <c r="Z4" s="796"/>
      <c r="AA4" s="796"/>
      <c r="AB4" s="796"/>
      <c r="AC4" s="796"/>
      <c r="AD4" s="796"/>
      <c r="AE4" s="796"/>
      <c r="AF4" s="796"/>
      <c r="AG4" s="796"/>
      <c r="AH4" s="797"/>
      <c r="AI4" s="797"/>
      <c r="AJ4" s="797"/>
      <c r="AK4" s="792"/>
      <c r="AL4" s="792"/>
      <c r="AM4" s="798"/>
      <c r="AN4" s="792"/>
      <c r="AO4" s="792"/>
      <c r="AP4" s="792"/>
      <c r="AQ4" s="792"/>
      <c r="AR4" s="792"/>
      <c r="AS4" s="792"/>
      <c r="AT4" s="799"/>
    </row>
    <row r="5" spans="1:91" s="801" customFormat="1" ht="18.75" customHeight="1">
      <c r="A5" s="1113" t="s">
        <v>714</v>
      </c>
      <c r="B5" s="1113" t="s">
        <v>609</v>
      </c>
      <c r="C5" s="1113" t="s">
        <v>610</v>
      </c>
      <c r="D5" s="1115" t="s">
        <v>715</v>
      </c>
      <c r="E5" s="1113" t="s">
        <v>716</v>
      </c>
      <c r="F5" s="800">
        <f>+E4</f>
        <v>41244</v>
      </c>
      <c r="G5" s="800">
        <f t="shared" ref="G5:AJ5" si="0">F5+1</f>
        <v>41245</v>
      </c>
      <c r="H5" s="800">
        <f t="shared" si="0"/>
        <v>41246</v>
      </c>
      <c r="I5" s="800">
        <f t="shared" si="0"/>
        <v>41247</v>
      </c>
      <c r="J5" s="800">
        <f t="shared" si="0"/>
        <v>41248</v>
      </c>
      <c r="K5" s="800">
        <f t="shared" si="0"/>
        <v>41249</v>
      </c>
      <c r="L5" s="800">
        <f t="shared" si="0"/>
        <v>41250</v>
      </c>
      <c r="M5" s="800">
        <f t="shared" si="0"/>
        <v>41251</v>
      </c>
      <c r="N5" s="800">
        <f t="shared" si="0"/>
        <v>41252</v>
      </c>
      <c r="O5" s="800">
        <f t="shared" si="0"/>
        <v>41253</v>
      </c>
      <c r="P5" s="800">
        <f t="shared" si="0"/>
        <v>41254</v>
      </c>
      <c r="Q5" s="800">
        <f t="shared" si="0"/>
        <v>41255</v>
      </c>
      <c r="R5" s="800">
        <f t="shared" si="0"/>
        <v>41256</v>
      </c>
      <c r="S5" s="800">
        <f t="shared" si="0"/>
        <v>41257</v>
      </c>
      <c r="T5" s="800">
        <f t="shared" si="0"/>
        <v>41258</v>
      </c>
      <c r="U5" s="800">
        <f t="shared" si="0"/>
        <v>41259</v>
      </c>
      <c r="V5" s="800">
        <f t="shared" si="0"/>
        <v>41260</v>
      </c>
      <c r="W5" s="800">
        <f t="shared" si="0"/>
        <v>41261</v>
      </c>
      <c r="X5" s="800">
        <f t="shared" si="0"/>
        <v>41262</v>
      </c>
      <c r="Y5" s="800">
        <f t="shared" si="0"/>
        <v>41263</v>
      </c>
      <c r="Z5" s="800">
        <f t="shared" si="0"/>
        <v>41264</v>
      </c>
      <c r="AA5" s="800">
        <f t="shared" si="0"/>
        <v>41265</v>
      </c>
      <c r="AB5" s="800">
        <f t="shared" si="0"/>
        <v>41266</v>
      </c>
      <c r="AC5" s="800">
        <f t="shared" si="0"/>
        <v>41267</v>
      </c>
      <c r="AD5" s="800">
        <f t="shared" si="0"/>
        <v>41268</v>
      </c>
      <c r="AE5" s="800">
        <f t="shared" si="0"/>
        <v>41269</v>
      </c>
      <c r="AF5" s="800">
        <f t="shared" si="0"/>
        <v>41270</v>
      </c>
      <c r="AG5" s="800">
        <f t="shared" si="0"/>
        <v>41271</v>
      </c>
      <c r="AH5" s="800">
        <f>AG5+1</f>
        <v>41272</v>
      </c>
      <c r="AI5" s="800">
        <f t="shared" si="0"/>
        <v>41273</v>
      </c>
      <c r="AJ5" s="800">
        <f t="shared" si="0"/>
        <v>41274</v>
      </c>
      <c r="AK5" s="1116" t="s">
        <v>717</v>
      </c>
      <c r="AL5" s="1117"/>
      <c r="AM5" s="1118"/>
      <c r="AN5" s="1119" t="s">
        <v>718</v>
      </c>
      <c r="AO5" s="1119" t="s">
        <v>719</v>
      </c>
      <c r="AP5" s="1119" t="s">
        <v>720</v>
      </c>
      <c r="AQ5" s="1119" t="s">
        <v>721</v>
      </c>
      <c r="AR5" s="1119" t="s">
        <v>722</v>
      </c>
      <c r="AS5" s="1115" t="s">
        <v>127</v>
      </c>
      <c r="AT5" s="1121"/>
      <c r="AV5" s="730"/>
      <c r="AW5" s="730"/>
      <c r="AX5" s="730"/>
      <c r="AY5" s="730"/>
      <c r="AZ5" s="730"/>
      <c r="BA5" s="730"/>
      <c r="BB5" s="730"/>
      <c r="BC5" s="730"/>
      <c r="BD5" s="730"/>
      <c r="BE5" s="730"/>
      <c r="BF5" s="730"/>
      <c r="BG5" s="730"/>
      <c r="BH5" s="730"/>
      <c r="BI5" s="730"/>
      <c r="BJ5" s="730"/>
      <c r="BK5" s="730"/>
      <c r="BL5" s="730"/>
      <c r="BM5" s="730"/>
      <c r="BN5" s="730"/>
      <c r="BO5" s="730"/>
      <c r="BP5" s="730"/>
      <c r="BQ5" s="730"/>
      <c r="BR5" s="730"/>
      <c r="BS5" s="730"/>
      <c r="BT5" s="730"/>
      <c r="BU5" s="730"/>
      <c r="BV5" s="730"/>
      <c r="BW5" s="730"/>
      <c r="BX5" s="730"/>
      <c r="BY5" s="730"/>
      <c r="BZ5" s="730"/>
      <c r="CA5" s="730"/>
      <c r="CB5" s="730"/>
      <c r="CC5" s="730"/>
      <c r="CD5" s="730"/>
      <c r="CE5" s="730"/>
      <c r="CF5" s="730"/>
      <c r="CG5" s="730"/>
      <c r="CH5" s="730"/>
      <c r="CI5" s="730"/>
      <c r="CJ5" s="730"/>
      <c r="CK5" s="730"/>
      <c r="CL5" s="730"/>
      <c r="CM5" s="730"/>
    </row>
    <row r="6" spans="1:91" s="801" customFormat="1" ht="39.75" customHeight="1">
      <c r="A6" s="1114"/>
      <c r="B6" s="1114"/>
      <c r="C6" s="1114"/>
      <c r="D6" s="1114"/>
      <c r="E6" s="1114"/>
      <c r="F6" s="802" t="str">
        <f>CHOOSE(WEEKDAY(F5),"C.Nhật","T.Hai","T.Ba","T.Tư","T.Năm","T.Sáu","T.Bảy")</f>
        <v>T.Bảy</v>
      </c>
      <c r="G6" s="802" t="str">
        <f t="shared" ref="G6:AJ6" si="1">CHOOSE(WEEKDAY(G5),"C.Nhật","T.Hai","T.Ba","T.Tư","T.Năm","T.Sáu","T.Bảy")</f>
        <v>C.Nhật</v>
      </c>
      <c r="H6" s="802" t="str">
        <f t="shared" si="1"/>
        <v>T.Hai</v>
      </c>
      <c r="I6" s="802" t="str">
        <f t="shared" si="1"/>
        <v>T.Ba</v>
      </c>
      <c r="J6" s="802" t="str">
        <f t="shared" si="1"/>
        <v>T.Tư</v>
      </c>
      <c r="K6" s="802" t="str">
        <f t="shared" si="1"/>
        <v>T.Năm</v>
      </c>
      <c r="L6" s="802" t="str">
        <f t="shared" si="1"/>
        <v>T.Sáu</v>
      </c>
      <c r="M6" s="802" t="str">
        <f t="shared" si="1"/>
        <v>T.Bảy</v>
      </c>
      <c r="N6" s="802" t="str">
        <f t="shared" si="1"/>
        <v>C.Nhật</v>
      </c>
      <c r="O6" s="802" t="str">
        <f t="shared" si="1"/>
        <v>T.Hai</v>
      </c>
      <c r="P6" s="802" t="str">
        <f t="shared" si="1"/>
        <v>T.Ba</v>
      </c>
      <c r="Q6" s="802" t="str">
        <f t="shared" si="1"/>
        <v>T.Tư</v>
      </c>
      <c r="R6" s="802" t="str">
        <f t="shared" si="1"/>
        <v>T.Năm</v>
      </c>
      <c r="S6" s="802" t="str">
        <f t="shared" si="1"/>
        <v>T.Sáu</v>
      </c>
      <c r="T6" s="802" t="str">
        <f t="shared" si="1"/>
        <v>T.Bảy</v>
      </c>
      <c r="U6" s="802" t="str">
        <f t="shared" si="1"/>
        <v>C.Nhật</v>
      </c>
      <c r="V6" s="802" t="str">
        <f t="shared" si="1"/>
        <v>T.Hai</v>
      </c>
      <c r="W6" s="802" t="str">
        <f t="shared" si="1"/>
        <v>T.Ba</v>
      </c>
      <c r="X6" s="802" t="str">
        <f t="shared" si="1"/>
        <v>T.Tư</v>
      </c>
      <c r="Y6" s="802" t="str">
        <f t="shared" si="1"/>
        <v>T.Năm</v>
      </c>
      <c r="Z6" s="802" t="str">
        <f t="shared" si="1"/>
        <v>T.Sáu</v>
      </c>
      <c r="AA6" s="802" t="str">
        <f t="shared" si="1"/>
        <v>T.Bảy</v>
      </c>
      <c r="AB6" s="802" t="str">
        <f t="shared" si="1"/>
        <v>C.Nhật</v>
      </c>
      <c r="AC6" s="802" t="str">
        <f t="shared" si="1"/>
        <v>T.Hai</v>
      </c>
      <c r="AD6" s="802" t="str">
        <f t="shared" si="1"/>
        <v>T.Ba</v>
      </c>
      <c r="AE6" s="802" t="str">
        <f t="shared" si="1"/>
        <v>T.Tư</v>
      </c>
      <c r="AF6" s="802" t="str">
        <f t="shared" si="1"/>
        <v>T.Năm</v>
      </c>
      <c r="AG6" s="802" t="str">
        <f t="shared" si="1"/>
        <v>T.Sáu</v>
      </c>
      <c r="AH6" s="802" t="str">
        <f t="shared" si="1"/>
        <v>T.Bảy</v>
      </c>
      <c r="AI6" s="802" t="str">
        <f t="shared" si="1"/>
        <v>C.Nhật</v>
      </c>
      <c r="AJ6" s="802" t="str">
        <f t="shared" si="1"/>
        <v>T.Hai</v>
      </c>
      <c r="AK6" s="803" t="s">
        <v>723</v>
      </c>
      <c r="AL6" s="803" t="s">
        <v>724</v>
      </c>
      <c r="AM6" s="804" t="s">
        <v>725</v>
      </c>
      <c r="AN6" s="1120"/>
      <c r="AO6" s="1120"/>
      <c r="AP6" s="1120"/>
      <c r="AQ6" s="1120"/>
      <c r="AR6" s="1120"/>
      <c r="AS6" s="1114"/>
      <c r="AT6" s="1121"/>
      <c r="AV6" s="730"/>
      <c r="AW6" s="730"/>
      <c r="AX6" s="730"/>
      <c r="AY6" s="730"/>
      <c r="AZ6" s="730"/>
      <c r="BA6" s="730"/>
      <c r="BB6" s="730"/>
      <c r="BC6" s="730"/>
      <c r="BD6" s="730"/>
      <c r="BE6" s="730"/>
      <c r="BF6" s="730"/>
      <c r="BG6" s="730"/>
      <c r="BH6" s="730"/>
      <c r="BI6" s="730"/>
      <c r="BJ6" s="730"/>
      <c r="BK6" s="730"/>
      <c r="BL6" s="730"/>
      <c r="BM6" s="730"/>
      <c r="BN6" s="730"/>
      <c r="BO6" s="730"/>
      <c r="BP6" s="730"/>
      <c r="BQ6" s="730"/>
      <c r="BR6" s="730"/>
      <c r="BS6" s="730"/>
      <c r="BT6" s="730"/>
      <c r="BU6" s="730"/>
      <c r="BV6" s="730"/>
      <c r="BW6" s="730"/>
      <c r="BX6" s="730"/>
      <c r="BY6" s="730"/>
      <c r="BZ6" s="730"/>
      <c r="CA6" s="730"/>
      <c r="CB6" s="730"/>
      <c r="CC6" s="730"/>
      <c r="CD6" s="730"/>
      <c r="CE6" s="730"/>
      <c r="CF6" s="730"/>
      <c r="CG6" s="730"/>
      <c r="CH6" s="730"/>
      <c r="CI6" s="730"/>
      <c r="CJ6" s="730"/>
      <c r="CK6" s="730"/>
      <c r="CL6" s="730"/>
      <c r="CM6" s="730"/>
    </row>
    <row r="7" spans="1:91" s="801" customFormat="1" ht="12.75" customHeight="1">
      <c r="A7" s="805">
        <v>1</v>
      </c>
      <c r="B7" s="805">
        <v>1</v>
      </c>
      <c r="C7" s="805">
        <v>2</v>
      </c>
      <c r="D7" s="805">
        <v>3</v>
      </c>
      <c r="E7" s="805">
        <v>4</v>
      </c>
      <c r="F7" s="805">
        <v>5</v>
      </c>
      <c r="G7" s="805">
        <v>6</v>
      </c>
      <c r="H7" s="805">
        <v>7</v>
      </c>
      <c r="I7" s="805">
        <v>8</v>
      </c>
      <c r="J7" s="805">
        <v>9</v>
      </c>
      <c r="K7" s="805">
        <v>10</v>
      </c>
      <c r="L7" s="805">
        <v>11</v>
      </c>
      <c r="M7" s="805">
        <v>12</v>
      </c>
      <c r="N7" s="805">
        <v>13</v>
      </c>
      <c r="O7" s="805">
        <v>14</v>
      </c>
      <c r="P7" s="805">
        <v>15</v>
      </c>
      <c r="Q7" s="805">
        <v>16</v>
      </c>
      <c r="R7" s="805">
        <v>17</v>
      </c>
      <c r="S7" s="805">
        <v>18</v>
      </c>
      <c r="T7" s="805">
        <v>19</v>
      </c>
      <c r="U7" s="805">
        <v>20</v>
      </c>
      <c r="V7" s="805">
        <v>21</v>
      </c>
      <c r="W7" s="805">
        <v>22</v>
      </c>
      <c r="X7" s="805">
        <v>23</v>
      </c>
      <c r="Y7" s="805">
        <v>24</v>
      </c>
      <c r="Z7" s="805">
        <v>25</v>
      </c>
      <c r="AA7" s="805">
        <v>26</v>
      </c>
      <c r="AB7" s="805">
        <v>27</v>
      </c>
      <c r="AC7" s="805">
        <v>28</v>
      </c>
      <c r="AD7" s="805">
        <v>29</v>
      </c>
      <c r="AE7" s="805">
        <v>30</v>
      </c>
      <c r="AF7" s="805">
        <v>31</v>
      </c>
      <c r="AG7" s="805">
        <v>32</v>
      </c>
      <c r="AH7" s="805">
        <v>33</v>
      </c>
      <c r="AI7" s="805">
        <v>34</v>
      </c>
      <c r="AJ7" s="805">
        <v>35</v>
      </c>
      <c r="AK7" s="805">
        <v>36</v>
      </c>
      <c r="AL7" s="805">
        <v>37</v>
      </c>
      <c r="AM7" s="805">
        <v>38</v>
      </c>
      <c r="AN7" s="805">
        <v>39</v>
      </c>
      <c r="AO7" s="805">
        <v>40</v>
      </c>
      <c r="AP7" s="805">
        <v>41</v>
      </c>
      <c r="AQ7" s="805">
        <v>42</v>
      </c>
      <c r="AR7" s="805">
        <v>43</v>
      </c>
      <c r="AS7" s="805">
        <v>44</v>
      </c>
      <c r="AT7" s="806"/>
      <c r="AV7" s="730"/>
      <c r="AW7" s="730"/>
      <c r="AX7" s="730"/>
      <c r="AY7" s="730"/>
      <c r="AZ7" s="730"/>
      <c r="BA7" s="730"/>
      <c r="BB7" s="730"/>
      <c r="BC7" s="730"/>
      <c r="BD7" s="730"/>
      <c r="BE7" s="730"/>
      <c r="BF7" s="730"/>
      <c r="BG7" s="730"/>
      <c r="BH7" s="730"/>
      <c r="BI7" s="730"/>
      <c r="BJ7" s="730"/>
      <c r="BK7" s="730"/>
      <c r="BL7" s="730"/>
      <c r="BM7" s="730"/>
      <c r="BN7" s="730"/>
      <c r="BO7" s="730"/>
      <c r="BP7" s="730"/>
      <c r="BQ7" s="730"/>
      <c r="BR7" s="730"/>
      <c r="BS7" s="730"/>
      <c r="BT7" s="730"/>
      <c r="BU7" s="730"/>
      <c r="BV7" s="730"/>
      <c r="BW7" s="730"/>
      <c r="BX7" s="730"/>
      <c r="BY7" s="730"/>
      <c r="BZ7" s="730"/>
      <c r="CA7" s="730"/>
      <c r="CB7" s="730"/>
      <c r="CC7" s="730"/>
      <c r="CD7" s="730"/>
      <c r="CE7" s="730"/>
      <c r="CF7" s="730"/>
      <c r="CG7" s="730"/>
      <c r="CH7" s="730"/>
      <c r="CI7" s="730"/>
      <c r="CJ7" s="730"/>
      <c r="CK7" s="730"/>
      <c r="CL7" s="730"/>
      <c r="CM7" s="730"/>
    </row>
    <row r="8" spans="1:91" s="812" customFormat="1" ht="21" customHeight="1">
      <c r="A8" s="807" t="s">
        <v>726</v>
      </c>
      <c r="B8" s="808" t="s">
        <v>727</v>
      </c>
      <c r="C8" s="809"/>
      <c r="D8" s="809"/>
      <c r="E8" s="809"/>
      <c r="F8" s="809"/>
      <c r="G8" s="809"/>
      <c r="H8" s="809"/>
      <c r="I8" s="809"/>
      <c r="J8" s="809"/>
      <c r="K8" s="809"/>
      <c r="L8" s="809"/>
      <c r="M8" s="809"/>
      <c r="N8" s="809"/>
      <c r="O8" s="809"/>
      <c r="P8" s="809"/>
      <c r="Q8" s="809"/>
      <c r="R8" s="809"/>
      <c r="S8" s="809"/>
      <c r="T8" s="809"/>
      <c r="U8" s="809"/>
      <c r="V8" s="809"/>
      <c r="W8" s="809"/>
      <c r="X8" s="809"/>
      <c r="Y8" s="809"/>
      <c r="Z8" s="809"/>
      <c r="AA8" s="809"/>
      <c r="AB8" s="809"/>
      <c r="AC8" s="809"/>
      <c r="AD8" s="809"/>
      <c r="AE8" s="809"/>
      <c r="AF8" s="809"/>
      <c r="AG8" s="809"/>
      <c r="AH8" s="809"/>
      <c r="AI8" s="809"/>
      <c r="AJ8" s="809"/>
      <c r="AK8" s="809"/>
      <c r="AL8" s="809"/>
      <c r="AM8" s="809"/>
      <c r="AN8" s="809"/>
      <c r="AO8" s="809"/>
      <c r="AP8" s="809"/>
      <c r="AQ8" s="809"/>
      <c r="AR8" s="809"/>
      <c r="AS8" s="810"/>
      <c r="AT8" s="811"/>
    </row>
    <row r="9" spans="1:91" s="801" customFormat="1" ht="18" customHeight="1">
      <c r="A9" s="1122">
        <v>1</v>
      </c>
      <c r="B9" s="1122" t="s">
        <v>621</v>
      </c>
      <c r="C9" s="1124" t="str">
        <f>VLOOKUP(B9,DS,2,0)</f>
        <v>Nguyễn Đức Hải</v>
      </c>
      <c r="D9" s="1126" t="str">
        <f>VLOOKUP(B9,DS,3,0)</f>
        <v>Giám Đốc</v>
      </c>
      <c r="E9" s="813" t="s">
        <v>728</v>
      </c>
      <c r="F9" s="814">
        <v>8</v>
      </c>
      <c r="G9" s="814"/>
      <c r="H9" s="814">
        <v>8</v>
      </c>
      <c r="I9" s="814">
        <v>8</v>
      </c>
      <c r="J9" s="814">
        <v>8</v>
      </c>
      <c r="K9" s="814">
        <v>8</v>
      </c>
      <c r="L9" s="814">
        <v>8</v>
      </c>
      <c r="M9" s="814">
        <v>8</v>
      </c>
      <c r="N9" s="814"/>
      <c r="O9" s="814">
        <v>8</v>
      </c>
      <c r="P9" s="814">
        <v>8</v>
      </c>
      <c r="Q9" s="814">
        <v>8</v>
      </c>
      <c r="R9" s="814">
        <v>8</v>
      </c>
      <c r="S9" s="814">
        <v>8</v>
      </c>
      <c r="T9" s="814">
        <v>8</v>
      </c>
      <c r="U9" s="814"/>
      <c r="V9" s="814">
        <v>8</v>
      </c>
      <c r="W9" s="814">
        <v>8</v>
      </c>
      <c r="X9" s="814">
        <v>8</v>
      </c>
      <c r="Y9" s="814">
        <v>8</v>
      </c>
      <c r="Z9" s="814">
        <v>8</v>
      </c>
      <c r="AA9" s="814">
        <v>8</v>
      </c>
      <c r="AB9" s="814"/>
      <c r="AC9" s="814">
        <v>8</v>
      </c>
      <c r="AD9" s="814">
        <v>8</v>
      </c>
      <c r="AE9" s="814">
        <v>8</v>
      </c>
      <c r="AF9" s="814">
        <v>8</v>
      </c>
      <c r="AG9" s="814">
        <v>8</v>
      </c>
      <c r="AH9" s="814">
        <v>8</v>
      </c>
      <c r="AI9" s="814"/>
      <c r="AJ9" s="814">
        <v>8</v>
      </c>
      <c r="AK9" s="1128">
        <f>((SUM(F9:AJ9))/8)-(SUMIF($F$6:$AJ$6,"C.Nhật",F9:AJ9)/8)</f>
        <v>26</v>
      </c>
      <c r="AL9" s="1128">
        <f>SUM(F10:AJ10)/8*1.5</f>
        <v>0</v>
      </c>
      <c r="AM9" s="1134">
        <f>SUMIF($F$6:$AJ$6,"C.Nhật",$F9:$AJ10)/8*2</f>
        <v>0</v>
      </c>
      <c r="AN9" s="1130">
        <f>SUM(AK9:AM10)</f>
        <v>26</v>
      </c>
      <c r="AO9" s="1136">
        <v>0</v>
      </c>
      <c r="AP9" s="1130"/>
      <c r="AQ9" s="1130"/>
      <c r="AR9" s="1130"/>
      <c r="AS9" s="1132"/>
      <c r="AT9" s="806"/>
      <c r="AV9" s="730"/>
      <c r="AW9" s="730"/>
      <c r="AX9" s="730"/>
      <c r="AY9" s="730"/>
      <c r="AZ9" s="730"/>
      <c r="BA9" s="730"/>
      <c r="BB9" s="730"/>
      <c r="BC9" s="730"/>
      <c r="BD9" s="730"/>
      <c r="BE9" s="730"/>
      <c r="BF9" s="730"/>
      <c r="BG9" s="730"/>
      <c r="BH9" s="730"/>
      <c r="BI9" s="730"/>
      <c r="BJ9" s="730"/>
      <c r="BK9" s="730"/>
      <c r="BL9" s="730"/>
      <c r="BM9" s="730"/>
      <c r="BN9" s="730"/>
      <c r="BO9" s="730"/>
      <c r="BP9" s="730"/>
      <c r="BQ9" s="730"/>
      <c r="BR9" s="730"/>
      <c r="BS9" s="730"/>
      <c r="BT9" s="730"/>
      <c r="BU9" s="730"/>
      <c r="BV9" s="730"/>
      <c r="BW9" s="730"/>
      <c r="BX9" s="730"/>
      <c r="BY9" s="730"/>
      <c r="BZ9" s="730"/>
      <c r="CA9" s="730"/>
      <c r="CB9" s="730"/>
      <c r="CC9" s="730"/>
      <c r="CD9" s="730"/>
      <c r="CE9" s="730"/>
      <c r="CF9" s="730"/>
      <c r="CG9" s="730"/>
      <c r="CH9" s="730"/>
      <c r="CI9" s="730"/>
      <c r="CJ9" s="730"/>
      <c r="CK9" s="730"/>
      <c r="CL9" s="730"/>
      <c r="CM9" s="730"/>
    </row>
    <row r="10" spans="1:91" s="801" customFormat="1" ht="18" customHeight="1">
      <c r="A10" s="1123"/>
      <c r="B10" s="1123"/>
      <c r="C10" s="1125"/>
      <c r="D10" s="1127"/>
      <c r="E10" s="815" t="s">
        <v>724</v>
      </c>
      <c r="F10" s="816"/>
      <c r="G10" s="816"/>
      <c r="H10" s="816"/>
      <c r="I10" s="816"/>
      <c r="J10" s="816"/>
      <c r="K10" s="816"/>
      <c r="L10" s="816"/>
      <c r="M10" s="816"/>
      <c r="N10" s="816"/>
      <c r="O10" s="816"/>
      <c r="P10" s="816"/>
      <c r="Q10" s="816"/>
      <c r="R10" s="816"/>
      <c r="S10" s="816"/>
      <c r="T10" s="816"/>
      <c r="U10" s="816"/>
      <c r="V10" s="816"/>
      <c r="W10" s="816"/>
      <c r="X10" s="816"/>
      <c r="Y10" s="816"/>
      <c r="Z10" s="816"/>
      <c r="AA10" s="816"/>
      <c r="AB10" s="816"/>
      <c r="AC10" s="816"/>
      <c r="AD10" s="816"/>
      <c r="AE10" s="816"/>
      <c r="AF10" s="816"/>
      <c r="AG10" s="816"/>
      <c r="AH10" s="816"/>
      <c r="AI10" s="816"/>
      <c r="AJ10" s="816"/>
      <c r="AK10" s="1129"/>
      <c r="AL10" s="1129"/>
      <c r="AM10" s="1135"/>
      <c r="AN10" s="1131"/>
      <c r="AO10" s="1137"/>
      <c r="AP10" s="1131"/>
      <c r="AQ10" s="1131"/>
      <c r="AR10" s="1131"/>
      <c r="AS10" s="1133"/>
      <c r="AT10" s="806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</row>
    <row r="11" spans="1:91" s="801" customFormat="1" ht="18" customHeight="1">
      <c r="A11" s="1122">
        <v>2</v>
      </c>
      <c r="B11" s="1122" t="s">
        <v>622</v>
      </c>
      <c r="C11" s="1124" t="str">
        <f>VLOOKUP(B11,DS,2,0)</f>
        <v>Huỳnh Hoàng Đạo</v>
      </c>
      <c r="D11" s="1126" t="str">
        <f>VLOOKUP(B11,DS,3,0)</f>
        <v>Quản Đốc</v>
      </c>
      <c r="E11" s="813" t="s">
        <v>728</v>
      </c>
      <c r="F11" s="814">
        <v>8</v>
      </c>
      <c r="G11" s="814"/>
      <c r="H11" s="814">
        <v>8</v>
      </c>
      <c r="I11" s="814">
        <v>8</v>
      </c>
      <c r="J11" s="814">
        <v>8</v>
      </c>
      <c r="K11" s="814">
        <v>8</v>
      </c>
      <c r="L11" s="814">
        <v>8</v>
      </c>
      <c r="M11" s="814">
        <v>8</v>
      </c>
      <c r="N11" s="814"/>
      <c r="O11" s="814">
        <v>8</v>
      </c>
      <c r="P11" s="814">
        <v>8</v>
      </c>
      <c r="Q11" s="814">
        <v>8</v>
      </c>
      <c r="R11" s="814">
        <v>8</v>
      </c>
      <c r="S11" s="814">
        <v>8</v>
      </c>
      <c r="T11" s="814">
        <v>8</v>
      </c>
      <c r="U11" s="814"/>
      <c r="V11" s="814">
        <v>8</v>
      </c>
      <c r="W11" s="814">
        <v>8</v>
      </c>
      <c r="X11" s="814">
        <v>8</v>
      </c>
      <c r="Y11" s="814">
        <v>8</v>
      </c>
      <c r="Z11" s="814">
        <v>8</v>
      </c>
      <c r="AA11" s="814">
        <v>8</v>
      </c>
      <c r="AB11" s="814"/>
      <c r="AC11" s="814">
        <v>8</v>
      </c>
      <c r="AD11" s="814">
        <v>8</v>
      </c>
      <c r="AE11" s="814">
        <v>8</v>
      </c>
      <c r="AF11" s="814">
        <v>8</v>
      </c>
      <c r="AG11" s="814">
        <v>8</v>
      </c>
      <c r="AH11" s="814">
        <v>8</v>
      </c>
      <c r="AI11" s="814"/>
      <c r="AJ11" s="814">
        <v>8</v>
      </c>
      <c r="AK11" s="1128">
        <f t="shared" ref="AK11" si="2">((SUM(F11:AJ11))/8)-(SUMIF($F$6:$AJ$6,"C.Nhật",F11:AJ11)/8)</f>
        <v>26</v>
      </c>
      <c r="AL11" s="1128">
        <f t="shared" ref="AL11" si="3">SUM(F12:AJ12)/8*1.5</f>
        <v>0</v>
      </c>
      <c r="AM11" s="1134">
        <f t="shared" ref="AM11:AM15" si="4">SUMIF($F$6:$AJ$6,"C.Nhật",$F11:$AJ12)/8*2</f>
        <v>0</v>
      </c>
      <c r="AN11" s="1130">
        <f t="shared" ref="AN11" si="5">SUM(AK11:AM12)</f>
        <v>26</v>
      </c>
      <c r="AO11" s="1136">
        <v>0</v>
      </c>
      <c r="AP11" s="1130"/>
      <c r="AQ11" s="1130"/>
      <c r="AR11" s="1130"/>
      <c r="AS11" s="1132"/>
      <c r="AT11" s="806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</row>
    <row r="12" spans="1:91" s="801" customFormat="1" ht="18" customHeight="1">
      <c r="A12" s="1123"/>
      <c r="B12" s="1123"/>
      <c r="C12" s="1125"/>
      <c r="D12" s="1127"/>
      <c r="E12" s="815" t="s">
        <v>724</v>
      </c>
      <c r="F12" s="816"/>
      <c r="G12" s="816"/>
      <c r="H12" s="816"/>
      <c r="I12" s="816"/>
      <c r="J12" s="816"/>
      <c r="K12" s="816"/>
      <c r="L12" s="816"/>
      <c r="M12" s="816"/>
      <c r="N12" s="816"/>
      <c r="O12" s="816"/>
      <c r="P12" s="816"/>
      <c r="Q12" s="816"/>
      <c r="R12" s="816"/>
      <c r="S12" s="816"/>
      <c r="T12" s="816"/>
      <c r="U12" s="816"/>
      <c r="V12" s="816"/>
      <c r="W12" s="816"/>
      <c r="X12" s="816"/>
      <c r="Y12" s="816"/>
      <c r="Z12" s="816"/>
      <c r="AA12" s="816"/>
      <c r="AB12" s="816"/>
      <c r="AC12" s="816"/>
      <c r="AD12" s="816"/>
      <c r="AE12" s="816"/>
      <c r="AF12" s="816"/>
      <c r="AG12" s="816"/>
      <c r="AH12" s="816"/>
      <c r="AI12" s="816"/>
      <c r="AJ12" s="816"/>
      <c r="AK12" s="1129"/>
      <c r="AL12" s="1129"/>
      <c r="AM12" s="1135"/>
      <c r="AN12" s="1131"/>
      <c r="AO12" s="1137"/>
      <c r="AP12" s="1131"/>
      <c r="AQ12" s="1131"/>
      <c r="AR12" s="1131"/>
      <c r="AS12" s="1133"/>
      <c r="AT12" s="806"/>
      <c r="AV12" s="730"/>
      <c r="AW12" s="730"/>
      <c r="AX12" s="730"/>
      <c r="AY12" s="730"/>
      <c r="AZ12" s="730"/>
      <c r="BA12" s="730"/>
      <c r="BB12" s="730"/>
      <c r="BC12" s="730"/>
      <c r="BD12" s="730"/>
      <c r="BE12" s="730"/>
      <c r="BF12" s="730"/>
      <c r="BG12" s="730"/>
      <c r="BH12" s="730"/>
      <c r="BI12" s="730"/>
      <c r="BJ12" s="730"/>
      <c r="BK12" s="730"/>
      <c r="BL12" s="730"/>
      <c r="BM12" s="730"/>
      <c r="BN12" s="730"/>
      <c r="BO12" s="730"/>
      <c r="BP12" s="730"/>
      <c r="BQ12" s="730"/>
      <c r="BR12" s="730"/>
      <c r="BS12" s="730"/>
      <c r="BT12" s="730"/>
      <c r="BU12" s="730"/>
      <c r="BV12" s="730"/>
      <c r="BW12" s="730"/>
      <c r="BX12" s="730"/>
      <c r="BY12" s="730"/>
      <c r="BZ12" s="730"/>
      <c r="CA12" s="730"/>
      <c r="CB12" s="730"/>
      <c r="CC12" s="730"/>
      <c r="CD12" s="730"/>
      <c r="CE12" s="730"/>
      <c r="CF12" s="730"/>
      <c r="CG12" s="730"/>
      <c r="CH12" s="730"/>
      <c r="CI12" s="730"/>
      <c r="CJ12" s="730"/>
      <c r="CK12" s="730"/>
      <c r="CL12" s="730"/>
      <c r="CM12" s="730"/>
    </row>
    <row r="13" spans="1:91" s="801" customFormat="1" ht="18" customHeight="1">
      <c r="A13" s="1122">
        <v>3</v>
      </c>
      <c r="B13" s="1122" t="s">
        <v>624</v>
      </c>
      <c r="C13" s="1124" t="str">
        <f>VLOOKUP(B13,DS,2,0)</f>
        <v>Võ Ngọc Thùy Lan</v>
      </c>
      <c r="D13" s="1126" t="str">
        <f>VLOOKUP(B13,DS,3,0)</f>
        <v>Kinh Doanh</v>
      </c>
      <c r="E13" s="813" t="s">
        <v>728</v>
      </c>
      <c r="F13" s="814">
        <v>8</v>
      </c>
      <c r="G13" s="814"/>
      <c r="H13" s="814">
        <v>8</v>
      </c>
      <c r="I13" s="814">
        <v>8</v>
      </c>
      <c r="J13" s="814">
        <v>8</v>
      </c>
      <c r="K13" s="814">
        <v>8</v>
      </c>
      <c r="L13" s="814">
        <v>8</v>
      </c>
      <c r="M13" s="814">
        <v>8</v>
      </c>
      <c r="N13" s="814"/>
      <c r="O13" s="814">
        <v>8</v>
      </c>
      <c r="P13" s="814">
        <v>8</v>
      </c>
      <c r="Q13" s="814">
        <v>8</v>
      </c>
      <c r="R13" s="814">
        <v>8</v>
      </c>
      <c r="S13" s="814">
        <v>8</v>
      </c>
      <c r="T13" s="814">
        <v>8</v>
      </c>
      <c r="U13" s="814"/>
      <c r="V13" s="814">
        <v>8</v>
      </c>
      <c r="W13" s="814">
        <v>8</v>
      </c>
      <c r="X13" s="814">
        <v>8</v>
      </c>
      <c r="Y13" s="814">
        <v>8</v>
      </c>
      <c r="Z13" s="814">
        <v>8</v>
      </c>
      <c r="AA13" s="814">
        <v>8</v>
      </c>
      <c r="AB13" s="814"/>
      <c r="AC13" s="814">
        <v>8</v>
      </c>
      <c r="AD13" s="814">
        <v>8</v>
      </c>
      <c r="AE13" s="814">
        <v>8</v>
      </c>
      <c r="AF13" s="814">
        <v>8</v>
      </c>
      <c r="AG13" s="814">
        <v>8</v>
      </c>
      <c r="AH13" s="814">
        <v>8</v>
      </c>
      <c r="AI13" s="814"/>
      <c r="AJ13" s="814">
        <v>8</v>
      </c>
      <c r="AK13" s="1128">
        <f t="shared" ref="AK13" si="6">((SUM(F13:AJ13))/8)-(SUMIF($F$6:$AJ$6,"C.Nhật",F13:AJ13)/8)</f>
        <v>26</v>
      </c>
      <c r="AL13" s="1128">
        <f t="shared" ref="AL13" si="7">SUM(F14:AJ14)/8*1.5</f>
        <v>0</v>
      </c>
      <c r="AM13" s="1134">
        <f t="shared" si="4"/>
        <v>0</v>
      </c>
      <c r="AN13" s="1130">
        <f t="shared" ref="AN13" si="8">SUM(AK13:AM14)</f>
        <v>26</v>
      </c>
      <c r="AO13" s="1136">
        <v>0</v>
      </c>
      <c r="AP13" s="1130"/>
      <c r="AQ13" s="1130"/>
      <c r="AR13" s="1130"/>
      <c r="AS13" s="1132"/>
      <c r="AT13" s="806"/>
      <c r="AV13" s="730"/>
      <c r="AW13" s="730"/>
      <c r="AX13" s="730"/>
      <c r="AY13" s="730"/>
      <c r="AZ13" s="730"/>
      <c r="BA13" s="730"/>
      <c r="BB13" s="730"/>
      <c r="BC13" s="730"/>
      <c r="BD13" s="730"/>
      <c r="BE13" s="730"/>
      <c r="BF13" s="730"/>
      <c r="BG13" s="730"/>
      <c r="BH13" s="730"/>
      <c r="BI13" s="730"/>
      <c r="BJ13" s="730"/>
      <c r="BK13" s="730"/>
      <c r="BL13" s="730"/>
      <c r="BM13" s="730"/>
      <c r="BN13" s="730"/>
      <c r="BO13" s="730"/>
      <c r="BP13" s="730"/>
      <c r="BQ13" s="730"/>
      <c r="BR13" s="730"/>
      <c r="BS13" s="730"/>
      <c r="BT13" s="730"/>
      <c r="BU13" s="730"/>
      <c r="BV13" s="730"/>
      <c r="BW13" s="730"/>
      <c r="BX13" s="730"/>
      <c r="BY13" s="730"/>
      <c r="BZ13" s="730"/>
      <c r="CA13" s="730"/>
      <c r="CB13" s="730"/>
      <c r="CC13" s="730"/>
      <c r="CD13" s="730"/>
      <c r="CE13" s="730"/>
      <c r="CF13" s="730"/>
      <c r="CG13" s="730"/>
      <c r="CH13" s="730"/>
      <c r="CI13" s="730"/>
      <c r="CJ13" s="730"/>
      <c r="CK13" s="730"/>
      <c r="CL13" s="730"/>
      <c r="CM13" s="730"/>
    </row>
    <row r="14" spans="1:91" s="801" customFormat="1" ht="18" customHeight="1">
      <c r="A14" s="1123"/>
      <c r="B14" s="1123"/>
      <c r="C14" s="1125"/>
      <c r="D14" s="1127"/>
      <c r="E14" s="815" t="s">
        <v>724</v>
      </c>
      <c r="F14" s="816"/>
      <c r="G14" s="816"/>
      <c r="H14" s="816"/>
      <c r="I14" s="816"/>
      <c r="J14" s="816"/>
      <c r="K14" s="816"/>
      <c r="L14" s="816"/>
      <c r="M14" s="816"/>
      <c r="N14" s="816"/>
      <c r="O14" s="816"/>
      <c r="P14" s="816"/>
      <c r="Q14" s="816"/>
      <c r="R14" s="816"/>
      <c r="S14" s="816"/>
      <c r="T14" s="816"/>
      <c r="U14" s="816"/>
      <c r="V14" s="816"/>
      <c r="W14" s="816"/>
      <c r="X14" s="816"/>
      <c r="Y14" s="816"/>
      <c r="Z14" s="816"/>
      <c r="AA14" s="816"/>
      <c r="AB14" s="816"/>
      <c r="AC14" s="816"/>
      <c r="AD14" s="816"/>
      <c r="AE14" s="816"/>
      <c r="AF14" s="816"/>
      <c r="AG14" s="816"/>
      <c r="AH14" s="816"/>
      <c r="AI14" s="816"/>
      <c r="AJ14" s="816"/>
      <c r="AK14" s="1129"/>
      <c r="AL14" s="1129"/>
      <c r="AM14" s="1135"/>
      <c r="AN14" s="1131"/>
      <c r="AO14" s="1137"/>
      <c r="AP14" s="1131"/>
      <c r="AQ14" s="1131"/>
      <c r="AR14" s="1131"/>
      <c r="AS14" s="1133"/>
      <c r="AT14" s="806"/>
      <c r="AV14" s="730"/>
      <c r="AW14" s="730"/>
      <c r="AX14" s="730"/>
      <c r="AY14" s="730"/>
      <c r="AZ14" s="730"/>
      <c r="BA14" s="730"/>
      <c r="BB14" s="730"/>
      <c r="BC14" s="730"/>
      <c r="BD14" s="730"/>
      <c r="BE14" s="730"/>
      <c r="BF14" s="730"/>
      <c r="BG14" s="730"/>
      <c r="BH14" s="730"/>
      <c r="BI14" s="730"/>
      <c r="BJ14" s="730"/>
      <c r="BK14" s="730"/>
      <c r="BL14" s="730"/>
      <c r="BM14" s="730"/>
      <c r="BN14" s="730"/>
      <c r="BO14" s="730"/>
      <c r="BP14" s="730"/>
      <c r="BQ14" s="730"/>
      <c r="BR14" s="730"/>
      <c r="BS14" s="730"/>
      <c r="BT14" s="730"/>
      <c r="BU14" s="730"/>
      <c r="BV14" s="730"/>
      <c r="BW14" s="730"/>
      <c r="BX14" s="730"/>
      <c r="BY14" s="730"/>
      <c r="BZ14" s="730"/>
      <c r="CA14" s="730"/>
      <c r="CB14" s="730"/>
      <c r="CC14" s="730"/>
      <c r="CD14" s="730"/>
      <c r="CE14" s="730"/>
      <c r="CF14" s="730"/>
      <c r="CG14" s="730"/>
      <c r="CH14" s="730"/>
      <c r="CI14" s="730"/>
      <c r="CJ14" s="730"/>
      <c r="CK14" s="730"/>
      <c r="CL14" s="730"/>
      <c r="CM14" s="730"/>
    </row>
    <row r="15" spans="1:91" s="801" customFormat="1" ht="18" customHeight="1">
      <c r="A15" s="1122">
        <v>4</v>
      </c>
      <c r="B15" s="1122" t="s">
        <v>765</v>
      </c>
      <c r="C15" s="1124" t="str">
        <f>VLOOKUP(B15,DS,2,0)</f>
        <v>Nguyễn Thị Thu Hà</v>
      </c>
      <c r="D15" s="1126" t="str">
        <f>VLOOKUP(B15,DS,3,0)</f>
        <v>Kế Toán</v>
      </c>
      <c r="E15" s="813" t="s">
        <v>728</v>
      </c>
      <c r="F15" s="814">
        <v>8</v>
      </c>
      <c r="G15" s="814"/>
      <c r="H15" s="814">
        <v>8</v>
      </c>
      <c r="I15" s="814">
        <v>8</v>
      </c>
      <c r="J15" s="814">
        <v>8</v>
      </c>
      <c r="K15" s="814">
        <v>8</v>
      </c>
      <c r="L15" s="814">
        <v>8</v>
      </c>
      <c r="M15" s="814">
        <v>8</v>
      </c>
      <c r="N15" s="814"/>
      <c r="O15" s="814">
        <v>8</v>
      </c>
      <c r="P15" s="814">
        <v>8</v>
      </c>
      <c r="Q15" s="814">
        <v>8</v>
      </c>
      <c r="R15" s="814">
        <v>8</v>
      </c>
      <c r="S15" s="814">
        <v>8</v>
      </c>
      <c r="T15" s="814">
        <v>8</v>
      </c>
      <c r="U15" s="814"/>
      <c r="V15" s="814">
        <v>8</v>
      </c>
      <c r="W15" s="814">
        <v>8</v>
      </c>
      <c r="X15" s="814">
        <v>8</v>
      </c>
      <c r="Y15" s="814">
        <v>8</v>
      </c>
      <c r="Z15" s="814">
        <v>8</v>
      </c>
      <c r="AA15" s="814">
        <v>8</v>
      </c>
      <c r="AB15" s="814"/>
      <c r="AC15" s="814">
        <v>8</v>
      </c>
      <c r="AD15" s="814">
        <v>8</v>
      </c>
      <c r="AE15" s="814">
        <v>8</v>
      </c>
      <c r="AF15" s="814">
        <v>8</v>
      </c>
      <c r="AG15" s="814">
        <v>8</v>
      </c>
      <c r="AH15" s="814">
        <v>8</v>
      </c>
      <c r="AI15" s="814"/>
      <c r="AJ15" s="814">
        <v>8</v>
      </c>
      <c r="AK15" s="1128">
        <f t="shared" ref="AK15" si="9">((SUM(F15:AJ15))/8)-(SUMIF($F$6:$AJ$6,"C.Nhật",F15:AJ15)/8)</f>
        <v>26</v>
      </c>
      <c r="AL15" s="1128">
        <f t="shared" ref="AL15" si="10">SUM(F16:AJ16)/8*1.5</f>
        <v>0</v>
      </c>
      <c r="AM15" s="1134">
        <f t="shared" si="4"/>
        <v>0</v>
      </c>
      <c r="AN15" s="1130">
        <f t="shared" ref="AN15" si="11">SUM(AK15:AM16)</f>
        <v>26</v>
      </c>
      <c r="AO15" s="1136">
        <v>0</v>
      </c>
      <c r="AP15" s="1130"/>
      <c r="AQ15" s="1130"/>
      <c r="AR15" s="1130"/>
      <c r="AS15" s="1132"/>
      <c r="AT15" s="806"/>
      <c r="AV15" s="730"/>
      <c r="AW15" s="730"/>
      <c r="AX15" s="730"/>
      <c r="AY15" s="730"/>
      <c r="AZ15" s="730"/>
      <c r="BA15" s="730"/>
      <c r="BB15" s="730"/>
      <c r="BC15" s="730"/>
      <c r="BD15" s="730"/>
      <c r="BE15" s="730"/>
      <c r="BF15" s="730"/>
      <c r="BG15" s="730"/>
      <c r="BH15" s="730"/>
      <c r="BI15" s="730"/>
      <c r="BJ15" s="730"/>
      <c r="BK15" s="730"/>
      <c r="BL15" s="730"/>
      <c r="BM15" s="730"/>
      <c r="BN15" s="730"/>
      <c r="BO15" s="730"/>
      <c r="BP15" s="730"/>
      <c r="BQ15" s="730"/>
      <c r="BR15" s="730"/>
      <c r="BS15" s="730"/>
      <c r="BT15" s="730"/>
      <c r="BU15" s="730"/>
      <c r="BV15" s="730"/>
      <c r="BW15" s="730"/>
      <c r="BX15" s="730"/>
      <c r="BY15" s="730"/>
      <c r="BZ15" s="730"/>
      <c r="CA15" s="730"/>
      <c r="CB15" s="730"/>
      <c r="CC15" s="730"/>
      <c r="CD15" s="730"/>
      <c r="CE15" s="730"/>
      <c r="CF15" s="730"/>
      <c r="CG15" s="730"/>
      <c r="CH15" s="730"/>
      <c r="CI15" s="730"/>
      <c r="CJ15" s="730"/>
      <c r="CK15" s="730"/>
      <c r="CL15" s="730"/>
      <c r="CM15" s="730"/>
    </row>
    <row r="16" spans="1:91" s="801" customFormat="1" ht="18" customHeight="1">
      <c r="A16" s="1123"/>
      <c r="B16" s="1123"/>
      <c r="C16" s="1125"/>
      <c r="D16" s="1127"/>
      <c r="E16" s="815" t="s">
        <v>724</v>
      </c>
      <c r="F16" s="816"/>
      <c r="G16" s="816"/>
      <c r="H16" s="816"/>
      <c r="I16" s="816"/>
      <c r="J16" s="816"/>
      <c r="K16" s="816"/>
      <c r="L16" s="816"/>
      <c r="M16" s="816"/>
      <c r="N16" s="816"/>
      <c r="O16" s="816"/>
      <c r="P16" s="816"/>
      <c r="Q16" s="816"/>
      <c r="R16" s="816"/>
      <c r="S16" s="816"/>
      <c r="T16" s="816"/>
      <c r="U16" s="816"/>
      <c r="V16" s="816"/>
      <c r="W16" s="816"/>
      <c r="X16" s="816"/>
      <c r="Y16" s="816"/>
      <c r="Z16" s="816"/>
      <c r="AA16" s="816"/>
      <c r="AB16" s="816"/>
      <c r="AC16" s="816"/>
      <c r="AD16" s="816"/>
      <c r="AE16" s="816"/>
      <c r="AF16" s="816"/>
      <c r="AG16" s="816"/>
      <c r="AH16" s="816"/>
      <c r="AI16" s="816"/>
      <c r="AJ16" s="816"/>
      <c r="AK16" s="1129"/>
      <c r="AL16" s="1129"/>
      <c r="AM16" s="1135"/>
      <c r="AN16" s="1131"/>
      <c r="AO16" s="1137"/>
      <c r="AP16" s="1131"/>
      <c r="AQ16" s="1131"/>
      <c r="AR16" s="1131"/>
      <c r="AS16" s="1133"/>
      <c r="AT16" s="806"/>
      <c r="AV16" s="730"/>
      <c r="AW16" s="730"/>
      <c r="AX16" s="730"/>
      <c r="AY16" s="730"/>
      <c r="AZ16" s="730"/>
      <c r="BA16" s="730"/>
      <c r="BB16" s="730"/>
      <c r="BC16" s="730"/>
      <c r="BD16" s="730"/>
      <c r="BE16" s="730"/>
      <c r="BF16" s="730"/>
      <c r="BG16" s="730"/>
      <c r="BH16" s="730"/>
      <c r="BI16" s="730"/>
      <c r="BJ16" s="730"/>
      <c r="BK16" s="730"/>
      <c r="BL16" s="730"/>
      <c r="BM16" s="730"/>
      <c r="BN16" s="730"/>
      <c r="BO16" s="730"/>
      <c r="BP16" s="730"/>
      <c r="BQ16" s="730"/>
      <c r="BR16" s="730"/>
      <c r="BS16" s="730"/>
      <c r="BT16" s="730"/>
      <c r="BU16" s="730"/>
      <c r="BV16" s="730"/>
      <c r="BW16" s="730"/>
      <c r="BX16" s="730"/>
      <c r="BY16" s="730"/>
      <c r="BZ16" s="730"/>
      <c r="CA16" s="730"/>
      <c r="CB16" s="730"/>
      <c r="CC16" s="730"/>
      <c r="CD16" s="730"/>
      <c r="CE16" s="730"/>
      <c r="CF16" s="730"/>
      <c r="CG16" s="730"/>
      <c r="CH16" s="730"/>
      <c r="CI16" s="730"/>
      <c r="CJ16" s="730"/>
      <c r="CK16" s="730"/>
      <c r="CL16" s="730"/>
      <c r="CM16" s="730"/>
    </row>
    <row r="17" spans="1:90" s="812" customFormat="1" ht="21" customHeight="1">
      <c r="A17" s="807" t="s">
        <v>729</v>
      </c>
      <c r="B17" s="808" t="s">
        <v>730</v>
      </c>
      <c r="C17" s="809"/>
      <c r="D17" s="809"/>
      <c r="E17" s="809"/>
      <c r="F17" s="809"/>
      <c r="G17" s="809"/>
      <c r="H17" s="809"/>
      <c r="I17" s="809"/>
      <c r="J17" s="809"/>
      <c r="K17" s="809"/>
      <c r="L17" s="809"/>
      <c r="M17" s="809"/>
      <c r="N17" s="809"/>
      <c r="O17" s="809"/>
      <c r="P17" s="809"/>
      <c r="Q17" s="809"/>
      <c r="R17" s="809"/>
      <c r="S17" s="809"/>
      <c r="T17" s="809"/>
      <c r="U17" s="809"/>
      <c r="V17" s="809"/>
      <c r="W17" s="809"/>
      <c r="X17" s="809"/>
      <c r="Y17" s="809"/>
      <c r="Z17" s="809"/>
      <c r="AA17" s="809"/>
      <c r="AB17" s="809"/>
      <c r="AC17" s="809"/>
      <c r="AD17" s="809"/>
      <c r="AE17" s="809"/>
      <c r="AF17" s="809"/>
      <c r="AG17" s="809"/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09"/>
      <c r="AS17" s="810"/>
      <c r="AT17" s="811"/>
    </row>
    <row r="18" spans="1:90" s="801" customFormat="1" ht="18" customHeight="1">
      <c r="A18" s="1122">
        <v>1</v>
      </c>
      <c r="B18" s="1122" t="s">
        <v>626</v>
      </c>
      <c r="C18" s="1124" t="str">
        <f>VLOOKUP(B18,DS,2,0)</f>
        <v>Nguyễn Thị Thanh Thúy</v>
      </c>
      <c r="D18" s="1126" t="str">
        <f>VLOOKUP(B18,DS,3,0)</f>
        <v>Công nhân</v>
      </c>
      <c r="E18" s="813" t="s">
        <v>728</v>
      </c>
      <c r="F18" s="814">
        <v>8</v>
      </c>
      <c r="G18" s="814"/>
      <c r="H18" s="814">
        <v>8</v>
      </c>
      <c r="I18" s="814">
        <v>8</v>
      </c>
      <c r="J18" s="814">
        <v>8</v>
      </c>
      <c r="K18" s="814">
        <v>8</v>
      </c>
      <c r="L18" s="814">
        <v>8</v>
      </c>
      <c r="M18" s="814">
        <v>8</v>
      </c>
      <c r="N18" s="814"/>
      <c r="O18" s="814">
        <v>8</v>
      </c>
      <c r="P18" s="814">
        <v>8</v>
      </c>
      <c r="Q18" s="814">
        <v>8</v>
      </c>
      <c r="R18" s="814">
        <v>8</v>
      </c>
      <c r="S18" s="814">
        <v>8</v>
      </c>
      <c r="T18" s="814">
        <v>8</v>
      </c>
      <c r="U18" s="814"/>
      <c r="V18" s="814">
        <v>8</v>
      </c>
      <c r="W18" s="814">
        <v>8</v>
      </c>
      <c r="X18" s="814">
        <v>8</v>
      </c>
      <c r="Y18" s="814">
        <v>8</v>
      </c>
      <c r="Z18" s="814">
        <v>8</v>
      </c>
      <c r="AA18" s="814">
        <v>8</v>
      </c>
      <c r="AB18" s="814"/>
      <c r="AC18" s="814">
        <v>8</v>
      </c>
      <c r="AD18" s="814">
        <v>8</v>
      </c>
      <c r="AE18" s="814">
        <v>8</v>
      </c>
      <c r="AF18" s="814">
        <v>8</v>
      </c>
      <c r="AG18" s="814">
        <v>8</v>
      </c>
      <c r="AH18" s="814">
        <v>8</v>
      </c>
      <c r="AI18" s="814"/>
      <c r="AJ18" s="814">
        <v>8</v>
      </c>
      <c r="AK18" s="1128">
        <f t="shared" ref="AK18" si="12">((SUM(F18:AJ18))/8)-(SUMIF($F$6:$AJ$6,"C.Nhật",F18:AJ18)/8)</f>
        <v>26</v>
      </c>
      <c r="AL18" s="1128">
        <f t="shared" ref="AL18" si="13">SUM(F19:AJ19)/8*1.5</f>
        <v>0</v>
      </c>
      <c r="AM18" s="1134">
        <f>SUMIF($F$6:$AJ$6,"C.Nhật",$F18:$AJ19)/8*2</f>
        <v>0</v>
      </c>
      <c r="AN18" s="1130">
        <f>SUM(AK18:AM19)</f>
        <v>26</v>
      </c>
      <c r="AO18" s="1136">
        <v>0</v>
      </c>
      <c r="AP18" s="1130"/>
      <c r="AQ18" s="1130"/>
      <c r="AR18" s="1130"/>
      <c r="AS18" s="1132"/>
      <c r="AT18" s="806"/>
      <c r="AU18" s="730"/>
      <c r="AV18" s="730"/>
      <c r="AW18" s="730"/>
      <c r="AX18" s="730"/>
      <c r="AY18" s="730"/>
      <c r="AZ18" s="730"/>
      <c r="BA18" s="730"/>
      <c r="BB18" s="730"/>
      <c r="BC18" s="730"/>
      <c r="BD18" s="730"/>
      <c r="BE18" s="730"/>
      <c r="BF18" s="730"/>
      <c r="BG18" s="730"/>
      <c r="BH18" s="730"/>
      <c r="BI18" s="730"/>
      <c r="BJ18" s="730"/>
      <c r="BK18" s="730"/>
      <c r="BL18" s="730"/>
      <c r="BM18" s="730"/>
      <c r="BN18" s="730"/>
      <c r="BO18" s="730"/>
      <c r="BP18" s="730"/>
      <c r="BQ18" s="730"/>
      <c r="BR18" s="730"/>
      <c r="BS18" s="730"/>
      <c r="BT18" s="730"/>
      <c r="BU18" s="730"/>
      <c r="BV18" s="730"/>
      <c r="BW18" s="730"/>
      <c r="BX18" s="730"/>
      <c r="BY18" s="730"/>
      <c r="BZ18" s="730"/>
      <c r="CA18" s="730"/>
      <c r="CB18" s="730"/>
      <c r="CC18" s="730"/>
      <c r="CD18" s="730"/>
      <c r="CE18" s="730"/>
      <c r="CF18" s="730"/>
      <c r="CG18" s="730"/>
      <c r="CH18" s="730"/>
      <c r="CI18" s="730"/>
      <c r="CJ18" s="730"/>
      <c r="CK18" s="730"/>
      <c r="CL18" s="730"/>
    </row>
    <row r="19" spans="1:90" s="801" customFormat="1" ht="18" customHeight="1">
      <c r="A19" s="1123"/>
      <c r="B19" s="1123"/>
      <c r="C19" s="1125"/>
      <c r="D19" s="1127"/>
      <c r="E19" s="815" t="s">
        <v>724</v>
      </c>
      <c r="F19" s="816"/>
      <c r="G19" s="816"/>
      <c r="H19" s="816"/>
      <c r="I19" s="816"/>
      <c r="J19" s="816"/>
      <c r="K19" s="816"/>
      <c r="L19" s="816"/>
      <c r="M19" s="816"/>
      <c r="N19" s="816"/>
      <c r="O19" s="816"/>
      <c r="P19" s="816"/>
      <c r="Q19" s="816"/>
      <c r="R19" s="816"/>
      <c r="S19" s="816"/>
      <c r="T19" s="816"/>
      <c r="U19" s="816"/>
      <c r="V19" s="816"/>
      <c r="W19" s="816"/>
      <c r="X19" s="816"/>
      <c r="Y19" s="816"/>
      <c r="Z19" s="816"/>
      <c r="AA19" s="816"/>
      <c r="AB19" s="816"/>
      <c r="AC19" s="816"/>
      <c r="AD19" s="816"/>
      <c r="AE19" s="816"/>
      <c r="AF19" s="816"/>
      <c r="AG19" s="816"/>
      <c r="AH19" s="816"/>
      <c r="AI19" s="816"/>
      <c r="AJ19" s="816"/>
      <c r="AK19" s="1129"/>
      <c r="AL19" s="1129"/>
      <c r="AM19" s="1135"/>
      <c r="AN19" s="1131"/>
      <c r="AO19" s="1137"/>
      <c r="AP19" s="1131"/>
      <c r="AQ19" s="1131"/>
      <c r="AR19" s="1131"/>
      <c r="AS19" s="1133"/>
      <c r="AT19" s="806"/>
      <c r="AU19" s="730"/>
      <c r="AV19" s="730"/>
      <c r="AW19" s="730"/>
      <c r="AX19" s="730"/>
      <c r="AY19" s="730"/>
      <c r="AZ19" s="730"/>
      <c r="BA19" s="730"/>
      <c r="BB19" s="730"/>
      <c r="BC19" s="730"/>
      <c r="BD19" s="730"/>
      <c r="BE19" s="730"/>
      <c r="BF19" s="730"/>
      <c r="BG19" s="730"/>
      <c r="BH19" s="730"/>
      <c r="BI19" s="730"/>
      <c r="BJ19" s="730"/>
      <c r="BK19" s="730"/>
      <c r="BL19" s="730"/>
      <c r="BM19" s="730"/>
      <c r="BN19" s="730"/>
      <c r="BO19" s="730"/>
      <c r="BP19" s="730"/>
      <c r="BQ19" s="730"/>
      <c r="BR19" s="730"/>
      <c r="BS19" s="730"/>
      <c r="BT19" s="730"/>
      <c r="BU19" s="730"/>
      <c r="BV19" s="730"/>
      <c r="BW19" s="730"/>
      <c r="BX19" s="730"/>
      <c r="BY19" s="730"/>
      <c r="BZ19" s="730"/>
      <c r="CA19" s="730"/>
      <c r="CB19" s="730"/>
      <c r="CC19" s="730"/>
      <c r="CD19" s="730"/>
      <c r="CE19" s="730"/>
      <c r="CF19" s="730"/>
      <c r="CG19" s="730"/>
      <c r="CH19" s="730"/>
      <c r="CI19" s="730"/>
      <c r="CJ19" s="730"/>
      <c r="CK19" s="730"/>
      <c r="CL19" s="730"/>
    </row>
    <row r="20" spans="1:90" s="801" customFormat="1" ht="18" customHeight="1">
      <c r="A20" s="1122">
        <f>A18+1</f>
        <v>2</v>
      </c>
      <c r="B20" s="1122" t="s">
        <v>627</v>
      </c>
      <c r="C20" s="1124" t="str">
        <f>VLOOKUP(B20,DS,2,0)</f>
        <v>Huỳnh Đoàn Viết Thanh</v>
      </c>
      <c r="D20" s="1126" t="str">
        <f>VLOOKUP(B20,DS,3,0)</f>
        <v>Công nhân</v>
      </c>
      <c r="E20" s="813" t="s">
        <v>728</v>
      </c>
      <c r="F20" s="814">
        <v>8</v>
      </c>
      <c r="G20" s="814"/>
      <c r="H20" s="814">
        <v>8</v>
      </c>
      <c r="I20" s="814">
        <v>8</v>
      </c>
      <c r="J20" s="814">
        <v>8</v>
      </c>
      <c r="K20" s="814">
        <v>8</v>
      </c>
      <c r="L20" s="814">
        <v>8</v>
      </c>
      <c r="M20" s="814">
        <v>8</v>
      </c>
      <c r="N20" s="814"/>
      <c r="O20" s="814">
        <v>8</v>
      </c>
      <c r="P20" s="814">
        <v>8</v>
      </c>
      <c r="Q20" s="814">
        <v>8</v>
      </c>
      <c r="R20" s="814">
        <v>8</v>
      </c>
      <c r="S20" s="814">
        <v>8</v>
      </c>
      <c r="T20" s="814">
        <v>8</v>
      </c>
      <c r="U20" s="814"/>
      <c r="V20" s="814">
        <v>8</v>
      </c>
      <c r="W20" s="814">
        <v>8</v>
      </c>
      <c r="X20" s="814">
        <v>8</v>
      </c>
      <c r="Y20" s="814">
        <v>8</v>
      </c>
      <c r="Z20" s="814">
        <v>8</v>
      </c>
      <c r="AA20" s="814">
        <v>8</v>
      </c>
      <c r="AB20" s="814"/>
      <c r="AC20" s="814">
        <v>8</v>
      </c>
      <c r="AD20" s="814">
        <v>8</v>
      </c>
      <c r="AE20" s="814">
        <v>8</v>
      </c>
      <c r="AF20" s="814">
        <v>8</v>
      </c>
      <c r="AG20" s="814">
        <v>8</v>
      </c>
      <c r="AH20" s="814">
        <v>8</v>
      </c>
      <c r="AI20" s="814"/>
      <c r="AJ20" s="814">
        <v>8</v>
      </c>
      <c r="AK20" s="1128">
        <f t="shared" ref="AK20" si="14">((SUM(F20:AJ20))/8)-(SUMIF($F$6:$AJ$6,"C.Nhật",F20:AJ20)/8)</f>
        <v>26</v>
      </c>
      <c r="AL20" s="1128">
        <f t="shared" ref="AL20" si="15">SUM(F21:AJ21)/8*1.5</f>
        <v>0</v>
      </c>
      <c r="AM20" s="1134">
        <f>SUMIF($F$6:$AJ$6,"C.Nhật",$F20:$AJ21)/8*2</f>
        <v>0</v>
      </c>
      <c r="AN20" s="1130">
        <f t="shared" ref="AN20" si="16">SUM(AK20:AM21)</f>
        <v>26</v>
      </c>
      <c r="AO20" s="1136">
        <v>0</v>
      </c>
      <c r="AP20" s="1130"/>
      <c r="AQ20" s="1130"/>
      <c r="AR20" s="1130"/>
      <c r="AS20" s="1132"/>
      <c r="AT20" s="806"/>
      <c r="AU20" s="730"/>
      <c r="AV20" s="730"/>
      <c r="AW20" s="730"/>
      <c r="AX20" s="730"/>
      <c r="AY20" s="730"/>
      <c r="AZ20" s="730"/>
      <c r="BA20" s="730"/>
      <c r="BB20" s="730"/>
      <c r="BC20" s="730"/>
      <c r="BD20" s="730"/>
      <c r="BE20" s="730"/>
      <c r="BF20" s="730"/>
      <c r="BG20" s="730"/>
      <c r="BH20" s="730"/>
      <c r="BI20" s="730"/>
      <c r="BJ20" s="730"/>
      <c r="BK20" s="730"/>
      <c r="BL20" s="730"/>
      <c r="BM20" s="730"/>
      <c r="BN20" s="730"/>
      <c r="BO20" s="730"/>
      <c r="BP20" s="730"/>
      <c r="BQ20" s="730"/>
      <c r="BR20" s="730"/>
      <c r="BS20" s="730"/>
      <c r="BT20" s="730"/>
      <c r="BU20" s="730"/>
      <c r="BV20" s="730"/>
      <c r="BW20" s="730"/>
      <c r="BX20" s="730"/>
      <c r="BY20" s="730"/>
      <c r="BZ20" s="730"/>
      <c r="CA20" s="730"/>
      <c r="CB20" s="730"/>
      <c r="CC20" s="730"/>
      <c r="CD20" s="730"/>
      <c r="CE20" s="730"/>
      <c r="CF20" s="730"/>
      <c r="CG20" s="730"/>
      <c r="CH20" s="730"/>
      <c r="CI20" s="730"/>
      <c r="CJ20" s="730"/>
      <c r="CK20" s="730"/>
      <c r="CL20" s="730"/>
    </row>
    <row r="21" spans="1:90" s="801" customFormat="1" ht="18" customHeight="1">
      <c r="A21" s="1123"/>
      <c r="B21" s="1123"/>
      <c r="C21" s="1125"/>
      <c r="D21" s="1127"/>
      <c r="E21" s="815" t="s">
        <v>724</v>
      </c>
      <c r="F21" s="816"/>
      <c r="G21" s="816"/>
      <c r="H21" s="816"/>
      <c r="I21" s="816"/>
      <c r="J21" s="816"/>
      <c r="K21" s="816"/>
      <c r="L21" s="816"/>
      <c r="M21" s="816"/>
      <c r="N21" s="816"/>
      <c r="O21" s="816"/>
      <c r="P21" s="816"/>
      <c r="Q21" s="816"/>
      <c r="R21" s="816"/>
      <c r="S21" s="816"/>
      <c r="T21" s="816"/>
      <c r="U21" s="816"/>
      <c r="V21" s="816"/>
      <c r="W21" s="816"/>
      <c r="X21" s="816"/>
      <c r="Y21" s="816"/>
      <c r="Z21" s="816"/>
      <c r="AA21" s="816"/>
      <c r="AB21" s="816"/>
      <c r="AC21" s="816"/>
      <c r="AD21" s="816"/>
      <c r="AE21" s="816"/>
      <c r="AF21" s="816"/>
      <c r="AG21" s="816"/>
      <c r="AH21" s="816"/>
      <c r="AI21" s="816"/>
      <c r="AJ21" s="816"/>
      <c r="AK21" s="1129"/>
      <c r="AL21" s="1129"/>
      <c r="AM21" s="1135"/>
      <c r="AN21" s="1131"/>
      <c r="AO21" s="1137"/>
      <c r="AP21" s="1131"/>
      <c r="AQ21" s="1131"/>
      <c r="AR21" s="1131"/>
      <c r="AS21" s="1133"/>
      <c r="AT21" s="806"/>
      <c r="AU21" s="730"/>
      <c r="AV21" s="730"/>
      <c r="AW21" s="730"/>
      <c r="AX21" s="730"/>
      <c r="AY21" s="730"/>
      <c r="AZ21" s="730"/>
      <c r="BA21" s="730"/>
      <c r="BB21" s="730"/>
      <c r="BC21" s="730"/>
      <c r="BD21" s="730"/>
      <c r="BE21" s="730"/>
      <c r="BF21" s="730"/>
      <c r="BG21" s="730"/>
      <c r="BH21" s="730"/>
      <c r="BI21" s="730"/>
      <c r="BJ21" s="730"/>
      <c r="BK21" s="730"/>
      <c r="BL21" s="730"/>
      <c r="BM21" s="730"/>
      <c r="BN21" s="730"/>
      <c r="BO21" s="730"/>
      <c r="BP21" s="730"/>
      <c r="BQ21" s="730"/>
      <c r="BR21" s="730"/>
      <c r="BS21" s="730"/>
      <c r="BT21" s="730"/>
      <c r="BU21" s="730"/>
      <c r="BV21" s="730"/>
      <c r="BW21" s="730"/>
      <c r="BX21" s="730"/>
      <c r="BY21" s="730"/>
      <c r="BZ21" s="730"/>
      <c r="CA21" s="730"/>
      <c r="CB21" s="730"/>
      <c r="CC21" s="730"/>
      <c r="CD21" s="730"/>
      <c r="CE21" s="730"/>
      <c r="CF21" s="730"/>
      <c r="CG21" s="730"/>
      <c r="CH21" s="730"/>
      <c r="CI21" s="730"/>
      <c r="CJ21" s="730"/>
      <c r="CK21" s="730"/>
      <c r="CL21" s="730"/>
    </row>
    <row r="22" spans="1:90" s="801" customFormat="1" ht="18" customHeight="1">
      <c r="A22" s="1122">
        <f t="shared" ref="A22" si="17">A20+1</f>
        <v>3</v>
      </c>
      <c r="B22" s="1122" t="s">
        <v>628</v>
      </c>
      <c r="C22" s="1124" t="str">
        <f>VLOOKUP(B22,DS,2,0)</f>
        <v>Trần Ngọc Thoại</v>
      </c>
      <c r="D22" s="1126" t="str">
        <f>VLOOKUP(B22,DS,3,0)</f>
        <v>Công nhân</v>
      </c>
      <c r="E22" s="813" t="s">
        <v>728</v>
      </c>
      <c r="F22" s="814">
        <v>8</v>
      </c>
      <c r="G22" s="814"/>
      <c r="H22" s="814">
        <v>8</v>
      </c>
      <c r="I22" s="814">
        <v>8</v>
      </c>
      <c r="J22" s="814">
        <v>8</v>
      </c>
      <c r="K22" s="814">
        <v>8</v>
      </c>
      <c r="L22" s="814">
        <v>8</v>
      </c>
      <c r="M22" s="814">
        <v>8</v>
      </c>
      <c r="N22" s="814"/>
      <c r="O22" s="814">
        <v>8</v>
      </c>
      <c r="P22" s="814">
        <v>8</v>
      </c>
      <c r="Q22" s="814">
        <v>8</v>
      </c>
      <c r="R22" s="814">
        <v>8</v>
      </c>
      <c r="S22" s="814">
        <v>8</v>
      </c>
      <c r="T22" s="814">
        <v>8</v>
      </c>
      <c r="U22" s="814"/>
      <c r="V22" s="814">
        <v>8</v>
      </c>
      <c r="W22" s="814">
        <v>8</v>
      </c>
      <c r="X22" s="814">
        <v>8</v>
      </c>
      <c r="Y22" s="814">
        <v>8</v>
      </c>
      <c r="Z22" s="814">
        <v>8</v>
      </c>
      <c r="AA22" s="814">
        <v>8</v>
      </c>
      <c r="AB22" s="814"/>
      <c r="AC22" s="814">
        <v>8</v>
      </c>
      <c r="AD22" s="814">
        <v>8</v>
      </c>
      <c r="AE22" s="814">
        <v>8</v>
      </c>
      <c r="AF22" s="814">
        <v>8</v>
      </c>
      <c r="AG22" s="814">
        <v>8</v>
      </c>
      <c r="AH22" s="814">
        <v>8</v>
      </c>
      <c r="AI22" s="814"/>
      <c r="AJ22" s="814">
        <v>8</v>
      </c>
      <c r="AK22" s="1128">
        <f t="shared" ref="AK22" si="18">((SUM(F22:AJ22))/8)-(SUMIF($F$6:$AJ$6,"C.Nhật",F22:AJ22)/8)</f>
        <v>26</v>
      </c>
      <c r="AL22" s="1128">
        <f t="shared" ref="AL22" si="19">SUM(F23:AJ23)/8*1.5</f>
        <v>0</v>
      </c>
      <c r="AM22" s="1134">
        <f>SUMIF($F$6:$AJ$6,"C.Nhật",$F22:$AJ23)/8*2</f>
        <v>0</v>
      </c>
      <c r="AN22" s="1130">
        <f t="shared" ref="AN22" si="20">SUM(AK22:AM23)</f>
        <v>26</v>
      </c>
      <c r="AO22" s="1136">
        <v>0</v>
      </c>
      <c r="AP22" s="1130"/>
      <c r="AQ22" s="1130"/>
      <c r="AR22" s="1130"/>
      <c r="AS22" s="1132"/>
      <c r="AT22" s="806"/>
      <c r="AU22" s="730"/>
      <c r="AV22" s="730"/>
      <c r="AW22" s="730"/>
      <c r="AX22" s="730"/>
      <c r="AY22" s="730"/>
      <c r="AZ22" s="730"/>
      <c r="BA22" s="730"/>
      <c r="BB22" s="730"/>
      <c r="BC22" s="730"/>
      <c r="BD22" s="730"/>
      <c r="BE22" s="730"/>
      <c r="BF22" s="730"/>
      <c r="BG22" s="730"/>
      <c r="BH22" s="730"/>
      <c r="BI22" s="730"/>
      <c r="BJ22" s="730"/>
      <c r="BK22" s="730"/>
      <c r="BL22" s="730"/>
      <c r="BM22" s="730"/>
      <c r="BN22" s="730"/>
      <c r="BO22" s="730"/>
      <c r="BP22" s="730"/>
      <c r="BQ22" s="730"/>
      <c r="BR22" s="730"/>
      <c r="BS22" s="730"/>
      <c r="BT22" s="730"/>
      <c r="BU22" s="730"/>
      <c r="BV22" s="730"/>
      <c r="BW22" s="730"/>
      <c r="BX22" s="730"/>
      <c r="BY22" s="730"/>
      <c r="BZ22" s="730"/>
      <c r="CA22" s="730"/>
      <c r="CB22" s="730"/>
      <c r="CC22" s="730"/>
      <c r="CD22" s="730"/>
      <c r="CE22" s="730"/>
      <c r="CF22" s="730"/>
      <c r="CG22" s="730"/>
      <c r="CH22" s="730"/>
      <c r="CI22" s="730"/>
      <c r="CJ22" s="730"/>
      <c r="CK22" s="730"/>
      <c r="CL22" s="730"/>
    </row>
    <row r="23" spans="1:90" s="801" customFormat="1" ht="18" customHeight="1">
      <c r="A23" s="1123"/>
      <c r="B23" s="1123"/>
      <c r="C23" s="1125"/>
      <c r="D23" s="1127"/>
      <c r="E23" s="815" t="s">
        <v>724</v>
      </c>
      <c r="F23" s="816"/>
      <c r="G23" s="816"/>
      <c r="H23" s="816"/>
      <c r="I23" s="816"/>
      <c r="J23" s="816"/>
      <c r="K23" s="816"/>
      <c r="L23" s="816"/>
      <c r="M23" s="816"/>
      <c r="N23" s="816"/>
      <c r="O23" s="816"/>
      <c r="P23" s="816"/>
      <c r="Q23" s="816"/>
      <c r="R23" s="816"/>
      <c r="S23" s="816"/>
      <c r="T23" s="816"/>
      <c r="U23" s="816"/>
      <c r="V23" s="816"/>
      <c r="W23" s="816"/>
      <c r="X23" s="816"/>
      <c r="Y23" s="816"/>
      <c r="Z23" s="816"/>
      <c r="AA23" s="816"/>
      <c r="AB23" s="816"/>
      <c r="AC23" s="816"/>
      <c r="AD23" s="816"/>
      <c r="AE23" s="816"/>
      <c r="AF23" s="816"/>
      <c r="AG23" s="816"/>
      <c r="AH23" s="816"/>
      <c r="AI23" s="816"/>
      <c r="AJ23" s="816"/>
      <c r="AK23" s="1129"/>
      <c r="AL23" s="1129"/>
      <c r="AM23" s="1135"/>
      <c r="AN23" s="1131"/>
      <c r="AO23" s="1137"/>
      <c r="AP23" s="1131"/>
      <c r="AQ23" s="1131"/>
      <c r="AR23" s="1131"/>
      <c r="AS23" s="1133"/>
      <c r="AT23" s="806"/>
      <c r="AU23" s="730"/>
      <c r="AV23" s="730"/>
      <c r="AW23" s="730"/>
      <c r="AX23" s="730"/>
      <c r="AY23" s="730"/>
      <c r="AZ23" s="730"/>
      <c r="BA23" s="730"/>
      <c r="BB23" s="730"/>
      <c r="BC23" s="730"/>
      <c r="BD23" s="730"/>
      <c r="BE23" s="730"/>
      <c r="BF23" s="730"/>
      <c r="BG23" s="730"/>
      <c r="BH23" s="730"/>
      <c r="BI23" s="730"/>
      <c r="BJ23" s="730"/>
      <c r="BK23" s="730"/>
      <c r="BL23" s="730"/>
      <c r="BM23" s="730"/>
      <c r="BN23" s="730"/>
      <c r="BO23" s="730"/>
      <c r="BP23" s="730"/>
      <c r="BQ23" s="730"/>
      <c r="BR23" s="730"/>
      <c r="BS23" s="730"/>
      <c r="BT23" s="730"/>
      <c r="BU23" s="730"/>
      <c r="BV23" s="730"/>
      <c r="BW23" s="730"/>
      <c r="BX23" s="730"/>
      <c r="BY23" s="730"/>
      <c r="BZ23" s="730"/>
      <c r="CA23" s="730"/>
      <c r="CB23" s="730"/>
      <c r="CC23" s="730"/>
      <c r="CD23" s="730"/>
      <c r="CE23" s="730"/>
      <c r="CF23" s="730"/>
      <c r="CG23" s="730"/>
      <c r="CH23" s="730"/>
      <c r="CI23" s="730"/>
      <c r="CJ23" s="730"/>
      <c r="CK23" s="730"/>
      <c r="CL23" s="730"/>
    </row>
    <row r="24" spans="1:90" s="801" customFormat="1" ht="18" customHeight="1">
      <c r="A24" s="1122">
        <f t="shared" ref="A24" si="21">A22+1</f>
        <v>4</v>
      </c>
      <c r="B24" s="1122" t="s">
        <v>630</v>
      </c>
      <c r="C24" s="1124" t="str">
        <f>VLOOKUP(B24,DS,2,0)</f>
        <v>Nguyễn Đức Huy</v>
      </c>
      <c r="D24" s="1126" t="str">
        <f>VLOOKUP(B24,DS,3,0)</f>
        <v>Công nhân</v>
      </c>
      <c r="E24" s="813" t="s">
        <v>728</v>
      </c>
      <c r="F24" s="814">
        <v>8</v>
      </c>
      <c r="G24" s="814"/>
      <c r="H24" s="814">
        <v>8</v>
      </c>
      <c r="I24" s="814">
        <v>8</v>
      </c>
      <c r="J24" s="814">
        <v>8</v>
      </c>
      <c r="K24" s="814">
        <v>8</v>
      </c>
      <c r="L24" s="814">
        <v>8</v>
      </c>
      <c r="M24" s="814">
        <v>8</v>
      </c>
      <c r="N24" s="814"/>
      <c r="O24" s="814">
        <v>8</v>
      </c>
      <c r="P24" s="814">
        <v>8</v>
      </c>
      <c r="Q24" s="814">
        <v>8</v>
      </c>
      <c r="R24" s="814">
        <v>8</v>
      </c>
      <c r="S24" s="814">
        <v>8</v>
      </c>
      <c r="T24" s="814">
        <v>8</v>
      </c>
      <c r="U24" s="814"/>
      <c r="V24" s="814">
        <v>8</v>
      </c>
      <c r="W24" s="814">
        <v>8</v>
      </c>
      <c r="X24" s="814">
        <v>8</v>
      </c>
      <c r="Y24" s="814">
        <v>8</v>
      </c>
      <c r="Z24" s="814">
        <v>8</v>
      </c>
      <c r="AA24" s="814">
        <v>8</v>
      </c>
      <c r="AB24" s="814"/>
      <c r="AC24" s="814">
        <v>8</v>
      </c>
      <c r="AD24" s="814">
        <v>8</v>
      </c>
      <c r="AE24" s="814">
        <v>8</v>
      </c>
      <c r="AF24" s="814">
        <v>8</v>
      </c>
      <c r="AG24" s="814">
        <v>8</v>
      </c>
      <c r="AH24" s="814">
        <v>8</v>
      </c>
      <c r="AI24" s="814"/>
      <c r="AJ24" s="814">
        <v>8</v>
      </c>
      <c r="AK24" s="1128">
        <f t="shared" ref="AK24" si="22">((SUM(F24:AJ24))/8)-(SUMIF($F$6:$AJ$6,"C.Nhật",F24:AJ24)/8)</f>
        <v>26</v>
      </c>
      <c r="AL24" s="1128">
        <f t="shared" ref="AL24" si="23">SUM(F25:AJ25)/8*1.5</f>
        <v>0</v>
      </c>
      <c r="AM24" s="1134">
        <f>SUMIF($F$6:$AJ$6,"C.Nhật",$F24:$AJ25)/8*2</f>
        <v>0</v>
      </c>
      <c r="AN24" s="1130">
        <f t="shared" ref="AN24" si="24">SUM(AK24:AM25)</f>
        <v>26</v>
      </c>
      <c r="AO24" s="1136">
        <v>0</v>
      </c>
      <c r="AP24" s="1130"/>
      <c r="AQ24" s="1130"/>
      <c r="AR24" s="1130"/>
      <c r="AS24" s="1132"/>
      <c r="AT24" s="806"/>
      <c r="AU24" s="730"/>
      <c r="AV24" s="730"/>
      <c r="AW24" s="730"/>
      <c r="AX24" s="730"/>
      <c r="AY24" s="730"/>
      <c r="AZ24" s="730"/>
      <c r="BA24" s="730"/>
      <c r="BB24" s="730"/>
      <c r="BC24" s="730"/>
      <c r="BD24" s="730"/>
      <c r="BE24" s="730"/>
      <c r="BF24" s="730"/>
      <c r="BG24" s="730"/>
      <c r="BH24" s="730"/>
      <c r="BI24" s="730"/>
      <c r="BJ24" s="730"/>
      <c r="BK24" s="730"/>
      <c r="BL24" s="730"/>
      <c r="BM24" s="730"/>
      <c r="BN24" s="730"/>
      <c r="BO24" s="730"/>
      <c r="BP24" s="730"/>
      <c r="BQ24" s="730"/>
      <c r="BR24" s="730"/>
      <c r="BS24" s="730"/>
      <c r="BT24" s="730"/>
      <c r="BU24" s="730"/>
      <c r="BV24" s="730"/>
      <c r="BW24" s="730"/>
      <c r="BX24" s="730"/>
      <c r="BY24" s="730"/>
      <c r="BZ24" s="730"/>
      <c r="CA24" s="730"/>
      <c r="CB24" s="730"/>
      <c r="CC24" s="730"/>
      <c r="CD24" s="730"/>
      <c r="CE24" s="730"/>
      <c r="CF24" s="730"/>
      <c r="CG24" s="730"/>
      <c r="CH24" s="730"/>
      <c r="CI24" s="730"/>
      <c r="CJ24" s="730"/>
      <c r="CK24" s="730"/>
      <c r="CL24" s="730"/>
    </row>
    <row r="25" spans="1:90" s="801" customFormat="1" ht="18" customHeight="1">
      <c r="A25" s="1123"/>
      <c r="B25" s="1123"/>
      <c r="C25" s="1125"/>
      <c r="D25" s="1127"/>
      <c r="E25" s="815" t="s">
        <v>724</v>
      </c>
      <c r="F25" s="816"/>
      <c r="G25" s="816"/>
      <c r="H25" s="816"/>
      <c r="I25" s="816"/>
      <c r="J25" s="816"/>
      <c r="K25" s="816"/>
      <c r="L25" s="816"/>
      <c r="M25" s="816"/>
      <c r="N25" s="816"/>
      <c r="O25" s="816"/>
      <c r="P25" s="816"/>
      <c r="Q25" s="816"/>
      <c r="R25" s="816"/>
      <c r="S25" s="816"/>
      <c r="T25" s="816"/>
      <c r="U25" s="816"/>
      <c r="V25" s="816"/>
      <c r="W25" s="816"/>
      <c r="X25" s="816"/>
      <c r="Y25" s="816"/>
      <c r="Z25" s="816"/>
      <c r="AA25" s="816"/>
      <c r="AB25" s="816"/>
      <c r="AC25" s="816"/>
      <c r="AD25" s="816"/>
      <c r="AE25" s="816"/>
      <c r="AF25" s="816"/>
      <c r="AG25" s="816"/>
      <c r="AH25" s="816"/>
      <c r="AI25" s="816"/>
      <c r="AJ25" s="816"/>
      <c r="AK25" s="1129"/>
      <c r="AL25" s="1129"/>
      <c r="AM25" s="1135"/>
      <c r="AN25" s="1131"/>
      <c r="AO25" s="1137"/>
      <c r="AP25" s="1131"/>
      <c r="AQ25" s="1131"/>
      <c r="AR25" s="1131"/>
      <c r="AS25" s="1133"/>
      <c r="AT25" s="806"/>
      <c r="AU25" s="730"/>
      <c r="AV25" s="730"/>
      <c r="AW25" s="730"/>
      <c r="AX25" s="730"/>
      <c r="AY25" s="730"/>
      <c r="AZ25" s="730"/>
      <c r="BA25" s="730"/>
      <c r="BB25" s="730"/>
      <c r="BC25" s="730"/>
      <c r="BD25" s="730"/>
      <c r="BE25" s="730"/>
      <c r="BF25" s="730"/>
      <c r="BG25" s="730"/>
      <c r="BH25" s="730"/>
      <c r="BI25" s="730"/>
      <c r="BJ25" s="730"/>
      <c r="BK25" s="730"/>
      <c r="BL25" s="730"/>
      <c r="BM25" s="730"/>
      <c r="BN25" s="730"/>
      <c r="BO25" s="730"/>
      <c r="BP25" s="730"/>
      <c r="BQ25" s="730"/>
      <c r="BR25" s="730"/>
      <c r="BS25" s="730"/>
      <c r="BT25" s="730"/>
      <c r="BU25" s="730"/>
      <c r="BV25" s="730"/>
      <c r="BW25" s="730"/>
      <c r="BX25" s="730"/>
      <c r="BY25" s="730"/>
      <c r="BZ25" s="730"/>
      <c r="CA25" s="730"/>
      <c r="CB25" s="730"/>
      <c r="CC25" s="730"/>
      <c r="CD25" s="730"/>
      <c r="CE25" s="730"/>
      <c r="CF25" s="730"/>
      <c r="CG25" s="730"/>
      <c r="CH25" s="730"/>
      <c r="CI25" s="730"/>
      <c r="CJ25" s="730"/>
      <c r="CK25" s="730"/>
      <c r="CL25" s="730"/>
    </row>
    <row r="26" spans="1:90" s="827" customFormat="1" ht="12.75">
      <c r="A26" s="817"/>
      <c r="B26" s="818"/>
      <c r="C26" s="819"/>
      <c r="D26" s="820"/>
      <c r="E26" s="819"/>
      <c r="F26" s="821"/>
      <c r="G26" s="821"/>
      <c r="H26" s="822"/>
      <c r="I26" s="822"/>
      <c r="J26" s="823"/>
      <c r="K26" s="821"/>
      <c r="L26" s="822"/>
      <c r="M26" s="821"/>
      <c r="N26" s="821"/>
      <c r="O26" s="821"/>
      <c r="P26" s="821"/>
      <c r="Q26" s="822"/>
      <c r="R26" s="821"/>
      <c r="S26" s="821"/>
      <c r="T26" s="823"/>
      <c r="U26" s="821"/>
      <c r="V26" s="821"/>
      <c r="W26" s="821"/>
      <c r="X26" s="818"/>
      <c r="Y26" s="821"/>
      <c r="Z26" s="821"/>
      <c r="AA26" s="821"/>
      <c r="AB26" s="821"/>
      <c r="AC26" s="821"/>
      <c r="AD26" s="822"/>
      <c r="AE26" s="821"/>
      <c r="AF26" s="821"/>
      <c r="AG26" s="821"/>
      <c r="AH26" s="821"/>
      <c r="AI26" s="821"/>
      <c r="AJ26" s="821"/>
      <c r="AK26" s="819"/>
      <c r="AL26" s="819"/>
      <c r="AM26" s="824"/>
      <c r="AN26" s="825"/>
      <c r="AO26" s="825"/>
      <c r="AP26" s="825"/>
      <c r="AQ26" s="825"/>
      <c r="AR26" s="825"/>
      <c r="AS26" s="819"/>
      <c r="AT26" s="826"/>
    </row>
    <row r="27" spans="1:90" s="827" customFormat="1" ht="12.75">
      <c r="A27" s="817"/>
      <c r="B27" s="818"/>
      <c r="C27" s="817" t="s">
        <v>635</v>
      </c>
      <c r="D27" s="820"/>
      <c r="E27" s="819"/>
      <c r="F27" s="821"/>
      <c r="G27" s="821"/>
      <c r="H27" s="822"/>
      <c r="I27" s="822"/>
      <c r="J27" s="823"/>
      <c r="K27" s="821"/>
      <c r="L27" s="822"/>
      <c r="M27" s="821"/>
      <c r="N27" s="821"/>
      <c r="O27" s="821"/>
      <c r="P27" s="821"/>
      <c r="Q27" s="822"/>
      <c r="R27" s="821"/>
      <c r="S27" s="821"/>
      <c r="T27" s="823"/>
      <c r="U27" s="821"/>
      <c r="V27" s="821"/>
      <c r="W27" s="821"/>
      <c r="X27" s="818"/>
      <c r="Y27" s="821"/>
      <c r="Z27" s="821"/>
      <c r="AA27" s="821"/>
      <c r="AB27" s="821"/>
      <c r="AC27" s="821"/>
      <c r="AD27" s="822"/>
      <c r="AE27" s="821"/>
      <c r="AF27" s="821"/>
      <c r="AG27" s="821"/>
      <c r="AH27" s="821"/>
      <c r="AI27" s="821"/>
      <c r="AJ27" s="821"/>
      <c r="AK27" s="819"/>
      <c r="AL27" s="819"/>
      <c r="AM27" s="824"/>
      <c r="AN27" s="825"/>
      <c r="AO27" s="825"/>
      <c r="AP27" s="825"/>
      <c r="AQ27" s="825"/>
      <c r="AR27" s="825"/>
      <c r="AS27" s="819"/>
      <c r="AT27" s="826"/>
    </row>
    <row r="28" spans="1:90" s="827" customFormat="1" ht="12.75">
      <c r="A28" s="828"/>
      <c r="B28" s="828"/>
      <c r="C28" s="819"/>
      <c r="D28" s="820"/>
      <c r="E28" s="819"/>
      <c r="F28" s="821"/>
      <c r="G28" s="821"/>
      <c r="H28" s="829"/>
      <c r="I28" s="829"/>
      <c r="J28" s="829"/>
      <c r="K28" s="821"/>
      <c r="L28" s="829"/>
      <c r="M28" s="821"/>
      <c r="N28" s="821"/>
      <c r="O28" s="821"/>
      <c r="P28" s="821"/>
      <c r="Q28" s="821"/>
      <c r="R28" s="821"/>
      <c r="S28" s="821"/>
      <c r="T28" s="821"/>
      <c r="U28" s="821"/>
      <c r="V28" s="821"/>
      <c r="W28" s="821"/>
      <c r="X28" s="821"/>
      <c r="Y28" s="821"/>
      <c r="Z28" s="821"/>
      <c r="AA28" s="821"/>
      <c r="AB28" s="821"/>
      <c r="AC28" s="821"/>
      <c r="AD28" s="829"/>
      <c r="AE28" s="821"/>
      <c r="AF28" s="821"/>
      <c r="AG28" s="821"/>
      <c r="AH28" s="821"/>
      <c r="AI28" s="821"/>
      <c r="AJ28" s="821"/>
      <c r="AK28" s="819"/>
      <c r="AL28" s="819"/>
      <c r="AM28" s="824"/>
      <c r="AN28" s="830"/>
      <c r="AO28" s="830"/>
      <c r="AP28" s="830"/>
      <c r="AQ28" s="830"/>
      <c r="AR28" s="830"/>
      <c r="AS28" s="819"/>
      <c r="AT28" s="826"/>
    </row>
    <row r="29" spans="1:90" s="831" customFormat="1" ht="15" customHeight="1">
      <c r="A29" s="828"/>
      <c r="B29" s="828"/>
      <c r="C29" s="819"/>
      <c r="D29" s="820"/>
      <c r="E29" s="819"/>
      <c r="F29" s="821"/>
      <c r="G29" s="821"/>
      <c r="H29" s="829"/>
      <c r="I29" s="829"/>
      <c r="J29" s="829"/>
      <c r="K29" s="821"/>
      <c r="L29" s="829"/>
      <c r="M29" s="821"/>
      <c r="N29" s="821"/>
      <c r="O29" s="821"/>
      <c r="P29" s="821"/>
      <c r="Q29" s="821"/>
      <c r="R29" s="821"/>
      <c r="S29" s="821"/>
      <c r="T29" s="821"/>
      <c r="U29" s="821"/>
      <c r="V29" s="821"/>
      <c r="W29" s="821"/>
      <c r="X29" s="821"/>
      <c r="Y29" s="821"/>
      <c r="Z29" s="821"/>
      <c r="AA29" s="821"/>
      <c r="AB29" s="821"/>
      <c r="AC29" s="821"/>
      <c r="AD29" s="829"/>
      <c r="AE29" s="821"/>
      <c r="AF29" s="821"/>
      <c r="AG29" s="821"/>
      <c r="AH29" s="821"/>
      <c r="AI29" s="821"/>
      <c r="AJ29" s="821"/>
      <c r="AK29" s="819"/>
      <c r="AL29" s="819"/>
      <c r="AM29" s="824"/>
      <c r="AN29" s="830"/>
      <c r="AO29" s="830"/>
      <c r="AP29" s="830"/>
      <c r="AQ29" s="830"/>
      <c r="AR29" s="830"/>
      <c r="AS29" s="819"/>
      <c r="AT29" s="819"/>
    </row>
    <row r="30" spans="1:90" s="831" customFormat="1" ht="11.25">
      <c r="A30" s="828"/>
      <c r="B30" s="828"/>
      <c r="C30" s="819"/>
      <c r="D30" s="820"/>
      <c r="E30" s="819"/>
      <c r="F30" s="821"/>
      <c r="G30" s="821"/>
      <c r="H30" s="829"/>
      <c r="I30" s="829"/>
      <c r="J30" s="829"/>
      <c r="K30" s="821"/>
      <c r="L30" s="829"/>
      <c r="M30" s="821"/>
      <c r="N30" s="821"/>
      <c r="O30" s="821"/>
      <c r="P30" s="821"/>
      <c r="Q30" s="821"/>
      <c r="R30" s="821"/>
      <c r="S30" s="821"/>
      <c r="T30" s="821"/>
      <c r="U30" s="821"/>
      <c r="V30" s="821"/>
      <c r="W30" s="821"/>
      <c r="X30" s="821"/>
      <c r="Y30" s="821"/>
      <c r="Z30" s="821"/>
      <c r="AA30" s="821"/>
      <c r="AB30" s="821"/>
      <c r="AC30" s="821"/>
      <c r="AD30" s="829"/>
      <c r="AE30" s="821"/>
      <c r="AF30" s="821"/>
      <c r="AG30" s="821"/>
      <c r="AH30" s="821"/>
      <c r="AI30" s="821"/>
      <c r="AJ30" s="821"/>
      <c r="AK30" s="819"/>
      <c r="AL30" s="819"/>
      <c r="AM30" s="824"/>
      <c r="AN30" s="830"/>
      <c r="AO30" s="830"/>
      <c r="AP30" s="830"/>
      <c r="AQ30" s="830"/>
      <c r="AR30" s="830"/>
      <c r="AS30" s="819"/>
      <c r="AT30" s="819"/>
    </row>
    <row r="31" spans="1:90" s="831" customFormat="1" ht="11.25">
      <c r="A31" s="828"/>
      <c r="B31" s="828"/>
      <c r="C31" s="819"/>
      <c r="D31" s="820"/>
      <c r="E31" s="819"/>
      <c r="F31" s="821"/>
      <c r="G31" s="821"/>
      <c r="H31" s="829"/>
      <c r="I31" s="829"/>
      <c r="J31" s="829"/>
      <c r="K31" s="821"/>
      <c r="L31" s="829"/>
      <c r="M31" s="821"/>
      <c r="N31" s="821"/>
      <c r="O31" s="821"/>
      <c r="P31" s="821"/>
      <c r="Q31" s="821"/>
      <c r="R31" s="821"/>
      <c r="S31" s="821"/>
      <c r="T31" s="821"/>
      <c r="U31" s="821"/>
      <c r="V31" s="821"/>
      <c r="W31" s="821"/>
      <c r="X31" s="821"/>
      <c r="Y31" s="821"/>
      <c r="Z31" s="821"/>
      <c r="AA31" s="821"/>
      <c r="AB31" s="821"/>
      <c r="AC31" s="821"/>
      <c r="AD31" s="829"/>
      <c r="AE31" s="821"/>
      <c r="AF31" s="821"/>
      <c r="AG31" s="821"/>
      <c r="AH31" s="821"/>
      <c r="AI31" s="821"/>
      <c r="AJ31" s="821"/>
      <c r="AK31" s="819"/>
      <c r="AL31" s="819"/>
      <c r="AM31" s="824"/>
      <c r="AN31" s="830"/>
      <c r="AO31" s="830"/>
      <c r="AP31" s="830"/>
      <c r="AQ31" s="830"/>
      <c r="AR31" s="830"/>
      <c r="AS31" s="819"/>
      <c r="AT31" s="819"/>
    </row>
    <row r="32" spans="1:90" s="831" customFormat="1" ht="11.25">
      <c r="A32" s="832"/>
      <c r="B32" s="832"/>
      <c r="C32" s="817"/>
      <c r="D32" s="833"/>
      <c r="E32" s="834"/>
      <c r="F32" s="823"/>
      <c r="G32" s="835"/>
      <c r="H32" s="822"/>
      <c r="I32" s="822"/>
      <c r="J32" s="822"/>
      <c r="K32" s="835"/>
      <c r="L32" s="822"/>
      <c r="M32" s="835"/>
      <c r="N32" s="835"/>
      <c r="O32" s="835"/>
      <c r="P32" s="835"/>
      <c r="Q32" s="822"/>
      <c r="R32" s="823"/>
      <c r="S32" s="835"/>
      <c r="T32" s="835"/>
      <c r="U32" s="822"/>
      <c r="V32" s="835"/>
      <c r="W32" s="835"/>
      <c r="X32" s="822"/>
      <c r="Y32" s="835"/>
      <c r="Z32" s="835"/>
      <c r="AA32" s="835"/>
      <c r="AB32" s="835"/>
      <c r="AC32" s="835"/>
      <c r="AD32" s="822"/>
      <c r="AE32" s="835"/>
      <c r="AF32" s="835"/>
      <c r="AG32" s="835"/>
      <c r="AH32" s="835"/>
      <c r="AI32" s="835"/>
      <c r="AJ32" s="835"/>
      <c r="AK32" s="834"/>
      <c r="AM32" s="836"/>
      <c r="AN32" s="832"/>
      <c r="AO32" s="832"/>
      <c r="AP32" s="832"/>
      <c r="AQ32" s="832"/>
      <c r="AR32" s="832"/>
      <c r="AS32" s="817"/>
      <c r="AT32" s="819"/>
    </row>
    <row r="33" spans="1:91" s="831" customFormat="1" ht="12.75">
      <c r="A33" s="730"/>
      <c r="B33" s="730" t="s">
        <v>127</v>
      </c>
      <c r="C33" s="730"/>
      <c r="D33" s="837"/>
      <c r="E33" s="730"/>
      <c r="F33" s="838"/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38"/>
      <c r="R33" s="838"/>
      <c r="S33" s="838"/>
      <c r="T33" s="838"/>
      <c r="U33" s="838"/>
      <c r="V33" s="838"/>
      <c r="W33" s="838"/>
      <c r="X33" s="838"/>
      <c r="Y33" s="838"/>
      <c r="Z33" s="838"/>
      <c r="AA33" s="838"/>
      <c r="AB33" s="838"/>
      <c r="AC33" s="838"/>
      <c r="AD33" s="838"/>
      <c r="AE33" s="838"/>
      <c r="AF33" s="838"/>
      <c r="AG33" s="838"/>
      <c r="AH33" s="839"/>
      <c r="AI33" s="839"/>
      <c r="AJ33" s="839"/>
      <c r="AK33" s="730"/>
      <c r="AL33" s="730"/>
      <c r="AM33" s="840"/>
      <c r="AN33" s="730"/>
      <c r="AO33" s="730"/>
      <c r="AP33" s="730"/>
      <c r="AQ33" s="730"/>
      <c r="AR33" s="730"/>
      <c r="AS33" s="730"/>
      <c r="AT33" s="819"/>
    </row>
    <row r="34" spans="1:91" s="831" customFormat="1" ht="12.75">
      <c r="A34" s="730"/>
      <c r="B34" s="730"/>
      <c r="C34" s="730" t="s">
        <v>731</v>
      </c>
      <c r="D34" s="837"/>
      <c r="E34" s="730"/>
      <c r="F34" s="838"/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38"/>
      <c r="R34" s="838"/>
      <c r="S34" s="838"/>
      <c r="T34" s="838"/>
      <c r="U34" s="838"/>
      <c r="V34" s="838"/>
      <c r="W34" s="838"/>
      <c r="X34" s="838"/>
      <c r="Y34" s="838"/>
      <c r="Z34" s="838"/>
      <c r="AA34" s="838"/>
      <c r="AB34" s="838"/>
      <c r="AC34" s="838"/>
      <c r="AD34" s="838"/>
      <c r="AE34" s="838"/>
      <c r="AF34" s="838"/>
      <c r="AG34" s="838"/>
      <c r="AH34" s="839"/>
      <c r="AI34" s="839"/>
      <c r="AJ34" s="839"/>
      <c r="AK34" s="730"/>
      <c r="AL34" s="730"/>
      <c r="AM34" s="840"/>
      <c r="AN34" s="730"/>
      <c r="AO34" s="730"/>
      <c r="AP34" s="730"/>
      <c r="AQ34" s="730"/>
      <c r="AR34" s="730"/>
      <c r="AS34" s="730"/>
      <c r="AT34" s="817"/>
    </row>
    <row r="35" spans="1:91" ht="15" customHeight="1">
      <c r="C35" s="730" t="s">
        <v>732</v>
      </c>
    </row>
    <row r="36" spans="1:91" ht="15" customHeight="1">
      <c r="C36" s="730" t="s">
        <v>733</v>
      </c>
    </row>
    <row r="37" spans="1:91" s="837" customFormat="1" ht="15" customHeight="1">
      <c r="A37" s="730"/>
      <c r="B37" s="730"/>
      <c r="C37" s="730" t="s">
        <v>734</v>
      </c>
      <c r="E37" s="730"/>
      <c r="F37" s="838"/>
      <c r="G37" s="838"/>
      <c r="H37" s="838"/>
      <c r="I37" s="838"/>
      <c r="J37" s="838"/>
      <c r="K37" s="838"/>
      <c r="L37" s="838"/>
      <c r="M37" s="838"/>
      <c r="N37" s="838"/>
      <c r="O37" s="838"/>
      <c r="P37" s="838"/>
      <c r="Q37" s="838"/>
      <c r="R37" s="838"/>
      <c r="S37" s="838"/>
      <c r="T37" s="838"/>
      <c r="U37" s="838"/>
      <c r="V37" s="838"/>
      <c r="W37" s="838"/>
      <c r="X37" s="838"/>
      <c r="Y37" s="838"/>
      <c r="Z37" s="838"/>
      <c r="AA37" s="838"/>
      <c r="AB37" s="838"/>
      <c r="AC37" s="838"/>
      <c r="AD37" s="838"/>
      <c r="AE37" s="838"/>
      <c r="AF37" s="838"/>
      <c r="AG37" s="838"/>
      <c r="AH37" s="839"/>
      <c r="AI37" s="839"/>
      <c r="AJ37" s="839"/>
      <c r="AK37" s="730"/>
      <c r="AL37" s="730"/>
      <c r="AM37" s="840"/>
      <c r="AN37" s="730"/>
      <c r="AO37" s="730"/>
      <c r="AP37" s="730"/>
      <c r="AQ37" s="730"/>
      <c r="AR37" s="730"/>
      <c r="AS37" s="730"/>
      <c r="AT37" s="730"/>
      <c r="AU37" s="730"/>
      <c r="AV37" s="730"/>
      <c r="AW37" s="730"/>
      <c r="AX37" s="730"/>
      <c r="AY37" s="730"/>
      <c r="AZ37" s="730"/>
      <c r="BA37" s="730"/>
      <c r="BB37" s="730"/>
      <c r="BC37" s="730"/>
      <c r="BD37" s="730"/>
      <c r="BE37" s="730"/>
      <c r="BF37" s="730"/>
      <c r="BG37" s="730"/>
      <c r="BH37" s="730"/>
      <c r="BI37" s="730"/>
      <c r="BJ37" s="730"/>
      <c r="BK37" s="730"/>
      <c r="BL37" s="730"/>
      <c r="BM37" s="730"/>
      <c r="BN37" s="730"/>
      <c r="BO37" s="730"/>
      <c r="BP37" s="730"/>
      <c r="BQ37" s="730"/>
      <c r="BR37" s="730"/>
      <c r="BS37" s="730"/>
      <c r="BT37" s="730"/>
      <c r="BU37" s="730"/>
      <c r="BV37" s="730"/>
      <c r="BW37" s="730"/>
      <c r="BX37" s="730"/>
      <c r="BY37" s="730"/>
      <c r="BZ37" s="730"/>
      <c r="CA37" s="730"/>
      <c r="CB37" s="730"/>
      <c r="CC37" s="730"/>
      <c r="CD37" s="730"/>
      <c r="CE37" s="730"/>
      <c r="CF37" s="730"/>
      <c r="CG37" s="730"/>
      <c r="CH37" s="730"/>
      <c r="CI37" s="730"/>
      <c r="CJ37" s="730"/>
      <c r="CK37" s="730"/>
      <c r="CL37" s="730"/>
      <c r="CM37" s="730"/>
    </row>
    <row r="38" spans="1:91" s="837" customFormat="1" ht="15" customHeight="1">
      <c r="A38" s="730"/>
      <c r="B38" s="730"/>
      <c r="C38" s="730" t="s">
        <v>735</v>
      </c>
      <c r="E38" s="730"/>
      <c r="F38" s="838"/>
      <c r="G38" s="838"/>
      <c r="H38" s="838"/>
      <c r="I38" s="838"/>
      <c r="J38" s="838"/>
      <c r="K38" s="838"/>
      <c r="L38" s="838"/>
      <c r="M38" s="838"/>
      <c r="N38" s="838"/>
      <c r="O38" s="838"/>
      <c r="P38" s="838"/>
      <c r="Q38" s="838"/>
      <c r="R38" s="838"/>
      <c r="S38" s="838"/>
      <c r="T38" s="838"/>
      <c r="U38" s="838"/>
      <c r="V38" s="838"/>
      <c r="W38" s="838"/>
      <c r="X38" s="838"/>
      <c r="Y38" s="838"/>
      <c r="Z38" s="838"/>
      <c r="AA38" s="838"/>
      <c r="AB38" s="838"/>
      <c r="AC38" s="838"/>
      <c r="AD38" s="838"/>
      <c r="AE38" s="838"/>
      <c r="AF38" s="838"/>
      <c r="AG38" s="838"/>
      <c r="AH38" s="839"/>
      <c r="AI38" s="839"/>
      <c r="AJ38" s="839"/>
      <c r="AK38" s="730"/>
      <c r="AL38" s="730"/>
      <c r="AM38" s="840"/>
      <c r="AN38" s="730"/>
      <c r="AO38" s="730"/>
      <c r="AP38" s="730"/>
      <c r="AQ38" s="730"/>
      <c r="AR38" s="730"/>
      <c r="AS38" s="730"/>
      <c r="AT38" s="730"/>
      <c r="AU38" s="730"/>
      <c r="AV38" s="730"/>
      <c r="AW38" s="730"/>
      <c r="AX38" s="730"/>
      <c r="AY38" s="730"/>
      <c r="AZ38" s="730"/>
      <c r="BA38" s="730"/>
      <c r="BB38" s="730"/>
      <c r="BC38" s="730"/>
      <c r="BD38" s="730"/>
      <c r="BE38" s="730"/>
      <c r="BF38" s="730"/>
      <c r="BG38" s="730"/>
      <c r="BH38" s="730"/>
      <c r="BI38" s="730"/>
      <c r="BJ38" s="730"/>
      <c r="BK38" s="730"/>
      <c r="BL38" s="730"/>
      <c r="BM38" s="730"/>
      <c r="BN38" s="730"/>
      <c r="BO38" s="730"/>
      <c r="BP38" s="730"/>
      <c r="BQ38" s="730"/>
      <c r="BR38" s="730"/>
      <c r="BS38" s="730"/>
      <c r="BT38" s="730"/>
      <c r="BU38" s="730"/>
      <c r="BV38" s="730"/>
      <c r="BW38" s="730"/>
      <c r="BX38" s="730"/>
      <c r="BY38" s="730"/>
      <c r="BZ38" s="730"/>
      <c r="CA38" s="730"/>
      <c r="CB38" s="730"/>
      <c r="CC38" s="730"/>
      <c r="CD38" s="730"/>
      <c r="CE38" s="730"/>
      <c r="CF38" s="730"/>
      <c r="CG38" s="730"/>
      <c r="CH38" s="730"/>
      <c r="CI38" s="730"/>
      <c r="CJ38" s="730"/>
      <c r="CK38" s="730"/>
      <c r="CL38" s="730"/>
      <c r="CM38" s="730"/>
    </row>
    <row r="39" spans="1:91" s="837" customFormat="1" ht="15" customHeight="1">
      <c r="A39" s="730"/>
      <c r="B39" s="730"/>
      <c r="C39" s="730" t="s">
        <v>736</v>
      </c>
      <c r="E39" s="730"/>
      <c r="F39" s="838"/>
      <c r="G39" s="838"/>
      <c r="H39" s="838"/>
      <c r="I39" s="838"/>
      <c r="J39" s="838"/>
      <c r="K39" s="838"/>
      <c r="L39" s="838"/>
      <c r="M39" s="838"/>
      <c r="N39" s="838"/>
      <c r="O39" s="838"/>
      <c r="P39" s="838"/>
      <c r="Q39" s="838"/>
      <c r="R39" s="838"/>
      <c r="S39" s="838"/>
      <c r="T39" s="838"/>
      <c r="U39" s="838"/>
      <c r="V39" s="838"/>
      <c r="W39" s="838"/>
      <c r="X39" s="838"/>
      <c r="Y39" s="838"/>
      <c r="Z39" s="838"/>
      <c r="AA39" s="838"/>
      <c r="AB39" s="838"/>
      <c r="AC39" s="838"/>
      <c r="AD39" s="838"/>
      <c r="AE39" s="838"/>
      <c r="AF39" s="838"/>
      <c r="AG39" s="838"/>
      <c r="AH39" s="839"/>
      <c r="AI39" s="839"/>
      <c r="AJ39" s="839"/>
      <c r="AK39" s="730"/>
      <c r="AL39" s="730"/>
      <c r="AM39" s="840"/>
      <c r="AN39" s="730"/>
      <c r="AO39" s="730"/>
      <c r="AP39" s="730"/>
      <c r="AQ39" s="730"/>
      <c r="AR39" s="730"/>
      <c r="AS39" s="730"/>
      <c r="AT39" s="730"/>
      <c r="AU39" s="730"/>
      <c r="AV39" s="730"/>
      <c r="AW39" s="730"/>
      <c r="AX39" s="730"/>
      <c r="AY39" s="730"/>
      <c r="AZ39" s="730"/>
      <c r="BA39" s="730"/>
      <c r="BB39" s="730"/>
      <c r="BC39" s="730"/>
      <c r="BD39" s="730"/>
      <c r="BE39" s="730"/>
      <c r="BF39" s="730"/>
      <c r="BG39" s="730"/>
      <c r="BH39" s="730"/>
      <c r="BI39" s="730"/>
      <c r="BJ39" s="730"/>
      <c r="BK39" s="730"/>
      <c r="BL39" s="730"/>
      <c r="BM39" s="730"/>
      <c r="BN39" s="730"/>
      <c r="BO39" s="730"/>
      <c r="BP39" s="730"/>
      <c r="BQ39" s="730"/>
      <c r="BR39" s="730"/>
      <c r="BS39" s="730"/>
      <c r="BT39" s="730"/>
      <c r="BU39" s="730"/>
      <c r="BV39" s="730"/>
      <c r="BW39" s="730"/>
      <c r="BX39" s="730"/>
      <c r="BY39" s="730"/>
      <c r="BZ39" s="730"/>
      <c r="CA39" s="730"/>
      <c r="CB39" s="730"/>
      <c r="CC39" s="730"/>
      <c r="CD39" s="730"/>
      <c r="CE39" s="730"/>
      <c r="CF39" s="730"/>
      <c r="CG39" s="730"/>
      <c r="CH39" s="730"/>
      <c r="CI39" s="730"/>
      <c r="CJ39" s="730"/>
      <c r="CK39" s="730"/>
      <c r="CL39" s="730"/>
      <c r="CM39" s="730"/>
    </row>
    <row r="40" spans="1:91" s="837" customFormat="1" ht="15" customHeight="1">
      <c r="A40" s="730"/>
      <c r="B40" s="730"/>
      <c r="C40" s="730" t="s">
        <v>737</v>
      </c>
      <c r="E40" s="730"/>
      <c r="F40" s="838"/>
      <c r="G40" s="838"/>
      <c r="H40" s="838"/>
      <c r="I40" s="838"/>
      <c r="J40" s="838"/>
      <c r="K40" s="838"/>
      <c r="L40" s="838"/>
      <c r="M40" s="838"/>
      <c r="N40" s="838"/>
      <c r="O40" s="838"/>
      <c r="P40" s="838"/>
      <c r="Q40" s="838"/>
      <c r="R40" s="838"/>
      <c r="S40" s="838"/>
      <c r="T40" s="838"/>
      <c r="U40" s="838"/>
      <c r="V40" s="838"/>
      <c r="W40" s="838"/>
      <c r="X40" s="838"/>
      <c r="Y40" s="838"/>
      <c r="Z40" s="838"/>
      <c r="AA40" s="838"/>
      <c r="AB40" s="838"/>
      <c r="AC40" s="838"/>
      <c r="AD40" s="838"/>
      <c r="AE40" s="838"/>
      <c r="AF40" s="838"/>
      <c r="AG40" s="838"/>
      <c r="AH40" s="839"/>
      <c r="AI40" s="839"/>
      <c r="AJ40" s="839"/>
      <c r="AK40" s="730"/>
      <c r="AL40" s="730"/>
      <c r="AM40" s="840"/>
      <c r="AN40" s="730"/>
      <c r="AO40" s="730"/>
      <c r="AP40" s="730"/>
      <c r="AQ40" s="730"/>
      <c r="AR40" s="730"/>
      <c r="AS40" s="730"/>
      <c r="AT40" s="730"/>
      <c r="AU40" s="730"/>
      <c r="AV40" s="730"/>
      <c r="AW40" s="730"/>
      <c r="AX40" s="730"/>
      <c r="AY40" s="730"/>
      <c r="AZ40" s="730"/>
      <c r="BA40" s="730"/>
      <c r="BB40" s="730"/>
      <c r="BC40" s="730"/>
      <c r="BD40" s="730"/>
      <c r="BE40" s="730"/>
      <c r="BF40" s="730"/>
      <c r="BG40" s="730"/>
      <c r="BH40" s="730"/>
      <c r="BI40" s="730"/>
      <c r="BJ40" s="730"/>
      <c r="BK40" s="730"/>
      <c r="BL40" s="730"/>
      <c r="BM40" s="730"/>
      <c r="BN40" s="730"/>
      <c r="BO40" s="730"/>
      <c r="BP40" s="730"/>
      <c r="BQ40" s="730"/>
      <c r="BR40" s="730"/>
      <c r="BS40" s="730"/>
      <c r="BT40" s="730"/>
      <c r="BU40" s="730"/>
      <c r="BV40" s="730"/>
      <c r="BW40" s="730"/>
      <c r="BX40" s="730"/>
      <c r="BY40" s="730"/>
      <c r="BZ40" s="730"/>
      <c r="CA40" s="730"/>
      <c r="CB40" s="730"/>
      <c r="CC40" s="730"/>
      <c r="CD40" s="730"/>
      <c r="CE40" s="730"/>
      <c r="CF40" s="730"/>
      <c r="CG40" s="730"/>
      <c r="CH40" s="730"/>
      <c r="CI40" s="730"/>
      <c r="CJ40" s="730"/>
      <c r="CK40" s="730"/>
      <c r="CL40" s="730"/>
      <c r="CM40" s="730"/>
    </row>
    <row r="41" spans="1:91" s="837" customFormat="1" ht="15" customHeight="1">
      <c r="A41" s="730"/>
      <c r="B41" s="730"/>
      <c r="C41" s="730" t="s">
        <v>738</v>
      </c>
      <c r="E41" s="730"/>
      <c r="F41" s="838"/>
      <c r="G41" s="838"/>
      <c r="H41" s="838"/>
      <c r="I41" s="838"/>
      <c r="J41" s="838"/>
      <c r="K41" s="838"/>
      <c r="L41" s="838"/>
      <c r="M41" s="838"/>
      <c r="N41" s="838"/>
      <c r="O41" s="838"/>
      <c r="P41" s="838"/>
      <c r="Q41" s="838"/>
      <c r="R41" s="838"/>
      <c r="S41" s="838"/>
      <c r="T41" s="838"/>
      <c r="U41" s="838"/>
      <c r="V41" s="838"/>
      <c r="W41" s="838"/>
      <c r="X41" s="838"/>
      <c r="Y41" s="838"/>
      <c r="Z41" s="838"/>
      <c r="AA41" s="838"/>
      <c r="AB41" s="838"/>
      <c r="AC41" s="838"/>
      <c r="AD41" s="838"/>
      <c r="AE41" s="838"/>
      <c r="AF41" s="838"/>
      <c r="AG41" s="838"/>
      <c r="AH41" s="839"/>
      <c r="AI41" s="839"/>
      <c r="AJ41" s="839"/>
      <c r="AK41" s="730"/>
      <c r="AL41" s="730"/>
      <c r="AM41" s="840"/>
      <c r="AN41" s="730"/>
      <c r="AO41" s="730"/>
      <c r="AP41" s="730"/>
      <c r="AQ41" s="730"/>
      <c r="AR41" s="730"/>
      <c r="AS41" s="730"/>
      <c r="AT41" s="730"/>
      <c r="AU41" s="730"/>
      <c r="AV41" s="730"/>
      <c r="AW41" s="730"/>
      <c r="AX41" s="730"/>
      <c r="AY41" s="730"/>
      <c r="AZ41" s="730"/>
      <c r="BA41" s="730"/>
      <c r="BB41" s="730"/>
      <c r="BC41" s="730"/>
      <c r="BD41" s="730"/>
      <c r="BE41" s="730"/>
      <c r="BF41" s="730"/>
      <c r="BG41" s="730"/>
      <c r="BH41" s="730"/>
      <c r="BI41" s="730"/>
      <c r="BJ41" s="730"/>
      <c r="BK41" s="730"/>
      <c r="BL41" s="730"/>
      <c r="BM41" s="730"/>
      <c r="BN41" s="730"/>
      <c r="BO41" s="730"/>
      <c r="BP41" s="730"/>
      <c r="BQ41" s="730"/>
      <c r="BR41" s="730"/>
      <c r="BS41" s="730"/>
      <c r="BT41" s="730"/>
      <c r="BU41" s="730"/>
      <c r="BV41" s="730"/>
      <c r="BW41" s="730"/>
      <c r="BX41" s="730"/>
      <c r="BY41" s="730"/>
      <c r="BZ41" s="730"/>
      <c r="CA41" s="730"/>
      <c r="CB41" s="730"/>
      <c r="CC41" s="730"/>
      <c r="CD41" s="730"/>
      <c r="CE41" s="730"/>
      <c r="CF41" s="730"/>
      <c r="CG41" s="730"/>
      <c r="CH41" s="730"/>
      <c r="CI41" s="730"/>
      <c r="CJ41" s="730"/>
      <c r="CK41" s="730"/>
      <c r="CL41" s="730"/>
      <c r="CM41" s="730"/>
    </row>
    <row r="42" spans="1:91" s="837" customFormat="1" ht="15" customHeight="1">
      <c r="A42" s="730"/>
      <c r="B42" s="730"/>
      <c r="C42" s="730" t="s">
        <v>739</v>
      </c>
      <c r="E42" s="730"/>
      <c r="F42" s="838"/>
      <c r="G42" s="838"/>
      <c r="H42" s="838"/>
      <c r="I42" s="838"/>
      <c r="J42" s="838"/>
      <c r="K42" s="838"/>
      <c r="L42" s="838"/>
      <c r="M42" s="838"/>
      <c r="N42" s="838"/>
      <c r="O42" s="838"/>
      <c r="P42" s="838"/>
      <c r="Q42" s="838"/>
      <c r="R42" s="838"/>
      <c r="S42" s="838"/>
      <c r="T42" s="838"/>
      <c r="U42" s="838"/>
      <c r="V42" s="838"/>
      <c r="W42" s="838"/>
      <c r="X42" s="838"/>
      <c r="Y42" s="838"/>
      <c r="Z42" s="838"/>
      <c r="AA42" s="838"/>
      <c r="AB42" s="838"/>
      <c r="AC42" s="838"/>
      <c r="AD42" s="838"/>
      <c r="AE42" s="838"/>
      <c r="AF42" s="838"/>
      <c r="AG42" s="838"/>
      <c r="AH42" s="839"/>
      <c r="AI42" s="839"/>
      <c r="AJ42" s="839"/>
      <c r="AK42" s="730"/>
      <c r="AL42" s="730"/>
      <c r="AM42" s="840"/>
      <c r="AN42" s="730"/>
      <c r="AO42" s="730"/>
      <c r="AP42" s="730"/>
      <c r="AQ42" s="730"/>
      <c r="AR42" s="730"/>
      <c r="AS42" s="730"/>
      <c r="AT42" s="730"/>
      <c r="AU42" s="730"/>
      <c r="AV42" s="730"/>
      <c r="AW42" s="730"/>
      <c r="AX42" s="730"/>
      <c r="AY42" s="730"/>
      <c r="AZ42" s="730"/>
      <c r="BA42" s="730"/>
      <c r="BB42" s="730"/>
      <c r="BC42" s="730"/>
      <c r="BD42" s="730"/>
      <c r="BE42" s="730"/>
      <c r="BF42" s="730"/>
      <c r="BG42" s="730"/>
      <c r="BH42" s="730"/>
      <c r="BI42" s="730"/>
      <c r="BJ42" s="730"/>
      <c r="BK42" s="730"/>
      <c r="BL42" s="730"/>
      <c r="BM42" s="730"/>
      <c r="BN42" s="730"/>
      <c r="BO42" s="730"/>
      <c r="BP42" s="730"/>
      <c r="BQ42" s="730"/>
      <c r="BR42" s="730"/>
      <c r="BS42" s="730"/>
      <c r="BT42" s="730"/>
      <c r="BU42" s="730"/>
      <c r="BV42" s="730"/>
      <c r="BW42" s="730"/>
      <c r="BX42" s="730"/>
      <c r="BY42" s="730"/>
      <c r="BZ42" s="730"/>
      <c r="CA42" s="730"/>
      <c r="CB42" s="730"/>
      <c r="CC42" s="730"/>
      <c r="CD42" s="730"/>
      <c r="CE42" s="730"/>
      <c r="CF42" s="730"/>
      <c r="CG42" s="730"/>
      <c r="CH42" s="730"/>
      <c r="CI42" s="730"/>
      <c r="CJ42" s="730"/>
      <c r="CK42" s="730"/>
      <c r="CL42" s="730"/>
      <c r="CM42" s="730"/>
    </row>
  </sheetData>
  <protectedRanges>
    <protectedRange password="CC78" sqref="A1:A3" name="Range1_2_1"/>
    <protectedRange password="CC78" sqref="A9:A16" name="Range1_1"/>
    <protectedRange password="CC78" sqref="C9:E16 A9:A16" name="Range1_6"/>
    <protectedRange password="CC78" sqref="B9:B16" name="Range1_4"/>
    <protectedRange password="CC78" sqref="J28:J31 Q26:Q27" name="Range1_1_1_1"/>
    <protectedRange password="CC78" sqref="J32" name="Range1_3_1_1"/>
    <protectedRange password="CC78" sqref="A18:A25" name="Range1_1_2"/>
    <protectedRange password="CC78" sqref="C18:E25 A18:A25" name="Range1_6_2"/>
    <protectedRange password="CC78" sqref="B18:B25" name="Range1_4_2"/>
  </protectedRanges>
  <mergeCells count="118">
    <mergeCell ref="AP24:AP25"/>
    <mergeCell ref="AQ24:AQ25"/>
    <mergeCell ref="AR24:AR25"/>
    <mergeCell ref="AS24:AS25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22:A23"/>
    <mergeCell ref="B22:B23"/>
    <mergeCell ref="C22:C23"/>
    <mergeCell ref="D22:D23"/>
    <mergeCell ref="AK22:AK23"/>
    <mergeCell ref="AL22:AL23"/>
    <mergeCell ref="A20:A21"/>
    <mergeCell ref="B20:B21"/>
    <mergeCell ref="C20:C21"/>
    <mergeCell ref="D20:D21"/>
    <mergeCell ref="AK20:AK21"/>
    <mergeCell ref="AL20:AL21"/>
    <mergeCell ref="C15:C16"/>
    <mergeCell ref="D15:D16"/>
    <mergeCell ref="AK15:AK16"/>
    <mergeCell ref="AL15:AL16"/>
    <mergeCell ref="AM15:AM16"/>
    <mergeCell ref="AP20:AP21"/>
    <mergeCell ref="AQ20:AQ21"/>
    <mergeCell ref="AR20:AR21"/>
    <mergeCell ref="AS20:AS21"/>
    <mergeCell ref="AM20:AM21"/>
    <mergeCell ref="AN20:AN21"/>
    <mergeCell ref="AO20:AO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5:AN16"/>
    <mergeCell ref="AO15:AO16"/>
    <mergeCell ref="AP15:AP16"/>
    <mergeCell ref="A13:A14"/>
    <mergeCell ref="B13:B14"/>
    <mergeCell ref="C13:C14"/>
    <mergeCell ref="D13:D14"/>
    <mergeCell ref="AK13:AK14"/>
    <mergeCell ref="AL13:AL14"/>
    <mergeCell ref="AS13:AS14"/>
    <mergeCell ref="AM13:AM14"/>
    <mergeCell ref="AN13:AN14"/>
    <mergeCell ref="AO13:AO14"/>
    <mergeCell ref="AP13:AP14"/>
    <mergeCell ref="AQ13:AQ14"/>
    <mergeCell ref="AR13:AR14"/>
    <mergeCell ref="AQ15:AQ16"/>
    <mergeCell ref="AR15:AR16"/>
    <mergeCell ref="AS15:AS16"/>
    <mergeCell ref="A15:A16"/>
    <mergeCell ref="B15:B1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Q11:AQ12"/>
    <mergeCell ref="AR11:AR12"/>
    <mergeCell ref="AS11:AS12"/>
  </mergeCells>
  <conditionalFormatting sqref="F5:AJ6 F9:AJ16">
    <cfRule type="expression" dxfId="3" priority="6" stopIfTrue="1">
      <formula>IF(WEEKDAY(F$5)=1,TRUE,FALSE)</formula>
    </cfRule>
  </conditionalFormatting>
  <conditionalFormatting sqref="F9:AJ16">
    <cfRule type="expression" dxfId="2" priority="5" stopIfTrue="1">
      <formula>IF(WEEKDAY(F$5)=1,TRUE,FALSE)</formula>
    </cfRule>
  </conditionalFormatting>
  <conditionalFormatting sqref="F18:AJ25">
    <cfRule type="expression" dxfId="1" priority="2" stopIfTrue="1">
      <formula>IF(WEEKDAY(F$5)=1,TRUE,FALSE)</formula>
    </cfRule>
  </conditionalFormatting>
  <conditionalFormatting sqref="F18:AJ2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33"/>
  <sheetViews>
    <sheetView zoomScaleNormal="70" workbookViewId="0">
      <pane xSplit="3" ySplit="8" topLeftCell="D9" activePane="bottomRight" state="frozen"/>
      <selection activeCell="F18" sqref="F18:AJ25"/>
      <selection pane="topRight" activeCell="F18" sqref="F18:AJ25"/>
      <selection pane="bottomLeft" activeCell="F18" sqref="F18:AJ25"/>
      <selection pane="bottomRight" activeCell="S12" sqref="S12:S13"/>
    </sheetView>
  </sheetViews>
  <sheetFormatPr defaultRowHeight="11.25"/>
  <cols>
    <col min="1" max="1" width="4.28515625" style="908" customWidth="1"/>
    <col min="2" max="2" width="8.42578125" style="908" customWidth="1"/>
    <col min="3" max="3" width="21.140625" style="908" customWidth="1"/>
    <col min="4" max="4" width="13.5703125" style="916" customWidth="1"/>
    <col min="5" max="5" width="10.28515625" style="919" customWidth="1"/>
    <col min="6" max="6" width="7.140625" style="916" customWidth="1"/>
    <col min="7" max="7" width="10.5703125" style="919" customWidth="1"/>
    <col min="8" max="8" width="7.140625" style="919" customWidth="1"/>
    <col min="9" max="9" width="9.5703125" style="919" customWidth="1"/>
    <col min="10" max="10" width="8.5703125" style="905" customWidth="1"/>
    <col min="11" max="12" width="12" style="908" customWidth="1"/>
    <col min="13" max="13" width="11.85546875" style="908" customWidth="1"/>
    <col min="14" max="14" width="8.5703125" style="908" customWidth="1"/>
    <col min="15" max="16" width="8.7109375" style="908" customWidth="1"/>
    <col min="17" max="17" width="11" style="908" customWidth="1"/>
    <col min="18" max="18" width="6.28515625" style="908" customWidth="1"/>
    <col min="19" max="19" width="10.85546875" style="908" customWidth="1"/>
    <col min="20" max="20" width="12.28515625" style="907" customWidth="1"/>
    <col min="21" max="21" width="9.5703125" style="908" customWidth="1"/>
    <col min="22" max="22" width="7.42578125" style="907" customWidth="1"/>
    <col min="23" max="23" width="7" style="907" customWidth="1"/>
    <col min="24" max="24" width="9.140625" style="907"/>
    <col min="25" max="25" width="11.140625" style="907" bestFit="1" customWidth="1"/>
    <col min="26" max="27" width="10.85546875" style="908" bestFit="1" customWidth="1"/>
    <col min="28" max="16384" width="9.140625" style="908"/>
  </cols>
  <sheetData>
    <row r="1" spans="1:30" s="819" customFormat="1" ht="41.25" customHeight="1">
      <c r="A1" s="779"/>
      <c r="B1" s="841"/>
      <c r="C1" s="841"/>
      <c r="D1" s="1138" t="str">
        <f>"BẢNG THANH TOÁN LƯƠNG THÁNG"&amp;" "&amp;TEXT($E$4,"mm")&amp;" / "&amp;TEXT($E$4,"yyyy")</f>
        <v>BẢNG THANH TOÁN LƯƠNG THÁNG 12 / 2012</v>
      </c>
      <c r="E1" s="1138"/>
      <c r="F1" s="1138"/>
      <c r="G1" s="1138"/>
      <c r="H1" s="1138"/>
      <c r="I1" s="1138"/>
      <c r="J1" s="1138"/>
      <c r="K1" s="1138"/>
      <c r="L1" s="1138"/>
      <c r="M1" s="1138"/>
      <c r="N1" s="1138"/>
      <c r="O1" s="1138"/>
      <c r="P1" s="1138"/>
      <c r="Q1" s="1139"/>
      <c r="R1" s="1140" t="s">
        <v>713</v>
      </c>
      <c r="S1" s="1141"/>
      <c r="T1" s="1142"/>
      <c r="U1" s="842" t="s">
        <v>740</v>
      </c>
      <c r="V1" s="843"/>
      <c r="W1" s="843"/>
      <c r="X1" s="844"/>
      <c r="Y1" s="844"/>
    </row>
    <row r="2" spans="1:30" s="819" customFormat="1" ht="15" customHeight="1">
      <c r="A2" s="779"/>
      <c r="B2" s="841"/>
      <c r="C2" s="841"/>
      <c r="D2" s="841"/>
      <c r="E2" s="845"/>
      <c r="F2" s="841"/>
      <c r="G2" s="841"/>
      <c r="H2" s="841"/>
      <c r="I2" s="841"/>
      <c r="J2" s="846"/>
      <c r="K2" s="841"/>
      <c r="L2" s="841"/>
      <c r="M2" s="841"/>
      <c r="N2" s="841"/>
      <c r="O2" s="841"/>
      <c r="P2" s="841"/>
      <c r="Q2" s="841"/>
      <c r="R2" s="841"/>
      <c r="S2" s="841"/>
      <c r="T2" s="787"/>
      <c r="U2" s="847">
        <f>MAX('CC -12'!$AK$9:$AK$25)</f>
        <v>26</v>
      </c>
      <c r="V2" s="843"/>
      <c r="W2" s="843"/>
      <c r="X2" s="844"/>
      <c r="Y2" s="844"/>
    </row>
    <row r="3" spans="1:30" s="819" customFormat="1" ht="15" hidden="1" customHeight="1">
      <c r="A3" s="779"/>
      <c r="B3" s="841"/>
      <c r="C3" s="841"/>
      <c r="D3" s="841"/>
      <c r="E3" s="845"/>
      <c r="F3" s="841"/>
      <c r="G3" s="841"/>
      <c r="H3" s="841"/>
      <c r="I3" s="841"/>
      <c r="J3" s="846"/>
      <c r="K3" s="841"/>
      <c r="L3" s="841"/>
      <c r="M3" s="841"/>
      <c r="N3" s="841"/>
      <c r="O3" s="841"/>
      <c r="P3" s="841"/>
      <c r="Q3" s="841"/>
      <c r="R3" s="841"/>
      <c r="S3" s="841"/>
      <c r="T3" s="787"/>
      <c r="U3" s="848"/>
      <c r="V3" s="843"/>
      <c r="W3" s="843"/>
      <c r="X3" s="844"/>
      <c r="Y3" s="844"/>
    </row>
    <row r="4" spans="1:30" s="853" customFormat="1" ht="14.25" hidden="1" customHeight="1">
      <c r="A4" s="849"/>
      <c r="B4" s="826"/>
      <c r="C4" s="826"/>
      <c r="D4" s="826"/>
      <c r="E4" s="850">
        <f>'CC -12'!$E$4</f>
        <v>41244</v>
      </c>
      <c r="F4" s="826"/>
      <c r="G4" s="826"/>
      <c r="H4" s="826"/>
      <c r="I4" s="826"/>
      <c r="J4" s="826"/>
      <c r="K4" s="826"/>
      <c r="L4" s="826"/>
      <c r="M4" s="826"/>
      <c r="N4" s="851">
        <v>0.08</v>
      </c>
      <c r="O4" s="851">
        <v>1.4999999999999999E-2</v>
      </c>
      <c r="P4" s="851">
        <v>0.01</v>
      </c>
      <c r="Q4" s="826"/>
      <c r="R4" s="826"/>
      <c r="S4" s="826"/>
      <c r="T4" s="826"/>
      <c r="U4" s="826"/>
      <c r="V4" s="852"/>
      <c r="W4" s="852"/>
      <c r="X4" s="852"/>
      <c r="Y4" s="852"/>
    </row>
    <row r="5" spans="1:30" s="855" customFormat="1" ht="24" customHeight="1">
      <c r="A5" s="1143" t="s">
        <v>35</v>
      </c>
      <c r="B5" s="1143" t="s">
        <v>741</v>
      </c>
      <c r="C5" s="1100" t="s">
        <v>610</v>
      </c>
      <c r="D5" s="1100" t="s">
        <v>611</v>
      </c>
      <c r="E5" s="1101" t="s">
        <v>612</v>
      </c>
      <c r="F5" s="1146" t="s">
        <v>742</v>
      </c>
      <c r="G5" s="1147"/>
      <c r="H5" s="1147"/>
      <c r="I5" s="1147"/>
      <c r="J5" s="1147"/>
      <c r="K5" s="1148"/>
      <c r="L5" s="1145" t="s">
        <v>619</v>
      </c>
      <c r="M5" s="1145" t="s">
        <v>743</v>
      </c>
      <c r="N5" s="1100" t="s">
        <v>744</v>
      </c>
      <c r="O5" s="1100"/>
      <c r="P5" s="1100"/>
      <c r="Q5" s="1145" t="s">
        <v>745</v>
      </c>
      <c r="R5" s="1145" t="s">
        <v>746</v>
      </c>
      <c r="S5" s="1145" t="s">
        <v>747</v>
      </c>
      <c r="T5" s="1102" t="s">
        <v>748</v>
      </c>
      <c r="U5" s="826"/>
      <c r="V5" s="854"/>
      <c r="W5" s="844"/>
      <c r="X5" s="844"/>
      <c r="Y5" s="844"/>
      <c r="Z5" s="819"/>
      <c r="AA5" s="819"/>
      <c r="AB5" s="819"/>
      <c r="AC5" s="819"/>
      <c r="AD5" s="819"/>
    </row>
    <row r="6" spans="1:30" s="855" customFormat="1" ht="33.75" customHeight="1">
      <c r="A6" s="1144"/>
      <c r="B6" s="1144"/>
      <c r="C6" s="1100"/>
      <c r="D6" s="1100"/>
      <c r="E6" s="1101"/>
      <c r="F6" s="1146" t="s">
        <v>749</v>
      </c>
      <c r="G6" s="1148"/>
      <c r="H6" s="1146" t="s">
        <v>750</v>
      </c>
      <c r="I6" s="1147"/>
      <c r="J6" s="1152" t="s">
        <v>751</v>
      </c>
      <c r="K6" s="1145" t="s">
        <v>752</v>
      </c>
      <c r="L6" s="1149"/>
      <c r="M6" s="1149"/>
      <c r="N6" s="1154" t="s">
        <v>753</v>
      </c>
      <c r="O6" s="1145" t="s">
        <v>754</v>
      </c>
      <c r="P6" s="1145" t="s">
        <v>755</v>
      </c>
      <c r="Q6" s="1149"/>
      <c r="R6" s="1149"/>
      <c r="S6" s="1149"/>
      <c r="T6" s="1103"/>
      <c r="U6" s="826"/>
      <c r="V6" s="854"/>
      <c r="W6" s="844"/>
      <c r="X6" s="844"/>
      <c r="Y6" s="844"/>
      <c r="Z6" s="819"/>
      <c r="AA6" s="819"/>
      <c r="AB6" s="819"/>
      <c r="AC6" s="819"/>
      <c r="AD6" s="819"/>
    </row>
    <row r="7" spans="1:30" s="855" customFormat="1" ht="35.25" customHeight="1">
      <c r="A7" s="1144"/>
      <c r="B7" s="1144"/>
      <c r="C7" s="1145"/>
      <c r="D7" s="1145"/>
      <c r="E7" s="1101"/>
      <c r="F7" s="856" t="s">
        <v>756</v>
      </c>
      <c r="G7" s="857" t="s">
        <v>757</v>
      </c>
      <c r="H7" s="856" t="s">
        <v>756</v>
      </c>
      <c r="I7" s="858" t="s">
        <v>757</v>
      </c>
      <c r="J7" s="1153"/>
      <c r="K7" s="1149"/>
      <c r="L7" s="1150"/>
      <c r="M7" s="1150"/>
      <c r="N7" s="1155"/>
      <c r="O7" s="1149"/>
      <c r="P7" s="1149"/>
      <c r="Q7" s="1149"/>
      <c r="R7" s="1149"/>
      <c r="S7" s="1149"/>
      <c r="T7" s="1103"/>
      <c r="U7" s="826"/>
      <c r="V7" s="854"/>
      <c r="W7" s="844"/>
      <c r="X7" s="844"/>
      <c r="Y7" s="844"/>
      <c r="Z7" s="819"/>
      <c r="AA7" s="819"/>
      <c r="AB7" s="819"/>
      <c r="AC7" s="819"/>
      <c r="AD7" s="819"/>
    </row>
    <row r="8" spans="1:30" s="863" customFormat="1" ht="12.75" customHeight="1">
      <c r="A8" s="859">
        <v>1</v>
      </c>
      <c r="B8" s="859">
        <v>2</v>
      </c>
      <c r="C8" s="859">
        <v>3</v>
      </c>
      <c r="D8" s="859">
        <v>4</v>
      </c>
      <c r="E8" s="859">
        <v>5</v>
      </c>
      <c r="F8" s="859">
        <v>7</v>
      </c>
      <c r="G8" s="859">
        <v>8</v>
      </c>
      <c r="H8" s="859">
        <v>9</v>
      </c>
      <c r="I8" s="859">
        <v>10</v>
      </c>
      <c r="J8" s="859">
        <v>13</v>
      </c>
      <c r="K8" s="859">
        <v>14</v>
      </c>
      <c r="L8" s="859">
        <v>16</v>
      </c>
      <c r="M8" s="859">
        <v>17</v>
      </c>
      <c r="N8" s="859">
        <v>18</v>
      </c>
      <c r="O8" s="859">
        <v>19</v>
      </c>
      <c r="P8" s="859">
        <v>20</v>
      </c>
      <c r="Q8" s="859">
        <v>21</v>
      </c>
      <c r="R8" s="859">
        <v>22</v>
      </c>
      <c r="S8" s="859">
        <v>23</v>
      </c>
      <c r="T8" s="859">
        <v>24</v>
      </c>
      <c r="U8" s="826"/>
      <c r="V8" s="860"/>
      <c r="W8" s="861"/>
      <c r="X8" s="861"/>
      <c r="Y8" s="861"/>
      <c r="Z8" s="862"/>
      <c r="AA8" s="862"/>
      <c r="AB8" s="862"/>
      <c r="AC8" s="862"/>
      <c r="AD8" s="862"/>
    </row>
    <row r="9" spans="1:30" s="863" customFormat="1" ht="24" customHeight="1">
      <c r="A9" s="864" t="s">
        <v>726</v>
      </c>
      <c r="B9" s="865" t="s">
        <v>758</v>
      </c>
      <c r="C9" s="866"/>
      <c r="D9" s="866"/>
      <c r="E9" s="866"/>
      <c r="F9" s="866"/>
      <c r="G9" s="866"/>
      <c r="H9" s="866"/>
      <c r="I9" s="866"/>
      <c r="J9" s="866"/>
      <c r="K9" s="866"/>
      <c r="L9" s="866"/>
      <c r="M9" s="866"/>
      <c r="N9" s="866"/>
      <c r="O9" s="866"/>
      <c r="P9" s="866"/>
      <c r="Q9" s="866"/>
      <c r="R9" s="866"/>
      <c r="S9" s="866"/>
      <c r="T9" s="866"/>
      <c r="U9" s="826"/>
      <c r="V9" s="860"/>
      <c r="W9" s="861"/>
      <c r="X9" s="861"/>
      <c r="Y9" s="861"/>
      <c r="Z9" s="862"/>
      <c r="AA9" s="862"/>
      <c r="AB9" s="862"/>
      <c r="AC9" s="862"/>
      <c r="AD9" s="862"/>
    </row>
    <row r="10" spans="1:30" s="877" customFormat="1" ht="24" customHeight="1">
      <c r="A10" s="867">
        <v>1</v>
      </c>
      <c r="B10" s="754" t="s">
        <v>621</v>
      </c>
      <c r="C10" s="868" t="str">
        <f t="shared" ref="C10:C13" si="0">VLOOKUP(B10,DS,2,0)</f>
        <v>Nguyễn Đức Hải</v>
      </c>
      <c r="D10" s="869" t="str">
        <f t="shared" ref="D10:D13" si="1">VLOOKUP(B10,DS,3,0)</f>
        <v>Giám Đốc</v>
      </c>
      <c r="E10" s="243">
        <f>VLOOKUP(B10,DS,4,0)</f>
        <v>2877500</v>
      </c>
      <c r="F10" s="870">
        <f>VLOOKUP(B10,'CC -12'!$B$8:$AS$25,36,0)</f>
        <v>26</v>
      </c>
      <c r="G10" s="871">
        <f t="shared" ref="G10:G13" si="2">ROUND(E10/$U$2*F10,0)</f>
        <v>2877500</v>
      </c>
      <c r="H10" s="870">
        <f>(VLOOKUP(B10,'CC -12'!$B$8:$AS$25,37,0)+VLOOKUP(B10,'CC -12'!$B$8:$AS$25,38,0))</f>
        <v>0</v>
      </c>
      <c r="I10" s="871">
        <f t="shared" ref="I10:I13" si="3">ROUND(E10/$U$2*H10,0)</f>
        <v>0</v>
      </c>
      <c r="J10" s="872">
        <f t="shared" ref="J10:K13" si="4">F10+H10</f>
        <v>26</v>
      </c>
      <c r="K10" s="873">
        <f>G10+I10</f>
        <v>2877500</v>
      </c>
      <c r="L10" s="243">
        <f>VLOOKUP(B10,DS,6,0)</f>
        <v>260000</v>
      </c>
      <c r="M10" s="874">
        <f t="shared" ref="M10:M13" si="5">K10+L10</f>
        <v>3137500</v>
      </c>
      <c r="N10" s="874">
        <f>IF(VLOOKUP(B10,DS,9,0)="x",E10*$N$4,0)</f>
        <v>0</v>
      </c>
      <c r="O10" s="874">
        <f>IF(VLOOKUP(B10,DS,9,0)="x",E10*$O$4,0)</f>
        <v>0</v>
      </c>
      <c r="P10" s="874">
        <f>IF(VLOOKUP(B10,DS,9,0)="x",E10*$P$4,0)</f>
        <v>0</v>
      </c>
      <c r="Q10" s="873">
        <f t="shared" ref="Q10:Q13" si="6">M10-SUM(N10:P10)</f>
        <v>3137500</v>
      </c>
      <c r="R10" s="873">
        <f>VLOOKUP(B10,DS,23,0)</f>
        <v>0</v>
      </c>
      <c r="S10" s="875">
        <f t="shared" ref="S10:S13" si="7">Q10-R10</f>
        <v>3137500</v>
      </c>
      <c r="T10" s="873"/>
      <c r="U10" s="826"/>
      <c r="V10" s="854"/>
      <c r="W10" s="844"/>
      <c r="X10" s="844"/>
      <c r="Y10" s="844"/>
      <c r="Z10" s="819"/>
      <c r="AA10" s="819"/>
      <c r="AB10" s="819"/>
      <c r="AC10" s="819"/>
      <c r="AD10" s="819"/>
    </row>
    <row r="11" spans="1:30" s="877" customFormat="1" ht="24" customHeight="1">
      <c r="A11" s="867">
        <v>2</v>
      </c>
      <c r="B11" s="754" t="s">
        <v>622</v>
      </c>
      <c r="C11" s="868" t="str">
        <f t="shared" si="0"/>
        <v>Huỳnh Hoàng Đạo</v>
      </c>
      <c r="D11" s="869" t="str">
        <f t="shared" si="1"/>
        <v>Quản Đốc</v>
      </c>
      <c r="E11" s="243">
        <f t="shared" ref="E11:E13" si="8">VLOOKUP(B11,DS,4,0)</f>
        <v>2877500</v>
      </c>
      <c r="F11" s="870">
        <f>VLOOKUP(B11,'CC -12'!$B$8:$AS$25,36,0)</f>
        <v>26</v>
      </c>
      <c r="G11" s="871">
        <f t="shared" si="2"/>
        <v>2877500</v>
      </c>
      <c r="H11" s="870">
        <f>(VLOOKUP(B11,'CC -12'!$B$8:$AS$25,37,0)+VLOOKUP(B11,'CC -12'!$B$8:$AS$25,38,0))</f>
        <v>0</v>
      </c>
      <c r="I11" s="871">
        <f t="shared" si="3"/>
        <v>0</v>
      </c>
      <c r="J11" s="872">
        <f t="shared" si="4"/>
        <v>26</v>
      </c>
      <c r="K11" s="873">
        <f t="shared" si="4"/>
        <v>2877500</v>
      </c>
      <c r="L11" s="243">
        <f>VLOOKUP(B11,DS,6,0)</f>
        <v>260000</v>
      </c>
      <c r="M11" s="874">
        <f t="shared" si="5"/>
        <v>3137500</v>
      </c>
      <c r="N11" s="874">
        <f>IF(VLOOKUP(B11,DS,9,0)="x",E11*$N$4,0)</f>
        <v>0</v>
      </c>
      <c r="O11" s="874">
        <f>IF(VLOOKUP(B11,DS,9,0)="x",E11*$O$4,0)</f>
        <v>0</v>
      </c>
      <c r="P11" s="874">
        <f>IF(VLOOKUP(B11,DS,9,0)="x",E11*$P$4,0)</f>
        <v>0</v>
      </c>
      <c r="Q11" s="873">
        <f t="shared" si="6"/>
        <v>3137500</v>
      </c>
      <c r="R11" s="873">
        <f>VLOOKUP(B11,DS,23,0)</f>
        <v>0</v>
      </c>
      <c r="S11" s="875">
        <f t="shared" si="7"/>
        <v>3137500</v>
      </c>
      <c r="T11" s="873"/>
      <c r="U11" s="826"/>
      <c r="V11" s="854"/>
      <c r="W11" s="844"/>
      <c r="X11" s="844"/>
      <c r="Y11" s="844"/>
      <c r="Z11" s="819"/>
      <c r="AA11" s="819"/>
      <c r="AB11" s="819"/>
      <c r="AC11" s="819"/>
      <c r="AD11" s="819"/>
    </row>
    <row r="12" spans="1:30" s="877" customFormat="1" ht="24" customHeight="1">
      <c r="A12" s="867">
        <v>3</v>
      </c>
      <c r="B12" s="754" t="s">
        <v>624</v>
      </c>
      <c r="C12" s="868" t="str">
        <f t="shared" si="0"/>
        <v>Võ Ngọc Thùy Lan</v>
      </c>
      <c r="D12" s="869" t="str">
        <f t="shared" si="1"/>
        <v>Kinh Doanh</v>
      </c>
      <c r="E12" s="243">
        <f t="shared" si="8"/>
        <v>1565000</v>
      </c>
      <c r="F12" s="870">
        <f>VLOOKUP(B12,'CC -12'!$B$8:$AS$25,36,0)</f>
        <v>26</v>
      </c>
      <c r="G12" s="871">
        <f t="shared" si="2"/>
        <v>1565000</v>
      </c>
      <c r="H12" s="870">
        <f>(VLOOKUP(B12,'CC -12'!$B$8:$AS$25,37,0)+VLOOKUP(B12,'CC -12'!$B$8:$AS$25,38,0))</f>
        <v>0</v>
      </c>
      <c r="I12" s="871">
        <f t="shared" si="3"/>
        <v>0</v>
      </c>
      <c r="J12" s="872">
        <f t="shared" si="4"/>
        <v>26</v>
      </c>
      <c r="K12" s="873">
        <f t="shared" si="4"/>
        <v>1565000</v>
      </c>
      <c r="L12" s="243">
        <f>VLOOKUP(B12,DS,6,0)</f>
        <v>260000</v>
      </c>
      <c r="M12" s="874">
        <f t="shared" si="5"/>
        <v>1825000</v>
      </c>
      <c r="N12" s="874">
        <f>IF(VLOOKUP(B12,DS,9,0)="x",E12*$N$4,0)</f>
        <v>0</v>
      </c>
      <c r="O12" s="874">
        <f>IF(VLOOKUP(B12,DS,9,0)="x",E12*$O$4,0)</f>
        <v>0</v>
      </c>
      <c r="P12" s="874">
        <f>IF(VLOOKUP(B12,DS,9,0)="x",E12*$P$4,0)</f>
        <v>0</v>
      </c>
      <c r="Q12" s="873">
        <f t="shared" si="6"/>
        <v>1825000</v>
      </c>
      <c r="R12" s="873">
        <f>VLOOKUP(B12,DS,23,0)</f>
        <v>0</v>
      </c>
      <c r="S12" s="875">
        <f t="shared" si="7"/>
        <v>1825000</v>
      </c>
      <c r="T12" s="873"/>
      <c r="U12" s="826"/>
      <c r="V12" s="854"/>
      <c r="W12" s="844"/>
      <c r="X12" s="844"/>
      <c r="Y12" s="844"/>
      <c r="Z12" s="819"/>
      <c r="AA12" s="819"/>
      <c r="AB12" s="819"/>
      <c r="AC12" s="819"/>
      <c r="AD12" s="819"/>
    </row>
    <row r="13" spans="1:30" s="877" customFormat="1" ht="24" customHeight="1">
      <c r="A13" s="867">
        <v>4</v>
      </c>
      <c r="B13" s="754" t="s">
        <v>765</v>
      </c>
      <c r="C13" s="868" t="str">
        <f t="shared" si="0"/>
        <v>Nguyễn Thị Thu Hà</v>
      </c>
      <c r="D13" s="869" t="str">
        <f t="shared" si="1"/>
        <v>Kế Toán</v>
      </c>
      <c r="E13" s="243">
        <f t="shared" si="8"/>
        <v>1240000</v>
      </c>
      <c r="F13" s="870">
        <f>VLOOKUP(B13,'CC -12'!$B$8:$AS$25,36,0)</f>
        <v>26</v>
      </c>
      <c r="G13" s="871">
        <f t="shared" si="2"/>
        <v>1240000</v>
      </c>
      <c r="H13" s="870">
        <f>(VLOOKUP(B13,'CC -12'!$B$8:$AS$25,37,0)+VLOOKUP(B13,'CC -12'!$B$8:$AS$25,38,0))</f>
        <v>0</v>
      </c>
      <c r="I13" s="871">
        <f t="shared" si="3"/>
        <v>0</v>
      </c>
      <c r="J13" s="872">
        <f t="shared" si="4"/>
        <v>26</v>
      </c>
      <c r="K13" s="873">
        <f t="shared" si="4"/>
        <v>1240000</v>
      </c>
      <c r="L13" s="243">
        <f>VLOOKUP(B13,DS,6,0)</f>
        <v>260000</v>
      </c>
      <c r="M13" s="874">
        <f t="shared" si="5"/>
        <v>1500000</v>
      </c>
      <c r="N13" s="874">
        <f>IF(VLOOKUP(B13,DS,9,0)="x",E13*$N$4,0)</f>
        <v>0</v>
      </c>
      <c r="O13" s="874">
        <f>IF(VLOOKUP(B13,DS,9,0)="x",E13*$O$4,0)</f>
        <v>0</v>
      </c>
      <c r="P13" s="874">
        <f>IF(VLOOKUP(B13,DS,9,0)="x",E13*$P$4,0)</f>
        <v>0</v>
      </c>
      <c r="Q13" s="873">
        <f t="shared" si="6"/>
        <v>1500000</v>
      </c>
      <c r="R13" s="873">
        <f>VLOOKUP(B13,DS,23,0)</f>
        <v>0</v>
      </c>
      <c r="S13" s="875">
        <f t="shared" si="7"/>
        <v>1500000</v>
      </c>
      <c r="T13" s="873"/>
      <c r="U13" s="826"/>
      <c r="V13" s="854"/>
      <c r="W13" s="844"/>
      <c r="X13" s="844"/>
      <c r="Y13" s="844"/>
      <c r="Z13" s="819"/>
      <c r="AA13" s="819"/>
      <c r="AB13" s="819"/>
      <c r="AC13" s="819"/>
      <c r="AD13" s="819"/>
    </row>
    <row r="14" spans="1:30" s="877" customFormat="1" ht="24" customHeight="1">
      <c r="A14" s="878"/>
      <c r="B14" s="879"/>
      <c r="C14" s="880"/>
      <c r="D14" s="881"/>
      <c r="E14" s="882"/>
      <c r="F14" s="883"/>
      <c r="G14" s="884"/>
      <c r="H14" s="883"/>
      <c r="I14" s="884"/>
      <c r="J14" s="885"/>
      <c r="K14" s="886"/>
      <c r="L14" s="882"/>
      <c r="M14" s="887"/>
      <c r="N14" s="887"/>
      <c r="O14" s="887"/>
      <c r="P14" s="887"/>
      <c r="Q14" s="886"/>
      <c r="R14" s="886"/>
      <c r="S14" s="888"/>
      <c r="T14" s="886"/>
      <c r="U14" s="826"/>
      <c r="V14" s="854"/>
      <c r="W14" s="844"/>
      <c r="X14" s="844"/>
      <c r="Y14" s="844"/>
      <c r="Z14" s="819"/>
      <c r="AA14" s="819"/>
      <c r="AB14" s="819"/>
      <c r="AC14" s="819"/>
      <c r="AD14" s="819"/>
    </row>
    <row r="15" spans="1:30" s="892" customFormat="1" ht="21" customHeight="1">
      <c r="A15" s="1151" t="s">
        <v>39</v>
      </c>
      <c r="B15" s="1151"/>
      <c r="C15" s="1151"/>
      <c r="D15" s="1151"/>
      <c r="E15" s="889">
        <f>SUM(E9:E13)</f>
        <v>8560000</v>
      </c>
      <c r="F15" s="889"/>
      <c r="G15" s="889">
        <f>SUM(G9:G13)</f>
        <v>8560000</v>
      </c>
      <c r="H15" s="889"/>
      <c r="I15" s="889">
        <f>SUM(I9:I13)</f>
        <v>0</v>
      </c>
      <c r="J15" s="889"/>
      <c r="K15" s="889">
        <f t="shared" ref="K15:S15" si="9">SUM(K9:K13)</f>
        <v>8560000</v>
      </c>
      <c r="L15" s="889">
        <f t="shared" si="9"/>
        <v>1040000</v>
      </c>
      <c r="M15" s="889">
        <f t="shared" si="9"/>
        <v>9600000</v>
      </c>
      <c r="N15" s="889">
        <f t="shared" si="9"/>
        <v>0</v>
      </c>
      <c r="O15" s="889">
        <f t="shared" si="9"/>
        <v>0</v>
      </c>
      <c r="P15" s="889">
        <f t="shared" si="9"/>
        <v>0</v>
      </c>
      <c r="Q15" s="889">
        <f t="shared" si="9"/>
        <v>9600000</v>
      </c>
      <c r="R15" s="889">
        <f t="shared" si="9"/>
        <v>0</v>
      </c>
      <c r="S15" s="889">
        <f t="shared" si="9"/>
        <v>9600000</v>
      </c>
      <c r="T15" s="890"/>
      <c r="U15" s="826"/>
      <c r="V15" s="891"/>
      <c r="W15" s="891"/>
      <c r="X15" s="891"/>
      <c r="Y15" s="891"/>
    </row>
    <row r="16" spans="1:30" s="863" customFormat="1" ht="24" customHeight="1">
      <c r="A16" s="864" t="s">
        <v>729</v>
      </c>
      <c r="B16" s="865" t="s">
        <v>759</v>
      </c>
      <c r="C16" s="866"/>
      <c r="D16" s="866"/>
      <c r="E16" s="866"/>
      <c r="F16" s="866"/>
      <c r="G16" s="866"/>
      <c r="H16" s="866"/>
      <c r="I16" s="866"/>
      <c r="J16" s="866"/>
      <c r="K16" s="866"/>
      <c r="L16" s="866"/>
      <c r="M16" s="866"/>
      <c r="N16" s="866"/>
      <c r="O16" s="866"/>
      <c r="P16" s="866"/>
      <c r="Q16" s="866"/>
      <c r="R16" s="866"/>
      <c r="S16" s="866"/>
      <c r="T16" s="866"/>
      <c r="U16" s="826"/>
      <c r="V16" s="860"/>
      <c r="W16" s="861"/>
      <c r="X16" s="861"/>
      <c r="Y16" s="861"/>
      <c r="Z16" s="862"/>
      <c r="AA16" s="862"/>
      <c r="AB16" s="862"/>
      <c r="AC16" s="862"/>
      <c r="AD16" s="862"/>
    </row>
    <row r="17" spans="1:30" s="877" customFormat="1" ht="24" customHeight="1">
      <c r="A17" s="867">
        <v>1</v>
      </c>
      <c r="B17" s="754" t="s">
        <v>626</v>
      </c>
      <c r="C17" s="868" t="str">
        <f t="shared" ref="C17:C20" si="10">VLOOKUP(B17,DS,2,0)</f>
        <v>Nguyễn Thị Thanh Thúy</v>
      </c>
      <c r="D17" s="869" t="str">
        <f t="shared" ref="D17:D20" si="11">VLOOKUP(B17,DS,3,0)</f>
        <v>Công nhân</v>
      </c>
      <c r="E17" s="243">
        <f t="shared" ref="E17:E20" si="12">VLOOKUP(B17,DS,4,0)</f>
        <v>1365000</v>
      </c>
      <c r="F17" s="870">
        <f>VLOOKUP(B17,'CC -12'!$B$8:$AS$25,36,0)</f>
        <v>26</v>
      </c>
      <c r="G17" s="871">
        <f t="shared" ref="G17:G20" si="13">ROUND(E17/$U$2*F17,0)</f>
        <v>1365000</v>
      </c>
      <c r="H17" s="870">
        <f>(VLOOKUP(B17,'CC -12'!$B$8:$AS$25,37,0)+VLOOKUP(B17,'CC -12'!$B$8:$AS$25,38,0))</f>
        <v>0</v>
      </c>
      <c r="I17" s="871">
        <f t="shared" ref="I17:I20" si="14">ROUND(E17/$U$2*H17,0)</f>
        <v>0</v>
      </c>
      <c r="J17" s="893">
        <f t="shared" ref="J17:K20" si="15">F17+H17</f>
        <v>26</v>
      </c>
      <c r="K17" s="873">
        <f t="shared" si="15"/>
        <v>1365000</v>
      </c>
      <c r="L17" s="243">
        <f>VLOOKUP(B17,DS,6,0)</f>
        <v>260000</v>
      </c>
      <c r="M17" s="874">
        <f t="shared" ref="M17:M20" si="16">K17+L17</f>
        <v>1625000</v>
      </c>
      <c r="N17" s="874">
        <f>IF(VLOOKUP(B17,DS,9,0)="x",'L - 12'!E17*$N$4,0)</f>
        <v>0</v>
      </c>
      <c r="O17" s="874">
        <f t="shared" ref="O17:O20" si="17">IF(VLOOKUP(B17,DS,9,0)="x",E17*0.015,0)</f>
        <v>0</v>
      </c>
      <c r="P17" s="874">
        <f t="shared" ref="P17:P20" si="18">IF(VLOOKUP(B17,DS,9,0)="x",E17*0.01,0)</f>
        <v>0</v>
      </c>
      <c r="Q17" s="873">
        <f>M17-SUM(N17:P17)</f>
        <v>1625000</v>
      </c>
      <c r="R17" s="873">
        <f t="shared" ref="R17:R20" si="19">VLOOKUP(B17,DS,23,0)</f>
        <v>0</v>
      </c>
      <c r="S17" s="875">
        <f>Q17-R17</f>
        <v>1625000</v>
      </c>
      <c r="T17" s="873"/>
      <c r="U17" s="826"/>
      <c r="V17" s="854"/>
      <c r="W17" s="844"/>
      <c r="X17" s="844"/>
      <c r="Y17" s="844"/>
      <c r="Z17" s="819"/>
      <c r="AA17" s="819"/>
      <c r="AB17" s="819"/>
      <c r="AC17" s="819"/>
      <c r="AD17" s="819"/>
    </row>
    <row r="18" spans="1:30" s="877" customFormat="1" ht="24" customHeight="1">
      <c r="A18" s="867">
        <v>2</v>
      </c>
      <c r="B18" s="754" t="s">
        <v>627</v>
      </c>
      <c r="C18" s="868" t="str">
        <f t="shared" si="10"/>
        <v>Huỳnh Đoàn Viết Thanh</v>
      </c>
      <c r="D18" s="869" t="str">
        <f t="shared" si="11"/>
        <v>Công nhân</v>
      </c>
      <c r="E18" s="243">
        <f t="shared" si="12"/>
        <v>1275000</v>
      </c>
      <c r="F18" s="870">
        <f>VLOOKUP(B18,'CC -12'!$B$8:$AS$25,36,0)</f>
        <v>26</v>
      </c>
      <c r="G18" s="871">
        <f t="shared" si="13"/>
        <v>1275000</v>
      </c>
      <c r="H18" s="870">
        <f>(VLOOKUP(B18,'CC -12'!$B$8:$AS$25,37,0)+VLOOKUP(B18,'CC -12'!$B$8:$AS$25,38,0))</f>
        <v>0</v>
      </c>
      <c r="I18" s="871">
        <f t="shared" si="14"/>
        <v>0</v>
      </c>
      <c r="J18" s="893">
        <f t="shared" si="15"/>
        <v>26</v>
      </c>
      <c r="K18" s="873">
        <f t="shared" si="15"/>
        <v>1275000</v>
      </c>
      <c r="L18" s="243">
        <f>VLOOKUP(B18,DS,6,0)</f>
        <v>260000</v>
      </c>
      <c r="M18" s="874">
        <f t="shared" si="16"/>
        <v>1535000</v>
      </c>
      <c r="N18" s="874">
        <f>IF(VLOOKUP(B18,DS,9,0)="x",'L - 12'!E18*$N$4,0)</f>
        <v>0</v>
      </c>
      <c r="O18" s="874">
        <f t="shared" si="17"/>
        <v>0</v>
      </c>
      <c r="P18" s="874">
        <f t="shared" si="18"/>
        <v>0</v>
      </c>
      <c r="Q18" s="873">
        <f t="shared" ref="Q18:Q20" si="20">M18-SUM(N18:P18)</f>
        <v>1535000</v>
      </c>
      <c r="R18" s="873">
        <f t="shared" si="19"/>
        <v>0</v>
      </c>
      <c r="S18" s="875">
        <f t="shared" ref="S18:S20" si="21">Q18-R18</f>
        <v>1535000</v>
      </c>
      <c r="T18" s="873"/>
      <c r="U18" s="826"/>
      <c r="V18" s="854"/>
      <c r="W18" s="844"/>
      <c r="X18" s="844"/>
      <c r="Y18" s="844"/>
      <c r="Z18" s="819"/>
      <c r="AA18" s="819"/>
      <c r="AB18" s="819"/>
      <c r="AC18" s="819"/>
      <c r="AD18" s="819"/>
    </row>
    <row r="19" spans="1:30" s="877" customFormat="1" ht="24" customHeight="1">
      <c r="A19" s="867">
        <v>3</v>
      </c>
      <c r="B19" s="754" t="s">
        <v>628</v>
      </c>
      <c r="C19" s="868" t="str">
        <f t="shared" si="10"/>
        <v>Trần Ngọc Thoại</v>
      </c>
      <c r="D19" s="869" t="str">
        <f t="shared" si="11"/>
        <v>Công nhân</v>
      </c>
      <c r="E19" s="243">
        <f t="shared" si="12"/>
        <v>990000</v>
      </c>
      <c r="F19" s="870">
        <f>VLOOKUP(B19,'CC -12'!$B$8:$AS$25,36,0)</f>
        <v>26</v>
      </c>
      <c r="G19" s="871">
        <f t="shared" si="13"/>
        <v>990000</v>
      </c>
      <c r="H19" s="870">
        <f>(VLOOKUP(B19,'CC -12'!$B$8:$AS$25,37,0)+VLOOKUP(B19,'CC -12'!$B$8:$AS$25,38,0))</f>
        <v>0</v>
      </c>
      <c r="I19" s="871">
        <f t="shared" si="14"/>
        <v>0</v>
      </c>
      <c r="J19" s="893">
        <f t="shared" si="15"/>
        <v>26</v>
      </c>
      <c r="K19" s="873">
        <f t="shared" si="15"/>
        <v>990000</v>
      </c>
      <c r="L19" s="243">
        <f>VLOOKUP(B19,DS,6,0)</f>
        <v>260000</v>
      </c>
      <c r="M19" s="874">
        <f t="shared" si="16"/>
        <v>1250000</v>
      </c>
      <c r="N19" s="874">
        <f>IF(VLOOKUP(B19,DS,9,0)="x",'L - 12'!E19*$N$4,0)</f>
        <v>0</v>
      </c>
      <c r="O19" s="874">
        <f t="shared" si="17"/>
        <v>0</v>
      </c>
      <c r="P19" s="874">
        <f t="shared" si="18"/>
        <v>0</v>
      </c>
      <c r="Q19" s="873">
        <f t="shared" si="20"/>
        <v>1250000</v>
      </c>
      <c r="R19" s="873">
        <f t="shared" si="19"/>
        <v>0</v>
      </c>
      <c r="S19" s="875">
        <f t="shared" si="21"/>
        <v>1250000</v>
      </c>
      <c r="T19" s="873"/>
      <c r="U19" s="826"/>
      <c r="V19" s="854"/>
      <c r="W19" s="844"/>
      <c r="X19" s="844"/>
      <c r="Y19" s="844"/>
      <c r="Z19" s="819"/>
      <c r="AA19" s="819"/>
      <c r="AB19" s="819"/>
      <c r="AC19" s="819"/>
      <c r="AD19" s="819"/>
    </row>
    <row r="20" spans="1:30" s="877" customFormat="1" ht="24" customHeight="1">
      <c r="A20" s="867">
        <v>4</v>
      </c>
      <c r="B20" s="754" t="s">
        <v>630</v>
      </c>
      <c r="C20" s="868" t="str">
        <f t="shared" si="10"/>
        <v>Nguyễn Đức Huy</v>
      </c>
      <c r="D20" s="869" t="str">
        <f t="shared" si="11"/>
        <v>Công nhân</v>
      </c>
      <c r="E20" s="243">
        <f t="shared" si="12"/>
        <v>1015000</v>
      </c>
      <c r="F20" s="870">
        <f>VLOOKUP(B20,'CC -12'!$B$8:$AS$25,36,0)</f>
        <v>26</v>
      </c>
      <c r="G20" s="871">
        <f t="shared" si="13"/>
        <v>1015000</v>
      </c>
      <c r="H20" s="870">
        <f>(VLOOKUP(B20,'CC -12'!$B$8:$AS$25,37,0)+VLOOKUP(B20,'CC -12'!$B$8:$AS$25,38,0))</f>
        <v>0</v>
      </c>
      <c r="I20" s="871">
        <f t="shared" si="14"/>
        <v>0</v>
      </c>
      <c r="J20" s="893">
        <f t="shared" si="15"/>
        <v>26</v>
      </c>
      <c r="K20" s="873">
        <f t="shared" si="15"/>
        <v>1015000</v>
      </c>
      <c r="L20" s="243">
        <f>VLOOKUP(B20,DS,6,0)</f>
        <v>260000</v>
      </c>
      <c r="M20" s="874">
        <f t="shared" si="16"/>
        <v>1275000</v>
      </c>
      <c r="N20" s="874">
        <f>IF(VLOOKUP(B20,DS,9,0)="x",'L - 12'!E20*$N$4,0)</f>
        <v>0</v>
      </c>
      <c r="O20" s="874">
        <f t="shared" si="17"/>
        <v>0</v>
      </c>
      <c r="P20" s="874">
        <f t="shared" si="18"/>
        <v>0</v>
      </c>
      <c r="Q20" s="873">
        <f t="shared" si="20"/>
        <v>1275000</v>
      </c>
      <c r="R20" s="873">
        <f t="shared" si="19"/>
        <v>0</v>
      </c>
      <c r="S20" s="875">
        <f t="shared" si="21"/>
        <v>1275000</v>
      </c>
      <c r="T20" s="873"/>
      <c r="U20" s="826"/>
      <c r="V20" s="854"/>
      <c r="W20" s="844"/>
      <c r="X20" s="844"/>
      <c r="Y20" s="844"/>
      <c r="Z20" s="819"/>
      <c r="AA20" s="819"/>
      <c r="AB20" s="819"/>
      <c r="AC20" s="819"/>
      <c r="AD20" s="819"/>
    </row>
    <row r="21" spans="1:30" s="877" customFormat="1" ht="22.5" customHeight="1">
      <c r="A21" s="894"/>
      <c r="B21" s="895"/>
      <c r="C21" s="896"/>
      <c r="D21" s="897"/>
      <c r="E21" s="898"/>
      <c r="F21" s="898"/>
      <c r="G21" s="898"/>
      <c r="H21" s="898"/>
      <c r="I21" s="898"/>
      <c r="J21" s="899"/>
      <c r="K21" s="898"/>
      <c r="L21" s="898"/>
      <c r="M21" s="900"/>
      <c r="N21" s="898"/>
      <c r="O21" s="898"/>
      <c r="P21" s="898"/>
      <c r="Q21" s="898"/>
      <c r="R21" s="898"/>
      <c r="S21" s="898"/>
      <c r="T21" s="873"/>
      <c r="U21" s="826"/>
      <c r="V21" s="876"/>
      <c r="W21" s="876"/>
      <c r="X21" s="876"/>
      <c r="Y21" s="876"/>
    </row>
    <row r="22" spans="1:30" s="892" customFormat="1" ht="21" customHeight="1">
      <c r="A22" s="1151" t="s">
        <v>39</v>
      </c>
      <c r="B22" s="1151"/>
      <c r="C22" s="1151"/>
      <c r="D22" s="1151"/>
      <c r="E22" s="889">
        <f>SUM(E16:E21)</f>
        <v>4645000</v>
      </c>
      <c r="F22" s="889"/>
      <c r="G22" s="889">
        <f t="shared" ref="G22:S22" si="22">SUM(G16:G21)</f>
        <v>4645000</v>
      </c>
      <c r="H22" s="889"/>
      <c r="I22" s="889">
        <f t="shared" si="22"/>
        <v>0</v>
      </c>
      <c r="J22" s="889"/>
      <c r="K22" s="889">
        <f t="shared" si="22"/>
        <v>4645000</v>
      </c>
      <c r="L22" s="889">
        <f t="shared" si="22"/>
        <v>1040000</v>
      </c>
      <c r="M22" s="889">
        <f t="shared" si="22"/>
        <v>5685000</v>
      </c>
      <c r="N22" s="889">
        <f t="shared" si="22"/>
        <v>0</v>
      </c>
      <c r="O22" s="889">
        <f t="shared" si="22"/>
        <v>0</v>
      </c>
      <c r="P22" s="889">
        <f t="shared" si="22"/>
        <v>0</v>
      </c>
      <c r="Q22" s="889">
        <f t="shared" si="22"/>
        <v>5685000</v>
      </c>
      <c r="R22" s="889">
        <f t="shared" si="22"/>
        <v>0</v>
      </c>
      <c r="S22" s="889">
        <f t="shared" si="22"/>
        <v>5685000</v>
      </c>
      <c r="T22" s="890"/>
      <c r="U22" s="826"/>
      <c r="V22" s="891"/>
      <c r="W22" s="891"/>
      <c r="X22" s="891"/>
      <c r="Y22" s="891"/>
    </row>
    <row r="23" spans="1:30" ht="11.25" customHeight="1">
      <c r="A23" s="901"/>
      <c r="B23" s="901"/>
      <c r="C23" s="902"/>
      <c r="D23" s="903"/>
      <c r="E23" s="904"/>
      <c r="F23" s="902"/>
      <c r="G23" s="902"/>
      <c r="H23" s="902"/>
      <c r="I23" s="902"/>
      <c r="K23" s="902"/>
      <c r="L23" s="902"/>
      <c r="M23" s="906"/>
      <c r="N23" s="902"/>
      <c r="O23" s="902"/>
      <c r="P23" s="902"/>
      <c r="Q23" s="902"/>
      <c r="R23" s="902"/>
      <c r="S23" s="902"/>
      <c r="T23" s="902"/>
      <c r="U23" s="826"/>
    </row>
    <row r="24" spans="1:30" s="877" customFormat="1" ht="11.25" customHeight="1">
      <c r="A24" s="763"/>
      <c r="B24" s="763"/>
      <c r="C24" s="763"/>
      <c r="D24" s="909"/>
      <c r="E24" s="910"/>
      <c r="F24" s="763"/>
      <c r="G24" s="763"/>
      <c r="H24" s="763"/>
      <c r="I24" s="763"/>
      <c r="J24" s="911"/>
      <c r="K24" s="910"/>
      <c r="L24" s="763"/>
      <c r="M24" s="763"/>
      <c r="N24" s="763"/>
      <c r="O24" s="763"/>
      <c r="P24" s="763"/>
      <c r="Q24" s="763"/>
      <c r="R24" s="763"/>
      <c r="S24" s="764" t="str">
        <f>"Ngày "&amp;IF(OR(MONTH($E$4)=4,MONTH($E$4)=6,MONTH($E$4)=9,MONTH($E$4)=11),"30",IF(MONTH($E$4)=2,"28","31"))&amp;"  tháng  "&amp;MONTH($E$4)&amp;"  năm   "&amp;YEAR($E$4)</f>
        <v>Ngày 31  tháng  12  năm   2012</v>
      </c>
      <c r="T24" s="763"/>
      <c r="U24" s="912"/>
      <c r="V24" s="876"/>
      <c r="W24" s="876"/>
      <c r="X24" s="876"/>
      <c r="Y24" s="876"/>
    </row>
    <row r="25" spans="1:30" s="877" customFormat="1" ht="12.75">
      <c r="A25" s="771"/>
      <c r="B25" s="771"/>
      <c r="C25" s="771" t="s">
        <v>760</v>
      </c>
      <c r="D25" s="913"/>
      <c r="E25" s="773"/>
      <c r="F25" s="912"/>
      <c r="G25" s="773"/>
      <c r="H25" s="773"/>
      <c r="I25" s="773"/>
      <c r="J25" s="914"/>
      <c r="K25" s="876"/>
      <c r="L25" s="771"/>
      <c r="M25" s="915"/>
      <c r="N25" s="765"/>
      <c r="O25" s="765"/>
      <c r="P25" s="765"/>
      <c r="Q25" s="765"/>
      <c r="S25" s="912" t="s">
        <v>109</v>
      </c>
      <c r="T25" s="912"/>
      <c r="U25" s="912"/>
      <c r="V25" s="876"/>
      <c r="W25" s="876"/>
      <c r="X25" s="876"/>
      <c r="Y25" s="876"/>
    </row>
    <row r="26" spans="1:30" ht="12">
      <c r="A26" s="901"/>
      <c r="B26" s="901"/>
      <c r="C26" s="916"/>
      <c r="E26" s="917"/>
      <c r="F26" s="828"/>
      <c r="G26" s="917"/>
      <c r="H26" s="917"/>
      <c r="I26" s="917"/>
      <c r="K26" s="907"/>
      <c r="L26" s="916"/>
      <c r="N26" s="918"/>
      <c r="O26" s="918"/>
      <c r="P26" s="918"/>
      <c r="Q26" s="918"/>
      <c r="S26" s="918"/>
      <c r="T26" s="828"/>
      <c r="U26" s="826"/>
    </row>
    <row r="27" spans="1:30" ht="12">
      <c r="C27" s="916"/>
      <c r="L27" s="916"/>
      <c r="T27" s="916"/>
      <c r="U27" s="826"/>
    </row>
    <row r="28" spans="1:30" ht="12">
      <c r="U28" s="826"/>
    </row>
    <row r="29" spans="1:30" ht="12">
      <c r="U29" s="826"/>
    </row>
    <row r="30" spans="1:30" ht="12">
      <c r="U30" s="826"/>
    </row>
    <row r="31" spans="1:30" ht="12">
      <c r="U31" s="826"/>
    </row>
    <row r="32" spans="1:30" ht="12">
      <c r="U32" s="826"/>
    </row>
    <row r="33" spans="21:21" ht="12">
      <c r="U33" s="826"/>
    </row>
  </sheetData>
  <protectedRanges>
    <protectedRange password="CC78" sqref="V21:IJ22 C5:D7 B25:C25 A21:A26 B21:B24 B26 V16 Q5:T7 AE5:IJ14 E5:I6 N5:P6 L5 L25 J6:K7 L7 A28:T61 U34:U61 N21:S21 V28:IJ61 V5:V14 J21:L21 AE16:IJ16 V15:IJ15 D15:T15 D22:T22 Q10:S14 A10:B15 A62:IJ65329" name="Range1"/>
    <protectedRange password="CC78" sqref="F7:H7" name="Range1_4"/>
    <protectedRange password="CC78" sqref="V25:IJ26 S25:T26 N25:Q26 E25:I26" name="Range1_1_1"/>
    <protectedRange password="CC78" sqref="U1 V1:IJ4 B4:T4 W5:AD14 R2:S3 B1:Q3 U21:U33 W16:AD16 U4:U16" name="Range1_2"/>
    <protectedRange password="CC78" sqref="A1" name="Range1_2_1_1"/>
    <protectedRange password="CC78" sqref="I7" name="Range1_4_1"/>
    <protectedRange password="CC78" sqref="U2:U3" name="Range1_2_2_1"/>
    <protectedRange password="CC78" sqref="AE17:IJ20 V17:V20 Q17:S20 A17:B20" name="Range1_5"/>
    <protectedRange password="CC78" sqref="W17:AD20 U17:U20" name="Range1_2_3"/>
    <protectedRange password="CC78" sqref="K10:K14 K17:K20" name="Range1_6"/>
    <protectedRange password="CC78" sqref="A2:A3" name="Range1_2_1_3"/>
  </protectedRanges>
  <autoFilter ref="A7:AD10"/>
  <mergeCells count="24">
    <mergeCell ref="A15:D15"/>
    <mergeCell ref="A22:D22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51</vt:i4>
      </vt:variant>
    </vt:vector>
  </HeadingPairs>
  <TitlesOfParts>
    <vt:vector size="8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THL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_C111</vt:lpstr>
      <vt:lpstr>_C112</vt:lpstr>
      <vt:lpstr>_M</vt:lpstr>
      <vt:lpstr>_N111</vt:lpstr>
      <vt:lpstr>_N112</vt:lpstr>
      <vt:lpstr>DG</vt:lpstr>
      <vt:lpstr>DS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'CC -10'!Print_Area</vt:lpstr>
      <vt:lpstr>'CC -11'!Print_Area</vt:lpstr>
      <vt:lpstr>'CC -12'!Print_Area</vt:lpstr>
      <vt:lpstr>'CC -9'!Print_Area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2016-09-26T01:49:47Z</cp:lastPrinted>
  <dcterms:created xsi:type="dcterms:W3CDTF">1996-10-14T23:33:28Z</dcterms:created>
  <dcterms:modified xsi:type="dcterms:W3CDTF">2016-09-26T01:49:54Z</dcterms:modified>
</cp:coreProperties>
</file>